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7795" windowHeight="12330"/>
  </bookViews>
  <sheets>
    <sheet name="2-ой Интернациональн" sheetId="4" r:id="rId1"/>
    <sheet name="Баррикад2" sheetId="5" r:id="rId2"/>
    <sheet name="В.Восстания 1" sheetId="6" r:id="rId3"/>
    <sheet name="Воронина 6" sheetId="7" r:id="rId4"/>
    <sheet name="Воронина 9" sheetId="8" r:id="rId5"/>
    <sheet name="Воронина 11" sheetId="9" r:id="rId6"/>
    <sheet name="Воронина 13-52" sheetId="10" r:id="rId7"/>
    <sheet name="Воронина 16" sheetId="11" r:id="rId8"/>
    <sheet name="Воронина 18" sheetId="12" r:id="rId9"/>
    <sheet name="Воронина 21" sheetId="13" r:id="rId10"/>
    <sheet name="Воронина 23" sheetId="14" r:id="rId11"/>
    <sheet name="Воронина 23а" sheetId="15" r:id="rId12"/>
    <sheet name="Герцена 2-8" sheetId="16" r:id="rId13"/>
    <sheet name="Герцена 3" sheetId="17" r:id="rId14"/>
    <sheet name="Герцена 4" sheetId="18" r:id="rId15"/>
    <sheet name="Герцена 6" sheetId="19" r:id="rId16"/>
    <sheet name="Герцена 9а" sheetId="20" r:id="rId17"/>
    <sheet name="Герцена 16а" sheetId="21" r:id="rId18"/>
    <sheet name="Герцена 17 корп.1" sheetId="22" r:id="rId19"/>
    <sheet name="Герцена 17" sheetId="23" r:id="rId20"/>
    <sheet name="Огарева 3" sheetId="24" r:id="rId21"/>
    <sheet name="Огарева 4" sheetId="25" r:id="rId22"/>
    <sheet name="Огарева 6" sheetId="26" r:id="rId23"/>
    <sheet name="Огарева 9-7" sheetId="27" r:id="rId24"/>
    <sheet name="Огарева 34а" sheetId="28" r:id="rId25"/>
    <sheet name="Огарева 40 корп.1" sheetId="29" r:id="rId26"/>
    <sheet name="Огарева 40 корп.2" sheetId="30" r:id="rId27"/>
    <sheet name="Огарева 42" sheetId="31" r:id="rId28"/>
    <sheet name="Огарева 44" sheetId="32" r:id="rId29"/>
    <sheet name="пер.Труда 4 корп.1" sheetId="33" r:id="rId30"/>
    <sheet name="пер.Труда 4 корп.2" sheetId="34" r:id="rId31"/>
    <sheet name="пер.Труда 4 корп.5" sheetId="35" r:id="rId32"/>
    <sheet name="пер.Яченский 2" sheetId="36" r:id="rId33"/>
    <sheet name="Плеханова 3" sheetId="37" r:id="rId34"/>
    <sheet name="Плеханова 5-1" sheetId="38" r:id="rId35"/>
    <sheet name="Плеханова 11" sheetId="39" r:id="rId36"/>
    <sheet name="Плеханова 12" sheetId="40" r:id="rId37"/>
    <sheet name="Пролетарская 21" sheetId="41" r:id="rId38"/>
    <sheet name="Пролетарская 39" sheetId="42" r:id="rId39"/>
    <sheet name="Пролетарская 41" sheetId="43" r:id="rId40"/>
    <sheet name="Пролетарская 44" sheetId="44" r:id="rId41"/>
    <sheet name="Пролетарская 90" sheetId="45" r:id="rId42"/>
    <sheet name="Пухова 1" sheetId="46" r:id="rId43"/>
    <sheet name="Пухова 3" sheetId="47" r:id="rId44"/>
    <sheet name="Пухова 7" sheetId="48" r:id="rId45"/>
    <sheet name="Пухова 19" sheetId="49" r:id="rId46"/>
    <sheet name="Рылеева 1-2" sheetId="50" r:id="rId47"/>
    <sheet name="Рылеева 3" sheetId="51" r:id="rId48"/>
    <sheet name="Рылеева 4" sheetId="52" r:id="rId49"/>
    <sheet name="Рылеева 6" sheetId="53" r:id="rId50"/>
    <sheet name="Рылеева 14" sheetId="54" r:id="rId51"/>
    <sheet name="Рылеева 16" sheetId="55" r:id="rId52"/>
    <sheet name="Рылеева 18б" sheetId="56" r:id="rId53"/>
    <sheet name="Рылеева 18в" sheetId="57" r:id="rId54"/>
    <sheet name="Рылеева 19" sheetId="58" r:id="rId55"/>
    <sheet name="Суворова 5" sheetId="59" r:id="rId56"/>
    <sheet name="Суворова 7 копр.1" sheetId="60" r:id="rId57"/>
    <sheet name="Суворова 9" sheetId="61" r:id="rId58"/>
    <sheet name="Суворова 11" sheetId="62" r:id="rId59"/>
    <sheet name="Суворова 13" sheetId="63" r:id="rId60"/>
    <sheet name="Суворова 15" sheetId="64" r:id="rId61"/>
    <sheet name="Суворова 17" sheetId="65" r:id="rId62"/>
    <sheet name="Суворова 19" sheetId="66" r:id="rId63"/>
    <sheet name="Суворова 21" sheetId="67" r:id="rId64"/>
    <sheet name="Суворова 21а" sheetId="68" r:id="rId65"/>
    <sheet name="Суворова 31" sheetId="69" r:id="rId66"/>
    <sheet name="Суворова 63 корп.1" sheetId="70" r:id="rId67"/>
    <sheet name="Суворова 65" sheetId="71" r:id="rId68"/>
    <sheet name="Суворова 67" sheetId="72" r:id="rId69"/>
    <sheet name="Суворова 69" sheetId="73" r:id="rId70"/>
    <sheet name="Суворова 93-26" sheetId="74" r:id="rId71"/>
    <sheet name="Суворова 95" sheetId="75" r:id="rId72"/>
    <sheet name="Суворова 119" sheetId="76" r:id="rId73"/>
    <sheet name="Труда 1" sheetId="77" r:id="rId74"/>
    <sheet name="Труда 3" sheetId="78" r:id="rId75"/>
    <sheet name="Труда 3а" sheetId="79" r:id="rId76"/>
    <sheet name="Труда 5а копр.1" sheetId="80" r:id="rId77"/>
    <sheet name="Труда 5а корп.2" sheetId="81" r:id="rId78"/>
    <sheet name="Труда 6-1" sheetId="82" r:id="rId79"/>
    <sheet name="Труда 9" sheetId="83" r:id="rId80"/>
    <sheet name="Труда 9а" sheetId="84" r:id="rId81"/>
    <sheet name="Труда 10" sheetId="85" r:id="rId82"/>
    <sheet name="Труда 11" sheetId="86" r:id="rId83"/>
    <sheet name="Труда 14-1" sheetId="87" r:id="rId84"/>
    <sheet name="Труда 16" sheetId="88" r:id="rId85"/>
    <sheet name="Труда 18-1" sheetId="89" r:id="rId86"/>
    <sheet name="Труда 22" sheetId="90" r:id="rId87"/>
    <sheet name="Труда 24" sheetId="91" r:id="rId88"/>
    <sheet name="Труда 26" sheetId="92" r:id="rId89"/>
    <sheet name="Труда 28" sheetId="93" r:id="rId90"/>
    <sheet name="Труда 30" sheetId="94" r:id="rId91"/>
    <sheet name="Труда 32" sheetId="95" r:id="rId92"/>
    <sheet name="Чичерина 28" sheetId="96" r:id="rId93"/>
    <sheet name="Лист97" sheetId="97" r:id="rId94"/>
  </sheets>
  <calcPr calcId="145621"/>
</workbook>
</file>

<file path=xl/calcChain.xml><?xml version="1.0" encoding="utf-8"?>
<calcChain xmlns="http://schemas.openxmlformats.org/spreadsheetml/2006/main">
  <c r="G43" i="96" l="1"/>
  <c r="H34" i="96"/>
  <c r="I34" i="96" s="1"/>
  <c r="G34" i="96"/>
  <c r="I32" i="96"/>
  <c r="H32" i="96"/>
  <c r="G32" i="96"/>
  <c r="G26" i="96"/>
  <c r="I25" i="96"/>
  <c r="H25" i="96"/>
  <c r="G25" i="96"/>
  <c r="F25" i="96"/>
  <c r="H24" i="96"/>
  <c r="I24" i="96" s="1"/>
  <c r="G24" i="96"/>
  <c r="G23" i="96"/>
  <c r="H23" i="96" s="1"/>
  <c r="I23" i="96" s="1"/>
  <c r="F22" i="96"/>
  <c r="E22" i="96"/>
  <c r="G22" i="96" s="1"/>
  <c r="G21" i="96"/>
  <c r="F21" i="96"/>
  <c r="E21" i="96"/>
  <c r="G20" i="96"/>
  <c r="F20" i="96"/>
  <c r="E20" i="96"/>
  <c r="F19" i="96"/>
  <c r="E19" i="96"/>
  <c r="G19" i="96" s="1"/>
  <c r="G18" i="96"/>
  <c r="H18" i="96" s="1"/>
  <c r="I18" i="96" s="1"/>
  <c r="I68" i="95" l="1"/>
  <c r="G68" i="95"/>
  <c r="I64" i="95"/>
  <c r="G63" i="95"/>
  <c r="G62" i="95"/>
  <c r="G61" i="95"/>
  <c r="G60" i="95"/>
  <c r="G59" i="95"/>
  <c r="G58" i="95"/>
  <c r="G57" i="95"/>
  <c r="G64" i="95" s="1"/>
  <c r="G49" i="95"/>
  <c r="H49" i="95" s="1"/>
  <c r="I49" i="95" s="1"/>
  <c r="G46" i="95"/>
  <c r="H46" i="95" s="1"/>
  <c r="I46" i="95" s="1"/>
  <c r="G44" i="95"/>
  <c r="H44" i="95" s="1"/>
  <c r="I44" i="95" s="1"/>
  <c r="F37" i="95"/>
  <c r="H37" i="95" s="1"/>
  <c r="E37" i="95"/>
  <c r="G31" i="95"/>
  <c r="G30" i="95"/>
  <c r="F30" i="95"/>
  <c r="H30" i="95" s="1"/>
  <c r="G28" i="95"/>
  <c r="H28" i="95" s="1"/>
  <c r="G27" i="95"/>
  <c r="H27" i="95" s="1"/>
  <c r="I27" i="95" s="1"/>
  <c r="H26" i="95"/>
  <c r="I26" i="95" s="1"/>
  <c r="G26" i="95"/>
  <c r="H25" i="95"/>
  <c r="I25" i="95" s="1"/>
  <c r="G25" i="95"/>
  <c r="H24" i="95"/>
  <c r="G24" i="95"/>
  <c r="F23" i="95"/>
  <c r="E23" i="95"/>
  <c r="G23" i="95" s="1"/>
  <c r="F22" i="95"/>
  <c r="E22" i="95"/>
  <c r="G22" i="95" s="1"/>
  <c r="F21" i="95"/>
  <c r="E21" i="95"/>
  <c r="G21" i="95" s="1"/>
  <c r="G20" i="95"/>
  <c r="F20" i="95"/>
  <c r="E20" i="95"/>
  <c r="H18" i="95"/>
  <c r="I18" i="95" s="1"/>
  <c r="G18" i="95"/>
  <c r="I71" i="94" l="1"/>
  <c r="G71" i="94"/>
  <c r="I67" i="94"/>
  <c r="G65" i="94"/>
  <c r="G67" i="94" s="1"/>
  <c r="G64" i="94"/>
  <c r="G63" i="94"/>
  <c r="G62" i="94"/>
  <c r="G61" i="94"/>
  <c r="G60" i="94"/>
  <c r="G59" i="94"/>
  <c r="G50" i="94"/>
  <c r="H50" i="94" s="1"/>
  <c r="I50" i="94" s="1"/>
  <c r="G48" i="94"/>
  <c r="H48" i="94" s="1"/>
  <c r="I48" i="94" s="1"/>
  <c r="G46" i="94"/>
  <c r="H46" i="94" s="1"/>
  <c r="I46" i="94" s="1"/>
  <c r="F38" i="94"/>
  <c r="H38" i="94" s="1"/>
  <c r="E38" i="94"/>
  <c r="G32" i="94"/>
  <c r="H31" i="94"/>
  <c r="I31" i="94" s="1"/>
  <c r="G31" i="94"/>
  <c r="F31" i="94"/>
  <c r="G28" i="94"/>
  <c r="H28" i="94" s="1"/>
  <c r="F28" i="94"/>
  <c r="G27" i="94"/>
  <c r="H27" i="94" s="1"/>
  <c r="I27" i="94" s="1"/>
  <c r="G26" i="94"/>
  <c r="H26" i="94" s="1"/>
  <c r="I26" i="94" s="1"/>
  <c r="G25" i="94"/>
  <c r="H25" i="94" s="1"/>
  <c r="I25" i="94" s="1"/>
  <c r="H24" i="94"/>
  <c r="I24" i="94" s="1"/>
  <c r="G24" i="94"/>
  <c r="H23" i="94"/>
  <c r="G23" i="94"/>
  <c r="G22" i="94"/>
  <c r="F22" i="94"/>
  <c r="E22" i="94"/>
  <c r="G21" i="94"/>
  <c r="F21" i="94"/>
  <c r="E21" i="94"/>
  <c r="F20" i="94"/>
  <c r="E20" i="94"/>
  <c r="G20" i="94" s="1"/>
  <c r="F19" i="94"/>
  <c r="E19" i="94"/>
  <c r="G19" i="94" s="1"/>
  <c r="G18" i="94"/>
  <c r="H18" i="94" s="1"/>
  <c r="I18" i="94" s="1"/>
  <c r="I72" i="93" l="1"/>
  <c r="I68" i="93"/>
  <c r="G29" i="93" s="1"/>
  <c r="G28" i="93" s="1"/>
  <c r="G67" i="93"/>
  <c r="G66" i="93"/>
  <c r="G65" i="93"/>
  <c r="G64" i="93"/>
  <c r="G63" i="93"/>
  <c r="G62" i="93"/>
  <c r="G61" i="93"/>
  <c r="G60" i="93"/>
  <c r="G59" i="93"/>
  <c r="G58" i="93"/>
  <c r="G68" i="93" s="1"/>
  <c r="G49" i="93"/>
  <c r="H49" i="93" s="1"/>
  <c r="I49" i="93" s="1"/>
  <c r="H47" i="93"/>
  <c r="I47" i="93" s="1"/>
  <c r="G47" i="93"/>
  <c r="G45" i="93"/>
  <c r="H45" i="93" s="1"/>
  <c r="I45" i="93" s="1"/>
  <c r="E37" i="93"/>
  <c r="F37" i="93" s="1"/>
  <c r="H37" i="93" s="1"/>
  <c r="G32" i="93"/>
  <c r="G31" i="93"/>
  <c r="F31" i="93"/>
  <c r="H31" i="93" s="1"/>
  <c r="E31" i="93"/>
  <c r="F28" i="93"/>
  <c r="G27" i="93"/>
  <c r="H27" i="93" s="1"/>
  <c r="I27" i="93" s="1"/>
  <c r="G26" i="93"/>
  <c r="H26" i="93" s="1"/>
  <c r="I26" i="93" s="1"/>
  <c r="H25" i="93"/>
  <c r="I25" i="93" s="1"/>
  <c r="G25" i="93"/>
  <c r="G24" i="93"/>
  <c r="H24" i="93" s="1"/>
  <c r="I24" i="93" s="1"/>
  <c r="H23" i="93"/>
  <c r="I23" i="93" s="1"/>
  <c r="G23" i="93"/>
  <c r="G22" i="93"/>
  <c r="F22" i="93"/>
  <c r="E22" i="93"/>
  <c r="G21" i="93"/>
  <c r="F21" i="93"/>
  <c r="E21" i="93"/>
  <c r="F20" i="93"/>
  <c r="E20" i="93"/>
  <c r="G20" i="93" s="1"/>
  <c r="F19" i="93"/>
  <c r="E19" i="93"/>
  <c r="G19" i="93" s="1"/>
  <c r="G18" i="93"/>
  <c r="H18" i="93" s="1"/>
  <c r="I18" i="93" s="1"/>
  <c r="H28" i="93" l="1"/>
  <c r="I66" i="92"/>
  <c r="G28" i="92" s="1"/>
  <c r="G27" i="92" s="1"/>
  <c r="G66" i="92"/>
  <c r="I62" i="92"/>
  <c r="G60" i="92"/>
  <c r="G59" i="92"/>
  <c r="G58" i="92"/>
  <c r="G57" i="92"/>
  <c r="G62" i="92" s="1"/>
  <c r="G48" i="92"/>
  <c r="H48" i="92" s="1"/>
  <c r="I48" i="92" s="1"/>
  <c r="H46" i="92"/>
  <c r="I46" i="92" s="1"/>
  <c r="G46" i="92"/>
  <c r="G44" i="92"/>
  <c r="H44" i="92" s="1"/>
  <c r="I44" i="92" s="1"/>
  <c r="E35" i="92"/>
  <c r="F35" i="92" s="1"/>
  <c r="H35" i="92" s="1"/>
  <c r="F27" i="92"/>
  <c r="H26" i="92"/>
  <c r="G26" i="92"/>
  <c r="G25" i="92"/>
  <c r="H25" i="92" s="1"/>
  <c r="I25" i="92" s="1"/>
  <c r="H24" i="92"/>
  <c r="I24" i="92" s="1"/>
  <c r="G24" i="92"/>
  <c r="I23" i="92"/>
  <c r="H23" i="92"/>
  <c r="G23" i="92"/>
  <c r="G22" i="92"/>
  <c r="F22" i="92"/>
  <c r="E22" i="92"/>
  <c r="F21" i="92"/>
  <c r="E21" i="92"/>
  <c r="G21" i="92" s="1"/>
  <c r="F20" i="92"/>
  <c r="E20" i="92"/>
  <c r="G20" i="92" s="1"/>
  <c r="G19" i="92"/>
  <c r="F19" i="92"/>
  <c r="E19" i="92"/>
  <c r="H18" i="92"/>
  <c r="I18" i="92" s="1"/>
  <c r="G18" i="92"/>
  <c r="H27" i="92" l="1"/>
  <c r="I63" i="91"/>
  <c r="G60" i="91"/>
  <c r="G59" i="91"/>
  <c r="G58" i="91"/>
  <c r="G63" i="91" s="1"/>
  <c r="G49" i="91"/>
  <c r="H49" i="91" s="1"/>
  <c r="I49" i="91" s="1"/>
  <c r="G47" i="91"/>
  <c r="H47" i="91" s="1"/>
  <c r="I47" i="91" s="1"/>
  <c r="H45" i="91"/>
  <c r="I45" i="91" s="1"/>
  <c r="G45" i="91"/>
  <c r="E37" i="91"/>
  <c r="F37" i="91" s="1"/>
  <c r="H37" i="91" s="1"/>
  <c r="H31" i="91"/>
  <c r="I31" i="91" s="1"/>
  <c r="G28" i="91"/>
  <c r="H28" i="91" s="1"/>
  <c r="H27" i="91"/>
  <c r="I27" i="91" s="1"/>
  <c r="G27" i="91"/>
  <c r="I26" i="91"/>
  <c r="H26" i="91"/>
  <c r="G26" i="91"/>
  <c r="H25" i="91"/>
  <c r="I25" i="91" s="1"/>
  <c r="G25" i="91"/>
  <c r="F24" i="91"/>
  <c r="E24" i="91"/>
  <c r="G24" i="91" s="1"/>
  <c r="F23" i="91"/>
  <c r="E23" i="91"/>
  <c r="G23" i="91" s="1"/>
  <c r="G22" i="91"/>
  <c r="F22" i="91"/>
  <c r="E22" i="91"/>
  <c r="G21" i="91"/>
  <c r="F21" i="91"/>
  <c r="E21" i="91"/>
  <c r="G19" i="91"/>
  <c r="H19" i="91" s="1"/>
  <c r="I71" i="90" l="1"/>
  <c r="G30" i="90" s="1"/>
  <c r="G29" i="90" s="1"/>
  <c r="H29" i="90" s="1"/>
  <c r="G71" i="90"/>
  <c r="G70" i="90"/>
  <c r="G69" i="90"/>
  <c r="I65" i="90"/>
  <c r="G27" i="90" s="1"/>
  <c r="H27" i="90" s="1"/>
  <c r="I27" i="90" s="1"/>
  <c r="G64" i="90"/>
  <c r="G63" i="90"/>
  <c r="G62" i="90"/>
  <c r="G61" i="90"/>
  <c r="G60" i="90"/>
  <c r="G59" i="90"/>
  <c r="G58" i="90"/>
  <c r="G57" i="90"/>
  <c r="G65" i="90" s="1"/>
  <c r="G56" i="90"/>
  <c r="H48" i="90"/>
  <c r="I48" i="90" s="1"/>
  <c r="G48" i="90"/>
  <c r="G46" i="90"/>
  <c r="H46" i="90" s="1"/>
  <c r="I46" i="90" s="1"/>
  <c r="G44" i="90"/>
  <c r="H44" i="90" s="1"/>
  <c r="I44" i="90" s="1"/>
  <c r="H36" i="90"/>
  <c r="F36" i="90"/>
  <c r="E36" i="90"/>
  <c r="F29" i="90"/>
  <c r="E29" i="90"/>
  <c r="I28" i="90"/>
  <c r="I26" i="90"/>
  <c r="H26" i="90"/>
  <c r="G26" i="90"/>
  <c r="H25" i="90"/>
  <c r="I25" i="90" s="1"/>
  <c r="G25" i="90"/>
  <c r="H24" i="90"/>
  <c r="I24" i="90" s="1"/>
  <c r="G24" i="90"/>
  <c r="G23" i="90"/>
  <c r="F23" i="90"/>
  <c r="E23" i="90"/>
  <c r="G22" i="90"/>
  <c r="F22" i="90"/>
  <c r="E22" i="90"/>
  <c r="F21" i="90"/>
  <c r="E21" i="90"/>
  <c r="G21" i="90" s="1"/>
  <c r="F20" i="90"/>
  <c r="E20" i="90"/>
  <c r="G20" i="90" s="1"/>
  <c r="H19" i="90"/>
  <c r="G19" i="90"/>
  <c r="I65" i="89" l="1"/>
  <c r="G65" i="89"/>
  <c r="G62" i="89"/>
  <c r="G61" i="89"/>
  <c r="G60" i="89"/>
  <c r="G49" i="89"/>
  <c r="H49" i="89" s="1"/>
  <c r="I49" i="89" s="1"/>
  <c r="G46" i="89"/>
  <c r="H46" i="89" s="1"/>
  <c r="G44" i="89"/>
  <c r="H44" i="89" s="1"/>
  <c r="I44" i="89" s="1"/>
  <c r="E35" i="89"/>
  <c r="F35" i="89" s="1"/>
  <c r="H35" i="89" s="1"/>
  <c r="G29" i="89"/>
  <c r="H28" i="89"/>
  <c r="G28" i="89"/>
  <c r="F28" i="89"/>
  <c r="E28" i="89"/>
  <c r="G26" i="89"/>
  <c r="G25" i="89"/>
  <c r="F25" i="89"/>
  <c r="H25" i="89" s="1"/>
  <c r="G24" i="89"/>
  <c r="H24" i="89" s="1"/>
  <c r="I24" i="89" s="1"/>
  <c r="H23" i="89"/>
  <c r="I23" i="89" s="1"/>
  <c r="G23" i="89"/>
  <c r="F22" i="89"/>
  <c r="E22" i="89"/>
  <c r="G22" i="89" s="1"/>
  <c r="F21" i="89"/>
  <c r="E21" i="89"/>
  <c r="G21" i="89" s="1"/>
  <c r="G20" i="89"/>
  <c r="F20" i="89"/>
  <c r="E20" i="89"/>
  <c r="G19" i="89"/>
  <c r="F19" i="89"/>
  <c r="E19" i="89"/>
  <c r="G18" i="89"/>
  <c r="H18" i="89" s="1"/>
  <c r="I70" i="88" l="1"/>
  <c r="G70" i="88"/>
  <c r="I66" i="88"/>
  <c r="G65" i="88"/>
  <c r="G64" i="88"/>
  <c r="G63" i="88"/>
  <c r="G66" i="88" s="1"/>
  <c r="G53" i="88"/>
  <c r="H53" i="88" s="1"/>
  <c r="I53" i="88" s="1"/>
  <c r="G51" i="88"/>
  <c r="H51" i="88" s="1"/>
  <c r="I51" i="88" s="1"/>
  <c r="G49" i="88"/>
  <c r="H49" i="88" s="1"/>
  <c r="I49" i="88" s="1"/>
  <c r="F39" i="88"/>
  <c r="H39" i="88" s="1"/>
  <c r="E39" i="88"/>
  <c r="G33" i="88"/>
  <c r="F33" i="88"/>
  <c r="H33" i="88" s="1"/>
  <c r="I33" i="88" s="1"/>
  <c r="G28" i="88"/>
  <c r="F28" i="88"/>
  <c r="H28" i="88" s="1"/>
  <c r="G27" i="88"/>
  <c r="H27" i="88" s="1"/>
  <c r="I27" i="88" s="1"/>
  <c r="I26" i="88"/>
  <c r="H26" i="88"/>
  <c r="G26" i="88"/>
  <c r="G25" i="88"/>
  <c r="H25" i="88" s="1"/>
  <c r="F24" i="88"/>
  <c r="E24" i="88"/>
  <c r="G24" i="88" s="1"/>
  <c r="G23" i="88"/>
  <c r="F23" i="88"/>
  <c r="E23" i="88"/>
  <c r="G22" i="88"/>
  <c r="F22" i="88"/>
  <c r="E22" i="88"/>
  <c r="F21" i="88"/>
  <c r="E21" i="88"/>
  <c r="G21" i="88" s="1"/>
  <c r="H20" i="88"/>
  <c r="I20" i="88" s="1"/>
  <c r="G20" i="88"/>
  <c r="I68" i="87" l="1"/>
  <c r="G68" i="87"/>
  <c r="I64" i="87"/>
  <c r="G63" i="87"/>
  <c r="G62" i="87"/>
  <c r="G61" i="87"/>
  <c r="G60" i="87"/>
  <c r="G64" i="87" s="1"/>
  <c r="H51" i="87"/>
  <c r="I51" i="87" s="1"/>
  <c r="G51" i="87"/>
  <c r="G48" i="87"/>
  <c r="H48" i="87" s="1"/>
  <c r="I48" i="87" s="1"/>
  <c r="G46" i="87"/>
  <c r="H46" i="87" s="1"/>
  <c r="I46" i="87" s="1"/>
  <c r="E40" i="87"/>
  <c r="F40" i="87" s="1"/>
  <c r="H40" i="87" s="1"/>
  <c r="H31" i="87"/>
  <c r="G31" i="87"/>
  <c r="G33" i="87" s="1"/>
  <c r="F31" i="87"/>
  <c r="G27" i="87"/>
  <c r="F27" i="87"/>
  <c r="H27" i="87" s="1"/>
  <c r="G26" i="87"/>
  <c r="H26" i="87" s="1"/>
  <c r="I26" i="87" s="1"/>
  <c r="H25" i="87"/>
  <c r="I25" i="87" s="1"/>
  <c r="G25" i="87"/>
  <c r="G24" i="87"/>
  <c r="F24" i="87"/>
  <c r="E24" i="87"/>
  <c r="F23" i="87"/>
  <c r="E23" i="87"/>
  <c r="G23" i="87" s="1"/>
  <c r="F22" i="87"/>
  <c r="E22" i="87"/>
  <c r="G22" i="87" s="1"/>
  <c r="F21" i="87"/>
  <c r="E21" i="87"/>
  <c r="G21" i="87" s="1"/>
  <c r="G20" i="87"/>
  <c r="H20" i="87" s="1"/>
  <c r="I20" i="87" s="1"/>
  <c r="I55" i="86" l="1"/>
  <c r="G29" i="86" s="1"/>
  <c r="H29" i="86" s="1"/>
  <c r="I29" i="86" s="1"/>
  <c r="G55" i="86"/>
  <c r="G54" i="86"/>
  <c r="G53" i="86"/>
  <c r="H40" i="86"/>
  <c r="I40" i="86" s="1"/>
  <c r="G40" i="86"/>
  <c r="H31" i="86"/>
  <c r="G27" i="86"/>
  <c r="H27" i="86" s="1"/>
  <c r="I27" i="86" s="1"/>
  <c r="H26" i="86"/>
  <c r="I26" i="86" s="1"/>
  <c r="G26" i="86"/>
  <c r="G25" i="86"/>
  <c r="F25" i="86"/>
  <c r="E25" i="86"/>
  <c r="G24" i="86"/>
  <c r="F24" i="86"/>
  <c r="E24" i="86"/>
  <c r="F23" i="86"/>
  <c r="E23" i="86"/>
  <c r="G23" i="86" s="1"/>
  <c r="F22" i="86"/>
  <c r="E22" i="86"/>
  <c r="G22" i="86" s="1"/>
  <c r="G20" i="86"/>
  <c r="H20" i="86" s="1"/>
  <c r="I20" i="86" s="1"/>
  <c r="I69" i="85" l="1"/>
  <c r="G69" i="85"/>
  <c r="I65" i="85"/>
  <c r="G64" i="85"/>
  <c r="G62" i="85"/>
  <c r="G65" i="85" s="1"/>
  <c r="G53" i="85"/>
  <c r="H53" i="85" s="1"/>
  <c r="I53" i="85" s="1"/>
  <c r="G51" i="85"/>
  <c r="H51" i="85" s="1"/>
  <c r="I51" i="85" s="1"/>
  <c r="H49" i="85"/>
  <c r="I49" i="85" s="1"/>
  <c r="G49" i="85"/>
  <c r="E41" i="85"/>
  <c r="F41" i="85" s="1"/>
  <c r="H41" i="85" s="1"/>
  <c r="G35" i="85"/>
  <c r="G32" i="85"/>
  <c r="F32" i="85"/>
  <c r="H32" i="85" s="1"/>
  <c r="G30" i="85"/>
  <c r="H30" i="85" s="1"/>
  <c r="H28" i="85"/>
  <c r="I28" i="85" s="1"/>
  <c r="G28" i="85"/>
  <c r="H27" i="85"/>
  <c r="I27" i="85" s="1"/>
  <c r="G27" i="85"/>
  <c r="H26" i="85"/>
  <c r="I26" i="85" s="1"/>
  <c r="G26" i="85"/>
  <c r="G25" i="85"/>
  <c r="F25" i="85"/>
  <c r="E25" i="85"/>
  <c r="F24" i="85"/>
  <c r="E24" i="85"/>
  <c r="G24" i="85" s="1"/>
  <c r="F23" i="85"/>
  <c r="E23" i="85"/>
  <c r="G23" i="85" s="1"/>
  <c r="F22" i="85"/>
  <c r="E22" i="85"/>
  <c r="G22" i="85" s="1"/>
  <c r="G20" i="85"/>
  <c r="H20" i="85" s="1"/>
  <c r="I20" i="85" s="1"/>
  <c r="I65" i="84" l="1"/>
  <c r="G65" i="84"/>
  <c r="I60" i="84"/>
  <c r="G58" i="84"/>
  <c r="G57" i="84"/>
  <c r="G60" i="84" s="1"/>
  <c r="H47" i="84"/>
  <c r="I47" i="84" s="1"/>
  <c r="G47" i="84"/>
  <c r="G45" i="84"/>
  <c r="H45" i="84" s="1"/>
  <c r="I45" i="84" s="1"/>
  <c r="F38" i="84"/>
  <c r="H38" i="84" s="1"/>
  <c r="E38" i="84"/>
  <c r="I33" i="84"/>
  <c r="G33" i="84"/>
  <c r="G30" i="84"/>
  <c r="G29" i="84"/>
  <c r="F29" i="84"/>
  <c r="H29" i="84" s="1"/>
  <c r="I29" i="84" s="1"/>
  <c r="H27" i="84"/>
  <c r="I27" i="84" s="1"/>
  <c r="G27" i="84"/>
  <c r="G26" i="84"/>
  <c r="H26" i="84" s="1"/>
  <c r="I26" i="84" s="1"/>
  <c r="F25" i="84"/>
  <c r="E25" i="84"/>
  <c r="G25" i="84" s="1"/>
  <c r="F24" i="84"/>
  <c r="E24" i="84"/>
  <c r="G24" i="84" s="1"/>
  <c r="F23" i="84"/>
  <c r="E23" i="84"/>
  <c r="G23" i="84" s="1"/>
  <c r="G22" i="84"/>
  <c r="F22" i="84"/>
  <c r="E22" i="84"/>
  <c r="H21" i="84"/>
  <c r="I21" i="84" s="1"/>
  <c r="G21" i="84"/>
  <c r="I65" i="83" l="1"/>
  <c r="G65" i="83"/>
  <c r="I61" i="83"/>
  <c r="G59" i="83"/>
  <c r="G61" i="83" s="1"/>
  <c r="I48" i="83"/>
  <c r="H48" i="83"/>
  <c r="G48" i="83"/>
  <c r="H46" i="83"/>
  <c r="I46" i="83" s="1"/>
  <c r="G46" i="83"/>
  <c r="E38" i="83"/>
  <c r="F38" i="83" s="1"/>
  <c r="H38" i="83" s="1"/>
  <c r="H31" i="83"/>
  <c r="F31" i="83"/>
  <c r="G28" i="83"/>
  <c r="H28" i="83" s="1"/>
  <c r="H26" i="83"/>
  <c r="G26" i="83"/>
  <c r="H25" i="83"/>
  <c r="I25" i="83" s="1"/>
  <c r="G25" i="83"/>
  <c r="F24" i="83"/>
  <c r="E24" i="83"/>
  <c r="G24" i="83" s="1"/>
  <c r="F23" i="83"/>
  <c r="E23" i="83"/>
  <c r="G23" i="83" s="1"/>
  <c r="G22" i="83"/>
  <c r="F22" i="83"/>
  <c r="E22" i="83"/>
  <c r="F21" i="83"/>
  <c r="E21" i="83"/>
  <c r="G21" i="83" s="1"/>
  <c r="G20" i="83"/>
  <c r="H20" i="83" s="1"/>
  <c r="I20" i="83" s="1"/>
  <c r="I65" i="82" l="1"/>
  <c r="G65" i="82"/>
  <c r="I60" i="82"/>
  <c r="G58" i="82"/>
  <c r="G57" i="82"/>
  <c r="G60" i="82" s="1"/>
  <c r="G47" i="82"/>
  <c r="H47" i="82" s="1"/>
  <c r="I47" i="82" s="1"/>
  <c r="G44" i="82"/>
  <c r="H44" i="82" s="1"/>
  <c r="I44" i="82" s="1"/>
  <c r="H42" i="82"/>
  <c r="I42" i="82" s="1"/>
  <c r="G42" i="82"/>
  <c r="E36" i="82"/>
  <c r="F36" i="82" s="1"/>
  <c r="H36" i="82" s="1"/>
  <c r="G30" i="82"/>
  <c r="G31" i="82" s="1"/>
  <c r="F30" i="82"/>
  <c r="H30" i="82" s="1"/>
  <c r="G29" i="82"/>
  <c r="H29" i="82" s="1"/>
  <c r="H28" i="82"/>
  <c r="I28" i="82" s="1"/>
  <c r="G28" i="82"/>
  <c r="G27" i="82"/>
  <c r="H27" i="82" s="1"/>
  <c r="I27" i="82" s="1"/>
  <c r="G26" i="82"/>
  <c r="H26" i="82" s="1"/>
  <c r="I26" i="82" s="1"/>
  <c r="I25" i="82"/>
  <c r="H25" i="82"/>
  <c r="G25" i="82"/>
  <c r="H24" i="82"/>
  <c r="G24" i="82"/>
  <c r="F23" i="82"/>
  <c r="E23" i="82"/>
  <c r="G23" i="82" s="1"/>
  <c r="G22" i="82"/>
  <c r="F22" i="82"/>
  <c r="E22" i="82"/>
  <c r="G21" i="82"/>
  <c r="F21" i="82"/>
  <c r="E21" i="82"/>
  <c r="F20" i="82"/>
  <c r="E20" i="82"/>
  <c r="G20" i="82" s="1"/>
  <c r="G19" i="82"/>
  <c r="H19" i="82" s="1"/>
  <c r="I19" i="82" s="1"/>
  <c r="I49" i="81" l="1"/>
  <c r="G49" i="81"/>
  <c r="G47" i="81"/>
  <c r="H37" i="81"/>
  <c r="I37" i="81" s="1"/>
  <c r="G37" i="81"/>
  <c r="G35" i="81"/>
  <c r="H35" i="81" s="1"/>
  <c r="I35" i="81" s="1"/>
  <c r="G27" i="81"/>
  <c r="G26" i="81" s="1"/>
  <c r="F26" i="81"/>
  <c r="H26" i="81" s="1"/>
  <c r="I26" i="81" s="1"/>
  <c r="G25" i="81"/>
  <c r="H25" i="81" s="1"/>
  <c r="I25" i="81" s="1"/>
  <c r="G24" i="81"/>
  <c r="H24" i="81" s="1"/>
  <c r="I24" i="81" s="1"/>
  <c r="F23" i="81"/>
  <c r="E23" i="81"/>
  <c r="G23" i="81" s="1"/>
  <c r="F22" i="81"/>
  <c r="E22" i="81"/>
  <c r="G22" i="81" s="1"/>
  <c r="F21" i="81"/>
  <c r="E21" i="81"/>
  <c r="G21" i="81" s="1"/>
  <c r="G20" i="81"/>
  <c r="F20" i="81"/>
  <c r="E20" i="81"/>
  <c r="H19" i="81"/>
  <c r="I19" i="81" s="1"/>
  <c r="G19" i="81"/>
  <c r="I65" i="80" l="1"/>
  <c r="G65" i="80"/>
  <c r="I61" i="80"/>
  <c r="G59" i="80"/>
  <c r="G61" i="80" s="1"/>
  <c r="G48" i="80"/>
  <c r="H48" i="80" s="1"/>
  <c r="I48" i="80" s="1"/>
  <c r="H46" i="80"/>
  <c r="I46" i="80" s="1"/>
  <c r="G46" i="80"/>
  <c r="E37" i="80"/>
  <c r="F37" i="80" s="1"/>
  <c r="H37" i="80" s="1"/>
  <c r="G32" i="80"/>
  <c r="G31" i="80"/>
  <c r="F31" i="80"/>
  <c r="H31" i="80" s="1"/>
  <c r="G28" i="80"/>
  <c r="H28" i="80" s="1"/>
  <c r="H26" i="80"/>
  <c r="I26" i="80" s="1"/>
  <c r="G26" i="80"/>
  <c r="G25" i="80"/>
  <c r="H25" i="80" s="1"/>
  <c r="I25" i="80" s="1"/>
  <c r="F24" i="80"/>
  <c r="E24" i="80"/>
  <c r="G24" i="80" s="1"/>
  <c r="G23" i="80"/>
  <c r="F23" i="80"/>
  <c r="E23" i="80"/>
  <c r="G22" i="80"/>
  <c r="F22" i="80"/>
  <c r="E22" i="80"/>
  <c r="F21" i="80"/>
  <c r="E21" i="80"/>
  <c r="G21" i="80" s="1"/>
  <c r="G19" i="80"/>
  <c r="H19" i="80" s="1"/>
  <c r="I19" i="80" s="1"/>
  <c r="I59" i="79" l="1"/>
  <c r="G59" i="79"/>
  <c r="G58" i="79"/>
  <c r="G45" i="79"/>
  <c r="H45" i="79" s="1"/>
  <c r="I45" i="79" s="1"/>
  <c r="G43" i="79"/>
  <c r="H43" i="79" s="1"/>
  <c r="I43" i="79" s="1"/>
  <c r="H31" i="79"/>
  <c r="F31" i="79"/>
  <c r="G30" i="79"/>
  <c r="H30" i="79" s="1"/>
  <c r="G28" i="79"/>
  <c r="H28" i="79" s="1"/>
  <c r="I28" i="79" s="1"/>
  <c r="H27" i="79"/>
  <c r="I27" i="79" s="1"/>
  <c r="G27" i="79"/>
  <c r="F26" i="79"/>
  <c r="E26" i="79"/>
  <c r="G26" i="79" s="1"/>
  <c r="F25" i="79"/>
  <c r="E25" i="79"/>
  <c r="G25" i="79" s="1"/>
  <c r="G24" i="79"/>
  <c r="F24" i="79"/>
  <c r="E24" i="79"/>
  <c r="G23" i="79"/>
  <c r="F23" i="79"/>
  <c r="E23" i="79"/>
  <c r="G21" i="79"/>
  <c r="H21" i="79" s="1"/>
  <c r="I21" i="79" s="1"/>
  <c r="I68" i="78" l="1"/>
  <c r="G68" i="78"/>
  <c r="I64" i="78"/>
  <c r="G62" i="78"/>
  <c r="G61" i="78"/>
  <c r="G60" i="78"/>
  <c r="G64" i="78" s="1"/>
  <c r="G48" i="78"/>
  <c r="H48" i="78" s="1"/>
  <c r="I48" i="78" s="1"/>
  <c r="H46" i="78"/>
  <c r="I46" i="78" s="1"/>
  <c r="G46" i="78"/>
  <c r="E37" i="78"/>
  <c r="F37" i="78" s="1"/>
  <c r="H37" i="78" s="1"/>
  <c r="G32" i="78"/>
  <c r="H31" i="78"/>
  <c r="G31" i="78"/>
  <c r="F31" i="78"/>
  <c r="G28" i="78"/>
  <c r="H27" i="78"/>
  <c r="G27" i="78"/>
  <c r="F27" i="78"/>
  <c r="H26" i="78"/>
  <c r="I26" i="78" s="1"/>
  <c r="G26" i="78"/>
  <c r="G25" i="78"/>
  <c r="H25" i="78" s="1"/>
  <c r="I25" i="78" s="1"/>
  <c r="H24" i="78"/>
  <c r="I24" i="78" s="1"/>
  <c r="G24" i="78"/>
  <c r="G23" i="78"/>
  <c r="F23" i="78"/>
  <c r="E23" i="78"/>
  <c r="F22" i="78"/>
  <c r="E22" i="78"/>
  <c r="G22" i="78" s="1"/>
  <c r="F21" i="78"/>
  <c r="E21" i="78"/>
  <c r="G21" i="78" s="1"/>
  <c r="F20" i="78"/>
  <c r="E20" i="78"/>
  <c r="G20" i="78" s="1"/>
  <c r="G19" i="78"/>
  <c r="H19" i="78" s="1"/>
  <c r="I19" i="78" s="1"/>
  <c r="I53" i="77" l="1"/>
  <c r="G53" i="77"/>
  <c r="G38" i="77"/>
  <c r="H38" i="77" s="1"/>
  <c r="I38" i="77" s="1"/>
  <c r="H31" i="77"/>
  <c r="G29" i="77"/>
  <c r="H29" i="77" s="1"/>
  <c r="H28" i="77"/>
  <c r="I28" i="77" s="1"/>
  <c r="G28" i="77"/>
  <c r="H27" i="77"/>
  <c r="I27" i="77" s="1"/>
  <c r="G27" i="77"/>
  <c r="F26" i="77"/>
  <c r="E26" i="77"/>
  <c r="G26" i="77" s="1"/>
  <c r="G25" i="77"/>
  <c r="F25" i="77"/>
  <c r="E25" i="77"/>
  <c r="G24" i="77"/>
  <c r="F24" i="77"/>
  <c r="E24" i="77"/>
  <c r="F23" i="77"/>
  <c r="E23" i="77"/>
  <c r="G23" i="77" s="1"/>
  <c r="G21" i="77"/>
  <c r="H21" i="77" s="1"/>
  <c r="I21" i="77" s="1"/>
  <c r="H41" i="76" l="1"/>
  <c r="I41" i="76" s="1"/>
  <c r="G41" i="76"/>
  <c r="F29" i="76"/>
  <c r="H29" i="76" s="1"/>
  <c r="H26" i="76"/>
  <c r="F26" i="76"/>
  <c r="G25" i="76"/>
  <c r="H25" i="76" s="1"/>
  <c r="I25" i="76" s="1"/>
  <c r="G24" i="76"/>
  <c r="H24" i="76" s="1"/>
  <c r="I24" i="76" s="1"/>
  <c r="G23" i="76"/>
  <c r="F23" i="76"/>
  <c r="E23" i="76"/>
  <c r="G22" i="76"/>
  <c r="F22" i="76"/>
  <c r="E22" i="76"/>
  <c r="F21" i="76"/>
  <c r="E21" i="76"/>
  <c r="G21" i="76" s="1"/>
  <c r="F20" i="76"/>
  <c r="E20" i="76"/>
  <c r="G20" i="76" s="1"/>
  <c r="G18" i="76"/>
  <c r="H18" i="76" s="1"/>
  <c r="I18" i="76" s="1"/>
  <c r="I63" i="75" l="1"/>
  <c r="G63" i="75"/>
  <c r="I59" i="75"/>
  <c r="G57" i="75"/>
  <c r="G56" i="75"/>
  <c r="G55" i="75"/>
  <c r="G59" i="75" s="1"/>
  <c r="G46" i="75"/>
  <c r="H46" i="75" s="1"/>
  <c r="I46" i="75" s="1"/>
  <c r="G44" i="75"/>
  <c r="H44" i="75" s="1"/>
  <c r="I44" i="75" s="1"/>
  <c r="E36" i="75"/>
  <c r="F36" i="75" s="1"/>
  <c r="H36" i="75" s="1"/>
  <c r="G30" i="75"/>
  <c r="H29" i="75"/>
  <c r="G29" i="75"/>
  <c r="F29" i="75"/>
  <c r="G27" i="75"/>
  <c r="G26" i="75" s="1"/>
  <c r="H26" i="75" s="1"/>
  <c r="F26" i="75"/>
  <c r="H25" i="75"/>
  <c r="I25" i="75" s="1"/>
  <c r="G25" i="75"/>
  <c r="H24" i="75"/>
  <c r="I24" i="75" s="1"/>
  <c r="G24" i="75"/>
  <c r="H23" i="75"/>
  <c r="G23" i="75"/>
  <c r="G22" i="75"/>
  <c r="F22" i="75"/>
  <c r="E22" i="75"/>
  <c r="F21" i="75"/>
  <c r="E21" i="75"/>
  <c r="G21" i="75" s="1"/>
  <c r="F20" i="75"/>
  <c r="E20" i="75"/>
  <c r="G20" i="75" s="1"/>
  <c r="G19" i="75"/>
  <c r="F19" i="75"/>
  <c r="E19" i="75"/>
  <c r="H18" i="75"/>
  <c r="I18" i="75" s="1"/>
  <c r="G18" i="75"/>
  <c r="I53" i="74" l="1"/>
  <c r="G53" i="74"/>
  <c r="H39" i="74"/>
  <c r="I39" i="74" s="1"/>
  <c r="G39" i="74"/>
  <c r="G29" i="74"/>
  <c r="G28" i="74" s="1"/>
  <c r="F28" i="74"/>
  <c r="H28" i="74" s="1"/>
  <c r="H25" i="74"/>
  <c r="G25" i="74"/>
  <c r="F25" i="74"/>
  <c r="H24" i="74"/>
  <c r="I24" i="74" s="1"/>
  <c r="G24" i="74"/>
  <c r="H23" i="74"/>
  <c r="I23" i="74" s="1"/>
  <c r="G23" i="74"/>
  <c r="F22" i="74"/>
  <c r="E22" i="74"/>
  <c r="G22" i="74" s="1"/>
  <c r="G21" i="74"/>
  <c r="F21" i="74"/>
  <c r="E21" i="74"/>
  <c r="F20" i="74"/>
  <c r="E20" i="74"/>
  <c r="G20" i="74" s="1"/>
  <c r="F19" i="74"/>
  <c r="E19" i="74"/>
  <c r="G19" i="74" s="1"/>
  <c r="H18" i="74"/>
  <c r="I18" i="74" s="1"/>
  <c r="G18" i="74"/>
  <c r="I69" i="73" l="1"/>
  <c r="G69" i="73"/>
  <c r="G67" i="73"/>
  <c r="I65" i="73"/>
  <c r="G63" i="73"/>
  <c r="G62" i="73"/>
  <c r="G61" i="73"/>
  <c r="G60" i="73"/>
  <c r="G59" i="73"/>
  <c r="G58" i="73"/>
  <c r="G57" i="73"/>
  <c r="G65" i="73" s="1"/>
  <c r="H50" i="73"/>
  <c r="I50" i="73" s="1"/>
  <c r="G50" i="73"/>
  <c r="G48" i="73"/>
  <c r="H48" i="73" s="1"/>
  <c r="I48" i="73" s="1"/>
  <c r="H46" i="73"/>
  <c r="I46" i="73" s="1"/>
  <c r="G46" i="73"/>
  <c r="E38" i="73"/>
  <c r="F38" i="73" s="1"/>
  <c r="H38" i="73" s="1"/>
  <c r="G31" i="73"/>
  <c r="H31" i="73" s="1"/>
  <c r="F31" i="73"/>
  <c r="G28" i="73"/>
  <c r="F28" i="73"/>
  <c r="H28" i="73" s="1"/>
  <c r="H27" i="73"/>
  <c r="I27" i="73" s="1"/>
  <c r="G27" i="73"/>
  <c r="G26" i="73"/>
  <c r="H26" i="73" s="1"/>
  <c r="I26" i="73" s="1"/>
  <c r="H25" i="73"/>
  <c r="I25" i="73" s="1"/>
  <c r="G25" i="73"/>
  <c r="I24" i="73"/>
  <c r="H24" i="73"/>
  <c r="G24" i="73"/>
  <c r="H23" i="73"/>
  <c r="I23" i="73" s="1"/>
  <c r="G23" i="73"/>
  <c r="G22" i="73"/>
  <c r="F22" i="73"/>
  <c r="E22" i="73"/>
  <c r="G21" i="73"/>
  <c r="F21" i="73"/>
  <c r="E21" i="73"/>
  <c r="F20" i="73"/>
  <c r="E20" i="73"/>
  <c r="G20" i="73" s="1"/>
  <c r="F19" i="73"/>
  <c r="E19" i="73"/>
  <c r="G19" i="73" s="1"/>
  <c r="G18" i="73"/>
  <c r="H18" i="73" s="1"/>
  <c r="I18" i="73" s="1"/>
  <c r="I66" i="72" l="1"/>
  <c r="G66" i="72"/>
  <c r="G65" i="72"/>
  <c r="I62" i="72"/>
  <c r="G60" i="72"/>
  <c r="G59" i="72"/>
  <c r="G58" i="72"/>
  <c r="G57" i="72"/>
  <c r="G56" i="72"/>
  <c r="G55" i="72"/>
  <c r="G62" i="72" s="1"/>
  <c r="G47" i="72"/>
  <c r="H47" i="72" s="1"/>
  <c r="I47" i="72" s="1"/>
  <c r="G45" i="72"/>
  <c r="H45" i="72" s="1"/>
  <c r="I45" i="72" s="1"/>
  <c r="G43" i="72"/>
  <c r="H43" i="72" s="1"/>
  <c r="I43" i="72" s="1"/>
  <c r="F36" i="72"/>
  <c r="H36" i="72" s="1"/>
  <c r="E36" i="72"/>
  <c r="G31" i="72"/>
  <c r="H31" i="72" s="1"/>
  <c r="E31" i="72"/>
  <c r="G30" i="72"/>
  <c r="H30" i="72" s="1"/>
  <c r="H29" i="72"/>
  <c r="I29" i="72" s="1"/>
  <c r="G29" i="72"/>
  <c r="G28" i="72"/>
  <c r="H28" i="72" s="1"/>
  <c r="I28" i="72" s="1"/>
  <c r="G27" i="72"/>
  <c r="H27" i="72" s="1"/>
  <c r="I27" i="72" s="1"/>
  <c r="I26" i="72"/>
  <c r="H26" i="72"/>
  <c r="G26" i="72"/>
  <c r="H25" i="72"/>
  <c r="G25" i="72"/>
  <c r="H24" i="72"/>
  <c r="I24" i="72" s="1"/>
  <c r="G24" i="72"/>
  <c r="G23" i="72"/>
  <c r="F23" i="72"/>
  <c r="E23" i="72"/>
  <c r="G22" i="72"/>
  <c r="F22" i="72"/>
  <c r="E22" i="72"/>
  <c r="F21" i="72"/>
  <c r="E21" i="72"/>
  <c r="G21" i="72" s="1"/>
  <c r="F20" i="72"/>
  <c r="E20" i="72"/>
  <c r="G20" i="72" s="1"/>
  <c r="G19" i="72"/>
  <c r="H19" i="72" s="1"/>
  <c r="I19" i="72" s="1"/>
  <c r="I63" i="71" l="1"/>
  <c r="G63" i="71"/>
  <c r="I59" i="71"/>
  <c r="G58" i="71"/>
  <c r="G57" i="71"/>
  <c r="G56" i="71"/>
  <c r="G55" i="71"/>
  <c r="G54" i="71"/>
  <c r="G59" i="71" s="1"/>
  <c r="G47" i="71"/>
  <c r="H47" i="71" s="1"/>
  <c r="I47" i="71" s="1"/>
  <c r="H45" i="71"/>
  <c r="I45" i="71" s="1"/>
  <c r="G45" i="71"/>
  <c r="G43" i="71"/>
  <c r="H43" i="71" s="1"/>
  <c r="I43" i="71" s="1"/>
  <c r="E35" i="71"/>
  <c r="F35" i="71" s="1"/>
  <c r="H35" i="71" s="1"/>
  <c r="I28" i="71"/>
  <c r="H28" i="71"/>
  <c r="G27" i="71"/>
  <c r="H27" i="71" s="1"/>
  <c r="G26" i="71"/>
  <c r="H26" i="71" s="1"/>
  <c r="I26" i="71" s="1"/>
  <c r="H25" i="71"/>
  <c r="I25" i="71" s="1"/>
  <c r="G25" i="71"/>
  <c r="G24" i="71"/>
  <c r="H24" i="71" s="1"/>
  <c r="I24" i="71" s="1"/>
  <c r="H23" i="71"/>
  <c r="I23" i="71" s="1"/>
  <c r="G23" i="71"/>
  <c r="G22" i="71"/>
  <c r="F22" i="71"/>
  <c r="E22" i="71"/>
  <c r="F21" i="71"/>
  <c r="E21" i="71"/>
  <c r="G21" i="71" s="1"/>
  <c r="F20" i="71"/>
  <c r="E20" i="71"/>
  <c r="G20" i="71" s="1"/>
  <c r="F19" i="71"/>
  <c r="E19" i="71"/>
  <c r="G19" i="71" s="1"/>
  <c r="G18" i="71"/>
  <c r="H18" i="71" s="1"/>
  <c r="I18" i="71" s="1"/>
  <c r="I59" i="70" l="1"/>
  <c r="G59" i="70"/>
  <c r="G58" i="70"/>
  <c r="G57" i="70"/>
  <c r="H49" i="70"/>
  <c r="I49" i="70" s="1"/>
  <c r="G49" i="70"/>
  <c r="G46" i="70"/>
  <c r="H46" i="70" s="1"/>
  <c r="I46" i="70" s="1"/>
  <c r="G44" i="70"/>
  <c r="H44" i="70" s="1"/>
  <c r="I44" i="70" s="1"/>
  <c r="E34" i="70"/>
  <c r="F34" i="70" s="1"/>
  <c r="H34" i="70" s="1"/>
  <c r="G29" i="70"/>
  <c r="G28" i="70" s="1"/>
  <c r="H28" i="70" s="1"/>
  <c r="F28" i="70"/>
  <c r="H27" i="70"/>
  <c r="I27" i="70" s="1"/>
  <c r="G27" i="70"/>
  <c r="G25" i="70"/>
  <c r="H25" i="70" s="1"/>
  <c r="I25" i="70" s="1"/>
  <c r="H24" i="70"/>
  <c r="I24" i="70" s="1"/>
  <c r="G24" i="70"/>
  <c r="I23" i="70"/>
  <c r="H23" i="70"/>
  <c r="G23" i="70"/>
  <c r="G22" i="70"/>
  <c r="F22" i="70"/>
  <c r="E22" i="70"/>
  <c r="F21" i="70"/>
  <c r="E21" i="70"/>
  <c r="G21" i="70" s="1"/>
  <c r="F20" i="70"/>
  <c r="E20" i="70"/>
  <c r="G20" i="70" s="1"/>
  <c r="G19" i="70"/>
  <c r="F19" i="70"/>
  <c r="E19" i="70"/>
  <c r="H18" i="70"/>
  <c r="I18" i="70" s="1"/>
  <c r="G18" i="70"/>
  <c r="I80" i="69" l="1"/>
  <c r="G80" i="69"/>
  <c r="I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76" i="69" s="1"/>
  <c r="G51" i="69"/>
  <c r="H51" i="69" s="1"/>
  <c r="I51" i="69" s="1"/>
  <c r="G49" i="69"/>
  <c r="H49" i="69" s="1"/>
  <c r="I49" i="69" s="1"/>
  <c r="H47" i="69"/>
  <c r="I47" i="69" s="1"/>
  <c r="G47" i="69"/>
  <c r="E39" i="69"/>
  <c r="F39" i="69" s="1"/>
  <c r="H39" i="69" s="1"/>
  <c r="G34" i="69"/>
  <c r="F34" i="69"/>
  <c r="H34" i="69" s="1"/>
  <c r="I34" i="69" s="1"/>
  <c r="G31" i="69"/>
  <c r="G30" i="69"/>
  <c r="H30" i="69" s="1"/>
  <c r="I30" i="69" s="1"/>
  <c r="F30" i="69"/>
  <c r="G29" i="69"/>
  <c r="H29" i="69" s="1"/>
  <c r="I29" i="69" s="1"/>
  <c r="E28" i="69"/>
  <c r="G28" i="69" s="1"/>
  <c r="H28" i="69" s="1"/>
  <c r="G26" i="69"/>
  <c r="H26" i="69" s="1"/>
  <c r="I26" i="69" s="1"/>
  <c r="H25" i="69"/>
  <c r="I25" i="69" s="1"/>
  <c r="G25" i="69"/>
  <c r="H24" i="69"/>
  <c r="G24" i="69"/>
  <c r="G23" i="69"/>
  <c r="F23" i="69"/>
  <c r="E23" i="69"/>
  <c r="G22" i="69"/>
  <c r="F22" i="69"/>
  <c r="E22" i="69"/>
  <c r="F21" i="69"/>
  <c r="E21" i="69"/>
  <c r="G21" i="69" s="1"/>
  <c r="F20" i="69"/>
  <c r="E20" i="69"/>
  <c r="G20" i="69" s="1"/>
  <c r="G19" i="69"/>
  <c r="H19" i="69" s="1"/>
  <c r="I19" i="69" s="1"/>
  <c r="I57" i="68" l="1"/>
  <c r="G57" i="68"/>
  <c r="G56" i="68"/>
  <c r="G55" i="68"/>
  <c r="G54" i="68"/>
  <c r="G53" i="68"/>
  <c r="G52" i="68"/>
  <c r="G45" i="68"/>
  <c r="H45" i="68" s="1"/>
  <c r="I45" i="68" s="1"/>
  <c r="G43" i="68"/>
  <c r="H43" i="68" s="1"/>
  <c r="I43" i="68" s="1"/>
  <c r="G41" i="68"/>
  <c r="H41" i="68" s="1"/>
  <c r="I41" i="68" s="1"/>
  <c r="F34" i="68"/>
  <c r="H34" i="68" s="1"/>
  <c r="E34" i="68"/>
  <c r="F29" i="68"/>
  <c r="H29" i="68" s="1"/>
  <c r="G27" i="68"/>
  <c r="G26" i="68" s="1"/>
  <c r="F26" i="68"/>
  <c r="G25" i="68"/>
  <c r="H25" i="68" s="1"/>
  <c r="I25" i="68" s="1"/>
  <c r="H24" i="68"/>
  <c r="I24" i="68" s="1"/>
  <c r="G24" i="68"/>
  <c r="G23" i="68"/>
  <c r="H23" i="68" s="1"/>
  <c r="I23" i="68" s="1"/>
  <c r="F22" i="68"/>
  <c r="E22" i="68"/>
  <c r="G22" i="68" s="1"/>
  <c r="G21" i="68"/>
  <c r="F21" i="68"/>
  <c r="E21" i="68"/>
  <c r="G20" i="68"/>
  <c r="F20" i="68"/>
  <c r="E20" i="68"/>
  <c r="F19" i="68"/>
  <c r="E19" i="68"/>
  <c r="G19" i="68" s="1"/>
  <c r="G18" i="68"/>
  <c r="H18" i="68" s="1"/>
  <c r="I18" i="68" s="1"/>
  <c r="H26" i="68" l="1"/>
  <c r="I64" i="67"/>
  <c r="G32" i="67" s="1"/>
  <c r="G31" i="67" s="1"/>
  <c r="G64" i="67"/>
  <c r="I60" i="67"/>
  <c r="G59" i="67"/>
  <c r="G58" i="67"/>
  <c r="G57" i="67"/>
  <c r="G56" i="67"/>
  <c r="G55" i="67"/>
  <c r="G60" i="67" s="1"/>
  <c r="G48" i="67"/>
  <c r="H48" i="67" s="1"/>
  <c r="I48" i="67" s="1"/>
  <c r="G46" i="67"/>
  <c r="H46" i="67" s="1"/>
  <c r="I46" i="67" s="1"/>
  <c r="H44" i="67"/>
  <c r="I44" i="67" s="1"/>
  <c r="G44" i="67"/>
  <c r="E38" i="67"/>
  <c r="F38" i="67" s="1"/>
  <c r="H38" i="67" s="1"/>
  <c r="F31" i="67"/>
  <c r="H31" i="67" s="1"/>
  <c r="G27" i="67"/>
  <c r="G26" i="67"/>
  <c r="F26" i="67"/>
  <c r="H26" i="67" s="1"/>
  <c r="H25" i="67"/>
  <c r="I25" i="67" s="1"/>
  <c r="G25" i="67"/>
  <c r="G24" i="67"/>
  <c r="H24" i="67" s="1"/>
  <c r="I24" i="67" s="1"/>
  <c r="H23" i="67"/>
  <c r="I23" i="67" s="1"/>
  <c r="G23" i="67"/>
  <c r="F22" i="67"/>
  <c r="E22" i="67"/>
  <c r="G22" i="67" s="1"/>
  <c r="F21" i="67"/>
  <c r="E21" i="67"/>
  <c r="G21" i="67" s="1"/>
  <c r="G20" i="67"/>
  <c r="F20" i="67"/>
  <c r="E20" i="67"/>
  <c r="G19" i="67"/>
  <c r="F19" i="67"/>
  <c r="E19" i="67"/>
  <c r="G18" i="67"/>
  <c r="H18" i="67" s="1"/>
  <c r="I18" i="67" s="1"/>
  <c r="I62" i="66" l="1"/>
  <c r="G62" i="66"/>
  <c r="I58" i="66"/>
  <c r="G57" i="66"/>
  <c r="G56" i="66"/>
  <c r="G55" i="66"/>
  <c r="G58" i="66" s="1"/>
  <c r="G48" i="66"/>
  <c r="H48" i="66" s="1"/>
  <c r="I48" i="66" s="1"/>
  <c r="H46" i="66"/>
  <c r="I46" i="66" s="1"/>
  <c r="G46" i="66"/>
  <c r="E40" i="66"/>
  <c r="F40" i="66" s="1"/>
  <c r="I40" i="66" s="1"/>
  <c r="G34" i="66"/>
  <c r="E34" i="66"/>
  <c r="F33" i="66"/>
  <c r="H33" i="66" s="1"/>
  <c r="G29" i="66"/>
  <c r="H28" i="66"/>
  <c r="G28" i="66"/>
  <c r="F28" i="66"/>
  <c r="H27" i="66"/>
  <c r="I27" i="66" s="1"/>
  <c r="G27" i="66"/>
  <c r="G26" i="66"/>
  <c r="H26" i="66" s="1"/>
  <c r="I26" i="66" s="1"/>
  <c r="H25" i="66"/>
  <c r="G25" i="66"/>
  <c r="F24" i="66"/>
  <c r="E24" i="66"/>
  <c r="G24" i="66" s="1"/>
  <c r="F23" i="66"/>
  <c r="E23" i="66"/>
  <c r="G23" i="66" s="1"/>
  <c r="F22" i="66"/>
  <c r="E22" i="66"/>
  <c r="G22" i="66" s="1"/>
  <c r="G21" i="66"/>
  <c r="F21" i="66"/>
  <c r="E21" i="66"/>
  <c r="H20" i="66"/>
  <c r="I20" i="66" s="1"/>
  <c r="G20" i="66"/>
  <c r="G19" i="66"/>
  <c r="I56" i="65" l="1"/>
  <c r="G56" i="65"/>
  <c r="G54" i="65"/>
  <c r="G53" i="65"/>
  <c r="G52" i="65"/>
  <c r="G44" i="65"/>
  <c r="H44" i="65" s="1"/>
  <c r="I44" i="65" s="1"/>
  <c r="H42" i="65"/>
  <c r="I42" i="65" s="1"/>
  <c r="G42" i="65"/>
  <c r="E35" i="65"/>
  <c r="F35" i="65" s="1"/>
  <c r="H35" i="65" s="1"/>
  <c r="H29" i="65"/>
  <c r="I29" i="65" s="1"/>
  <c r="G26" i="65"/>
  <c r="H25" i="65"/>
  <c r="G25" i="65"/>
  <c r="F25" i="65"/>
  <c r="H24" i="65"/>
  <c r="I24" i="65" s="1"/>
  <c r="G24" i="65"/>
  <c r="G23" i="65"/>
  <c r="H23" i="65" s="1"/>
  <c r="I23" i="65" s="1"/>
  <c r="F22" i="65"/>
  <c r="E22" i="65"/>
  <c r="G22" i="65" s="1"/>
  <c r="G21" i="65"/>
  <c r="F21" i="65"/>
  <c r="E21" i="65"/>
  <c r="G20" i="65"/>
  <c r="F20" i="65"/>
  <c r="E20" i="65"/>
  <c r="F19" i="65"/>
  <c r="E19" i="65"/>
  <c r="G19" i="65" s="1"/>
  <c r="G18" i="65"/>
  <c r="H18" i="65" s="1"/>
  <c r="I18" i="65" s="1"/>
  <c r="I64" i="64" l="1"/>
  <c r="G64" i="64"/>
  <c r="I60" i="64"/>
  <c r="G59" i="64"/>
  <c r="G58" i="64"/>
  <c r="G57" i="64"/>
  <c r="G56" i="64"/>
  <c r="G55" i="64"/>
  <c r="G54" i="64"/>
  <c r="G53" i="64"/>
  <c r="G52" i="64"/>
  <c r="G60" i="64" s="1"/>
  <c r="H44" i="64"/>
  <c r="I44" i="64" s="1"/>
  <c r="G44" i="64"/>
  <c r="G42" i="64"/>
  <c r="H42" i="64" s="1"/>
  <c r="I42" i="64" s="1"/>
  <c r="E34" i="64"/>
  <c r="F34" i="64" s="1"/>
  <c r="H34" i="64" s="1"/>
  <c r="G29" i="64"/>
  <c r="G28" i="64"/>
  <c r="F28" i="64"/>
  <c r="H28" i="64" s="1"/>
  <c r="E28" i="64"/>
  <c r="G26" i="64"/>
  <c r="H26" i="64" s="1"/>
  <c r="I26" i="64" s="1"/>
  <c r="G25" i="64"/>
  <c r="H25" i="64" s="1"/>
  <c r="I25" i="64" s="1"/>
  <c r="H24" i="64"/>
  <c r="I24" i="64" s="1"/>
  <c r="G24" i="64"/>
  <c r="G23" i="64"/>
  <c r="H23" i="64" s="1"/>
  <c r="I23" i="64" s="1"/>
  <c r="F22" i="64"/>
  <c r="E22" i="64"/>
  <c r="G22" i="64" s="1"/>
  <c r="G21" i="64"/>
  <c r="F21" i="64"/>
  <c r="E21" i="64"/>
  <c r="G20" i="64"/>
  <c r="F20" i="64"/>
  <c r="E20" i="64"/>
  <c r="F19" i="64"/>
  <c r="E19" i="64"/>
  <c r="G19" i="64" s="1"/>
  <c r="G18" i="64"/>
  <c r="H18" i="64" s="1"/>
  <c r="I18" i="64" s="1"/>
  <c r="I57" i="63" l="1"/>
  <c r="G57" i="63"/>
  <c r="G56" i="63"/>
  <c r="G48" i="63"/>
  <c r="H48" i="63" s="1"/>
  <c r="I48" i="63" s="1"/>
  <c r="G46" i="63"/>
  <c r="H46" i="63" s="1"/>
  <c r="I46" i="63" s="1"/>
  <c r="E38" i="63"/>
  <c r="F38" i="63" s="1"/>
  <c r="H38" i="63" s="1"/>
  <c r="G30" i="63"/>
  <c r="G29" i="63" s="1"/>
  <c r="H29" i="63"/>
  <c r="F29" i="63"/>
  <c r="G26" i="63"/>
  <c r="H26" i="63" s="1"/>
  <c r="G25" i="63"/>
  <c r="H25" i="63" s="1"/>
  <c r="I25" i="63" s="1"/>
  <c r="G24" i="63"/>
  <c r="H24" i="63" s="1"/>
  <c r="I24" i="63" s="1"/>
  <c r="G23" i="63"/>
  <c r="F23" i="63"/>
  <c r="E23" i="63"/>
  <c r="F22" i="63"/>
  <c r="E22" i="63"/>
  <c r="G22" i="63" s="1"/>
  <c r="F21" i="63"/>
  <c r="E21" i="63"/>
  <c r="G21" i="63" s="1"/>
  <c r="G20" i="63"/>
  <c r="F20" i="63"/>
  <c r="E20" i="63"/>
  <c r="H19" i="63"/>
  <c r="I19" i="63" s="1"/>
  <c r="G19" i="63"/>
  <c r="I52" i="62" l="1"/>
  <c r="G52" i="62"/>
  <c r="G51" i="62"/>
  <c r="G43" i="62"/>
  <c r="H43" i="62" s="1"/>
  <c r="I43" i="62" s="1"/>
  <c r="G41" i="62"/>
  <c r="H41" i="62" s="1"/>
  <c r="I41" i="62" s="1"/>
  <c r="E33" i="62"/>
  <c r="F33" i="62" s="1"/>
  <c r="H33" i="62" s="1"/>
  <c r="G28" i="62"/>
  <c r="G27" i="62" s="1"/>
  <c r="F27" i="62"/>
  <c r="H27" i="62" s="1"/>
  <c r="I27" i="62" s="1"/>
  <c r="H25" i="62"/>
  <c r="G25" i="62"/>
  <c r="G24" i="62"/>
  <c r="H24" i="62" s="1"/>
  <c r="I24" i="62" s="1"/>
  <c r="G23" i="62"/>
  <c r="H23" i="62" s="1"/>
  <c r="I23" i="62" s="1"/>
  <c r="G22" i="62"/>
  <c r="F22" i="62"/>
  <c r="E22" i="62"/>
  <c r="G21" i="62"/>
  <c r="F21" i="62"/>
  <c r="E21" i="62"/>
  <c r="F20" i="62"/>
  <c r="E20" i="62"/>
  <c r="G20" i="62" s="1"/>
  <c r="F19" i="62"/>
  <c r="E19" i="62"/>
  <c r="G19" i="62" s="1"/>
  <c r="G18" i="62"/>
  <c r="H18" i="62" s="1"/>
  <c r="I18" i="62" s="1"/>
  <c r="G59" i="61" l="1"/>
  <c r="I56" i="61"/>
  <c r="G27" i="61" s="1"/>
  <c r="H27" i="61" s="1"/>
  <c r="G54" i="61"/>
  <c r="G56" i="61" s="1"/>
  <c r="H45" i="61"/>
  <c r="I45" i="61" s="1"/>
  <c r="G45" i="61"/>
  <c r="G43" i="61"/>
  <c r="H43" i="61" s="1"/>
  <c r="I43" i="61" s="1"/>
  <c r="F35" i="61"/>
  <c r="H35" i="61" s="1"/>
  <c r="E35" i="61"/>
  <c r="H29" i="61"/>
  <c r="G29" i="61"/>
  <c r="F29" i="61"/>
  <c r="E29" i="61"/>
  <c r="G26" i="61"/>
  <c r="H26" i="61" s="1"/>
  <c r="I26" i="61" s="1"/>
  <c r="H25" i="61"/>
  <c r="I25" i="61" s="1"/>
  <c r="G25" i="61"/>
  <c r="H24" i="61"/>
  <c r="G24" i="61"/>
  <c r="F23" i="61"/>
  <c r="E23" i="61"/>
  <c r="G23" i="61" s="1"/>
  <c r="F22" i="61"/>
  <c r="E22" i="61"/>
  <c r="G22" i="61" s="1"/>
  <c r="G21" i="61"/>
  <c r="F21" i="61"/>
  <c r="E21" i="61"/>
  <c r="F20" i="61"/>
  <c r="E20" i="61"/>
  <c r="G20" i="61" s="1"/>
  <c r="G18" i="61"/>
  <c r="H18" i="61" s="1"/>
  <c r="I18" i="61" s="1"/>
  <c r="I55" i="60" l="1"/>
  <c r="G55" i="60"/>
  <c r="G54" i="60"/>
  <c r="G47" i="60"/>
  <c r="H47" i="60" s="1"/>
  <c r="I47" i="60" s="1"/>
  <c r="H44" i="60"/>
  <c r="I44" i="60" s="1"/>
  <c r="G44" i="60"/>
  <c r="G42" i="60"/>
  <c r="H42" i="60" s="1"/>
  <c r="I42" i="60" s="1"/>
  <c r="F35" i="60"/>
  <c r="H35" i="60" s="1"/>
  <c r="E35" i="60"/>
  <c r="G31" i="60"/>
  <c r="F30" i="60"/>
  <c r="H30" i="60" s="1"/>
  <c r="G27" i="60"/>
  <c r="G28" i="60" s="1"/>
  <c r="F27" i="60"/>
  <c r="H27" i="60" s="1"/>
  <c r="G26" i="60"/>
  <c r="H26" i="60" s="1"/>
  <c r="I26" i="60" s="1"/>
  <c r="I25" i="60"/>
  <c r="H25" i="60"/>
  <c r="G25" i="60"/>
  <c r="H24" i="60"/>
  <c r="G24" i="60"/>
  <c r="F23" i="60"/>
  <c r="E23" i="60"/>
  <c r="G23" i="60" s="1"/>
  <c r="G22" i="60"/>
  <c r="F22" i="60"/>
  <c r="E22" i="60"/>
  <c r="G20" i="60"/>
  <c r="F20" i="60"/>
  <c r="E20" i="60"/>
  <c r="F19" i="60"/>
  <c r="E19" i="60"/>
  <c r="G19" i="60" s="1"/>
  <c r="H18" i="60"/>
  <c r="I18" i="60" s="1"/>
  <c r="G18" i="60"/>
  <c r="I61" i="59" l="1"/>
  <c r="G61" i="59"/>
  <c r="I57" i="59"/>
  <c r="G56" i="59"/>
  <c r="G55" i="59"/>
  <c r="G54" i="59"/>
  <c r="G53" i="59"/>
  <c r="G52" i="59"/>
  <c r="G51" i="59"/>
  <c r="G57" i="59" s="1"/>
  <c r="G44" i="59"/>
  <c r="H44" i="59" s="1"/>
  <c r="I44" i="59" s="1"/>
  <c r="G42" i="59"/>
  <c r="H42" i="59" s="1"/>
  <c r="I42" i="59" s="1"/>
  <c r="F35" i="59"/>
  <c r="H35" i="59" s="1"/>
  <c r="E35" i="59"/>
  <c r="G29" i="59"/>
  <c r="H29" i="59" s="1"/>
  <c r="F29" i="59"/>
  <c r="G27" i="59"/>
  <c r="H27" i="59" s="1"/>
  <c r="I27" i="59" s="1"/>
  <c r="G26" i="59"/>
  <c r="H26" i="59" s="1"/>
  <c r="I26" i="59" s="1"/>
  <c r="G25" i="59"/>
  <c r="H25" i="59" s="1"/>
  <c r="I25" i="59" s="1"/>
  <c r="H24" i="59"/>
  <c r="G24" i="59"/>
  <c r="F23" i="59"/>
  <c r="E23" i="59"/>
  <c r="G23" i="59" s="1"/>
  <c r="G22" i="59"/>
  <c r="F22" i="59"/>
  <c r="E22" i="59"/>
  <c r="G21" i="59"/>
  <c r="F21" i="59"/>
  <c r="E21" i="59"/>
  <c r="F20" i="59"/>
  <c r="E20" i="59"/>
  <c r="G20" i="59" s="1"/>
  <c r="G19" i="59"/>
  <c r="H19" i="59" s="1"/>
  <c r="I19" i="59" s="1"/>
  <c r="G18" i="59"/>
  <c r="G30" i="59" l="1"/>
  <c r="I52" i="58"/>
  <c r="G25" i="58" s="1"/>
  <c r="G51" i="58"/>
  <c r="G50" i="58"/>
  <c r="G49" i="58"/>
  <c r="G52" i="58" s="1"/>
  <c r="G41" i="58"/>
  <c r="H41" i="58" s="1"/>
  <c r="I41" i="58" s="1"/>
  <c r="G39" i="58"/>
  <c r="H39" i="58" s="1"/>
  <c r="I39" i="58" s="1"/>
  <c r="F33" i="58"/>
  <c r="H33" i="58" s="1"/>
  <c r="E33" i="58"/>
  <c r="G28" i="58"/>
  <c r="F28" i="58"/>
  <c r="H28" i="58" s="1"/>
  <c r="E28" i="58"/>
  <c r="F25" i="58"/>
  <c r="H24" i="58"/>
  <c r="I24" i="58" s="1"/>
  <c r="G24" i="58"/>
  <c r="G23" i="58"/>
  <c r="H23" i="58" s="1"/>
  <c r="I23" i="58" s="1"/>
  <c r="F22" i="58"/>
  <c r="E22" i="58"/>
  <c r="G22" i="58" s="1"/>
  <c r="F21" i="58"/>
  <c r="E21" i="58"/>
  <c r="G21" i="58" s="1"/>
  <c r="F20" i="58"/>
  <c r="E20" i="58"/>
  <c r="G20" i="58" s="1"/>
  <c r="G19" i="58"/>
  <c r="F19" i="58"/>
  <c r="E19" i="58"/>
  <c r="H18" i="58"/>
  <c r="I18" i="58" s="1"/>
  <c r="G18" i="58"/>
  <c r="H25" i="58" l="1"/>
  <c r="I54" i="57"/>
  <c r="G53" i="57"/>
  <c r="G54" i="57" s="1"/>
  <c r="H43" i="57"/>
  <c r="I43" i="57" s="1"/>
  <c r="G43" i="57"/>
  <c r="H32" i="57"/>
  <c r="G30" i="57"/>
  <c r="H30" i="57" s="1"/>
  <c r="G28" i="57"/>
  <c r="H28" i="57" s="1"/>
  <c r="I28" i="57" s="1"/>
  <c r="G27" i="57"/>
  <c r="H27" i="57" s="1"/>
  <c r="I27" i="57" s="1"/>
  <c r="G26" i="57"/>
  <c r="F26" i="57"/>
  <c r="E26" i="57"/>
  <c r="F25" i="57"/>
  <c r="E25" i="57"/>
  <c r="G25" i="57" s="1"/>
  <c r="F23" i="57"/>
  <c r="E23" i="57"/>
  <c r="G23" i="57" s="1"/>
  <c r="G22" i="57"/>
  <c r="F22" i="57"/>
  <c r="E22" i="57"/>
  <c r="H20" i="57"/>
  <c r="I20" i="57" s="1"/>
  <c r="G20" i="57"/>
  <c r="I61" i="56" l="1"/>
  <c r="I57" i="56"/>
  <c r="G29" i="56" s="1"/>
  <c r="H29" i="56" s="1"/>
  <c r="G56" i="56"/>
  <c r="G55" i="56"/>
  <c r="G57" i="56" s="1"/>
  <c r="G43" i="56"/>
  <c r="H43" i="56" s="1"/>
  <c r="I43" i="56" s="1"/>
  <c r="G32" i="56"/>
  <c r="H31" i="56"/>
  <c r="G31" i="56"/>
  <c r="G27" i="56"/>
  <c r="H27" i="56" s="1"/>
  <c r="I27" i="56" s="1"/>
  <c r="H26" i="56"/>
  <c r="I26" i="56" s="1"/>
  <c r="G26" i="56"/>
  <c r="F25" i="56"/>
  <c r="E25" i="56"/>
  <c r="G25" i="56" s="1"/>
  <c r="F24" i="56"/>
  <c r="E24" i="56"/>
  <c r="G24" i="56" s="1"/>
  <c r="G22" i="56"/>
  <c r="F22" i="56"/>
  <c r="E22" i="56"/>
  <c r="G21" i="56"/>
  <c r="F21" i="56"/>
  <c r="E21" i="56"/>
  <c r="G19" i="56"/>
  <c r="H19" i="56" s="1"/>
  <c r="I19" i="56" s="1"/>
  <c r="I62" i="55" l="1"/>
  <c r="I58" i="55"/>
  <c r="G27" i="55" s="1"/>
  <c r="G28" i="55" s="1"/>
  <c r="G56" i="55"/>
  <c r="G55" i="55"/>
  <c r="G54" i="55"/>
  <c r="G58" i="55" s="1"/>
  <c r="H45" i="55"/>
  <c r="I45" i="55" s="1"/>
  <c r="G45" i="55"/>
  <c r="G43" i="55"/>
  <c r="H43" i="55" s="1"/>
  <c r="I43" i="55" s="1"/>
  <c r="F37" i="55"/>
  <c r="H37" i="55" s="1"/>
  <c r="E37" i="55"/>
  <c r="H31" i="55"/>
  <c r="F31" i="55"/>
  <c r="F27" i="55"/>
  <c r="G26" i="55"/>
  <c r="H26" i="55" s="1"/>
  <c r="I26" i="55" s="1"/>
  <c r="H25" i="55"/>
  <c r="I25" i="55" s="1"/>
  <c r="G25" i="55"/>
  <c r="F24" i="55"/>
  <c r="E24" i="55"/>
  <c r="G24" i="55" s="1"/>
  <c r="F23" i="55"/>
  <c r="E23" i="55"/>
  <c r="G23" i="55" s="1"/>
  <c r="G22" i="55"/>
  <c r="F22" i="55"/>
  <c r="E22" i="55"/>
  <c r="G21" i="55"/>
  <c r="F21" i="55"/>
  <c r="E21" i="55"/>
  <c r="G20" i="55"/>
  <c r="H20" i="55" s="1"/>
  <c r="I20" i="55" s="1"/>
  <c r="H27" i="55" l="1"/>
  <c r="I60" i="54"/>
  <c r="G33" i="54" s="1"/>
  <c r="G31" i="54" s="1"/>
  <c r="H31" i="54" s="1"/>
  <c r="G60" i="54"/>
  <c r="I56" i="54"/>
  <c r="G56" i="54"/>
  <c r="G46" i="54"/>
  <c r="H46" i="54" s="1"/>
  <c r="I46" i="54" s="1"/>
  <c r="H44" i="54"/>
  <c r="I44" i="54" s="1"/>
  <c r="G44" i="54"/>
  <c r="G29" i="54"/>
  <c r="H29" i="54" s="1"/>
  <c r="H27" i="54"/>
  <c r="I27" i="54" s="1"/>
  <c r="G27" i="54"/>
  <c r="H26" i="54"/>
  <c r="I26" i="54" s="1"/>
  <c r="G26" i="54"/>
  <c r="F25" i="54"/>
  <c r="E25" i="54"/>
  <c r="G25" i="54" s="1"/>
  <c r="G24" i="54"/>
  <c r="F24" i="54"/>
  <c r="E24" i="54"/>
  <c r="G23" i="54"/>
  <c r="F23" i="54"/>
  <c r="E23" i="54"/>
  <c r="F22" i="54"/>
  <c r="E22" i="54"/>
  <c r="G22" i="54" s="1"/>
  <c r="G20" i="54"/>
  <c r="H20" i="54" s="1"/>
  <c r="I20" i="54" s="1"/>
  <c r="G19" i="54"/>
  <c r="I66" i="53" l="1"/>
  <c r="G66" i="53"/>
  <c r="G65" i="53"/>
  <c r="I62" i="53"/>
  <c r="G61" i="53"/>
  <c r="G60" i="53"/>
  <c r="G59" i="53"/>
  <c r="G58" i="53"/>
  <c r="G57" i="53"/>
  <c r="G56" i="53"/>
  <c r="G55" i="53"/>
  <c r="G62" i="53" s="1"/>
  <c r="H47" i="53"/>
  <c r="I47" i="53" s="1"/>
  <c r="G47" i="53"/>
  <c r="G45" i="53"/>
  <c r="H45" i="53" s="1"/>
  <c r="I45" i="53" s="1"/>
  <c r="H43" i="53"/>
  <c r="I43" i="53" s="1"/>
  <c r="G43" i="53"/>
  <c r="E36" i="53"/>
  <c r="F36" i="53" s="1"/>
  <c r="H36" i="53" s="1"/>
  <c r="G32" i="53"/>
  <c r="H31" i="53"/>
  <c r="G31" i="53"/>
  <c r="F31" i="53"/>
  <c r="G29" i="53"/>
  <c r="G28" i="53" s="1"/>
  <c r="H28" i="53" s="1"/>
  <c r="F28" i="53"/>
  <c r="H27" i="53"/>
  <c r="G27" i="53"/>
  <c r="G26" i="53"/>
  <c r="H26" i="53" s="1"/>
  <c r="I26" i="53" s="1"/>
  <c r="G25" i="53"/>
  <c r="H25" i="53" s="1"/>
  <c r="I25" i="53" s="1"/>
  <c r="H24" i="53"/>
  <c r="I24" i="53" s="1"/>
  <c r="G24" i="53"/>
  <c r="H23" i="53"/>
  <c r="G23" i="53"/>
  <c r="G22" i="53"/>
  <c r="F22" i="53"/>
  <c r="E22" i="53"/>
  <c r="G21" i="53"/>
  <c r="F21" i="53"/>
  <c r="E21" i="53"/>
  <c r="F20" i="53"/>
  <c r="E20" i="53"/>
  <c r="G20" i="53" s="1"/>
  <c r="F19" i="53"/>
  <c r="E19" i="53"/>
  <c r="G19" i="53" s="1"/>
  <c r="H18" i="53"/>
  <c r="G18" i="53"/>
  <c r="I60" i="52" l="1"/>
  <c r="G60" i="52"/>
  <c r="G59" i="52"/>
  <c r="G58" i="52"/>
  <c r="I55" i="52"/>
  <c r="G54" i="52"/>
  <c r="G53" i="52"/>
  <c r="G52" i="52"/>
  <c r="G51" i="52"/>
  <c r="G55" i="52" s="1"/>
  <c r="G42" i="52"/>
  <c r="H42" i="52" s="1"/>
  <c r="I42" i="52" s="1"/>
  <c r="G40" i="52"/>
  <c r="H40" i="52" s="1"/>
  <c r="I40" i="52" s="1"/>
  <c r="H38" i="52"/>
  <c r="I38" i="52" s="1"/>
  <c r="G38" i="52"/>
  <c r="E32" i="52"/>
  <c r="F32" i="52" s="1"/>
  <c r="H32" i="52" s="1"/>
  <c r="G28" i="52"/>
  <c r="G27" i="52"/>
  <c r="H27" i="52" s="1"/>
  <c r="H25" i="52"/>
  <c r="G25" i="52"/>
  <c r="G24" i="52"/>
  <c r="H24" i="52" s="1"/>
  <c r="I24" i="52" s="1"/>
  <c r="H23" i="52"/>
  <c r="I23" i="52" s="1"/>
  <c r="G23" i="52"/>
  <c r="G22" i="52"/>
  <c r="F22" i="52"/>
  <c r="E22" i="52"/>
  <c r="G21" i="52"/>
  <c r="F21" i="52"/>
  <c r="E21" i="52"/>
  <c r="F20" i="52"/>
  <c r="E20" i="52"/>
  <c r="G20" i="52" s="1"/>
  <c r="F19" i="52"/>
  <c r="E19" i="52"/>
  <c r="G19" i="52" s="1"/>
  <c r="H18" i="52"/>
  <c r="G18" i="52"/>
  <c r="I61" i="51" l="1"/>
  <c r="G61" i="51"/>
  <c r="G60" i="51"/>
  <c r="G59" i="51"/>
  <c r="G57" i="51"/>
  <c r="G56" i="51"/>
  <c r="G55" i="51"/>
  <c r="G46" i="51"/>
  <c r="H46" i="51" s="1"/>
  <c r="I46" i="51" s="1"/>
  <c r="G43" i="51"/>
  <c r="H43" i="51" s="1"/>
  <c r="I43" i="51" s="1"/>
  <c r="G41" i="51"/>
  <c r="H41" i="51" s="1"/>
  <c r="I41" i="51" s="1"/>
  <c r="I40" i="51"/>
  <c r="E34" i="51"/>
  <c r="F34" i="51" s="1"/>
  <c r="H34" i="51" s="1"/>
  <c r="G28" i="51"/>
  <c r="H28" i="51" s="1"/>
  <c r="F28" i="51"/>
  <c r="G27" i="51"/>
  <c r="H27" i="51" s="1"/>
  <c r="G25" i="51"/>
  <c r="H25" i="51" s="1"/>
  <c r="I25" i="51" s="1"/>
  <c r="H24" i="51"/>
  <c r="I24" i="51" s="1"/>
  <c r="G24" i="51"/>
  <c r="F23" i="51"/>
  <c r="E23" i="51"/>
  <c r="G23" i="51" s="1"/>
  <c r="F22" i="51"/>
  <c r="E22" i="51"/>
  <c r="G22" i="51" s="1"/>
  <c r="G21" i="51"/>
  <c r="F21" i="51"/>
  <c r="E21" i="51"/>
  <c r="G20" i="51"/>
  <c r="F20" i="51"/>
  <c r="E20" i="51"/>
  <c r="H18" i="51"/>
  <c r="G18" i="51"/>
  <c r="I65" i="50" l="1"/>
  <c r="G65" i="50"/>
  <c r="I61" i="50"/>
  <c r="G60" i="50"/>
  <c r="G59" i="50"/>
  <c r="G58" i="50"/>
  <c r="G57" i="50"/>
  <c r="G56" i="50"/>
  <c r="G61" i="50" s="1"/>
  <c r="G47" i="50"/>
  <c r="H47" i="50" s="1"/>
  <c r="I47" i="50" s="1"/>
  <c r="H44" i="50"/>
  <c r="I44" i="50" s="1"/>
  <c r="G44" i="50"/>
  <c r="G42" i="50"/>
  <c r="H42" i="50" s="1"/>
  <c r="I42" i="50" s="1"/>
  <c r="E34" i="50"/>
  <c r="F34" i="50" s="1"/>
  <c r="H34" i="50" s="1"/>
  <c r="H28" i="50"/>
  <c r="G28" i="50"/>
  <c r="F28" i="50"/>
  <c r="G26" i="50"/>
  <c r="H25" i="50"/>
  <c r="G25" i="50"/>
  <c r="F25" i="50"/>
  <c r="H24" i="50"/>
  <c r="I24" i="50" s="1"/>
  <c r="G24" i="50"/>
  <c r="I23" i="50"/>
  <c r="H23" i="50"/>
  <c r="G23" i="50"/>
  <c r="F22" i="50"/>
  <c r="E22" i="50"/>
  <c r="G22" i="50" s="1"/>
  <c r="G21" i="50"/>
  <c r="F21" i="50"/>
  <c r="E21" i="50"/>
  <c r="F20" i="50"/>
  <c r="E20" i="50"/>
  <c r="G20" i="50" s="1"/>
  <c r="F19" i="50"/>
  <c r="E19" i="50"/>
  <c r="G19" i="50" s="1"/>
  <c r="G18" i="50"/>
  <c r="H18" i="50" s="1"/>
  <c r="I18" i="50" s="1"/>
  <c r="I62" i="49" l="1"/>
  <c r="G62" i="49"/>
  <c r="G61" i="49"/>
  <c r="I58" i="49"/>
  <c r="G57" i="49"/>
  <c r="G56" i="49"/>
  <c r="G55" i="49"/>
  <c r="G54" i="49"/>
  <c r="G53" i="49"/>
  <c r="G58" i="49" s="1"/>
  <c r="H45" i="49"/>
  <c r="I45" i="49" s="1"/>
  <c r="G45" i="49"/>
  <c r="G43" i="49"/>
  <c r="H43" i="49" s="1"/>
  <c r="I43" i="49" s="1"/>
  <c r="F35" i="49"/>
  <c r="H35" i="49" s="1"/>
  <c r="E35" i="49"/>
  <c r="G30" i="49"/>
  <c r="G29" i="49"/>
  <c r="F29" i="49"/>
  <c r="H29" i="49" s="1"/>
  <c r="E29" i="49"/>
  <c r="G28" i="49"/>
  <c r="H28" i="49" s="1"/>
  <c r="G27" i="49"/>
  <c r="H27" i="49" s="1"/>
  <c r="I27" i="49" s="1"/>
  <c r="G26" i="49"/>
  <c r="H26" i="49" s="1"/>
  <c r="I26" i="49" s="1"/>
  <c r="H25" i="49"/>
  <c r="I25" i="49" s="1"/>
  <c r="G25" i="49"/>
  <c r="F24" i="49"/>
  <c r="E24" i="49"/>
  <c r="G24" i="49" s="1"/>
  <c r="F23" i="49"/>
  <c r="E23" i="49"/>
  <c r="G23" i="49" s="1"/>
  <c r="G22" i="49"/>
  <c r="F22" i="49"/>
  <c r="E22" i="49"/>
  <c r="G21" i="49"/>
  <c r="F21" i="49"/>
  <c r="E21" i="49"/>
  <c r="G19" i="49"/>
  <c r="H19" i="49" s="1"/>
  <c r="I19" i="49" s="1"/>
  <c r="I53" i="48" l="1"/>
  <c r="G53" i="48"/>
  <c r="G51" i="48"/>
  <c r="G42" i="48"/>
  <c r="H42" i="48" s="1"/>
  <c r="I42" i="48" s="1"/>
  <c r="G40" i="48"/>
  <c r="H40" i="48" s="1"/>
  <c r="I40" i="48" s="1"/>
  <c r="E35" i="48"/>
  <c r="F35" i="48" s="1"/>
  <c r="H35" i="48" s="1"/>
  <c r="G29" i="48"/>
  <c r="G28" i="48" s="1"/>
  <c r="H28" i="48"/>
  <c r="F28" i="48"/>
  <c r="H27" i="48"/>
  <c r="I27" i="48" s="1"/>
  <c r="G27" i="48"/>
  <c r="G26" i="48"/>
  <c r="H26" i="48" s="1"/>
  <c r="I26" i="48" s="1"/>
  <c r="G25" i="48"/>
  <c r="H25" i="48" s="1"/>
  <c r="I25" i="48" s="1"/>
  <c r="H24" i="48"/>
  <c r="G24" i="48"/>
  <c r="F23" i="48"/>
  <c r="E23" i="48"/>
  <c r="G23" i="48" s="1"/>
  <c r="F22" i="48"/>
  <c r="E22" i="48"/>
  <c r="G22" i="48" s="1"/>
  <c r="G21" i="48"/>
  <c r="F21" i="48"/>
  <c r="E21" i="48"/>
  <c r="F20" i="48"/>
  <c r="E20" i="48"/>
  <c r="G20" i="48" s="1"/>
  <c r="H19" i="48"/>
  <c r="G19" i="48"/>
  <c r="I61" i="47" l="1"/>
  <c r="G61" i="47"/>
  <c r="G60" i="47"/>
  <c r="I57" i="47"/>
  <c r="G55" i="47"/>
  <c r="G57" i="47" s="1"/>
  <c r="G46" i="47"/>
  <c r="H46" i="47" s="1"/>
  <c r="I46" i="47" s="1"/>
  <c r="G44" i="47"/>
  <c r="H44" i="47" s="1"/>
  <c r="I44" i="47" s="1"/>
  <c r="F38" i="47"/>
  <c r="H38" i="47" s="1"/>
  <c r="E38" i="47"/>
  <c r="G31" i="47"/>
  <c r="F31" i="47"/>
  <c r="H31" i="47" s="1"/>
  <c r="G29" i="47"/>
  <c r="H29" i="47" s="1"/>
  <c r="H27" i="47"/>
  <c r="I27" i="47" s="1"/>
  <c r="G27" i="47"/>
  <c r="G26" i="47"/>
  <c r="H26" i="47" s="1"/>
  <c r="I26" i="47" s="1"/>
  <c r="H25" i="47"/>
  <c r="G25" i="47"/>
  <c r="F24" i="47"/>
  <c r="E24" i="47"/>
  <c r="G24" i="47" s="1"/>
  <c r="F23" i="47"/>
  <c r="E23" i="47"/>
  <c r="G23" i="47" s="1"/>
  <c r="F22" i="47"/>
  <c r="E22" i="47"/>
  <c r="G22" i="47" s="1"/>
  <c r="G21" i="47"/>
  <c r="F21" i="47"/>
  <c r="E21" i="47"/>
  <c r="H20" i="47"/>
  <c r="I20" i="47" s="1"/>
  <c r="G20" i="47"/>
  <c r="I64" i="46" l="1"/>
  <c r="G64" i="46"/>
  <c r="I61" i="46"/>
  <c r="G59" i="46"/>
  <c r="G58" i="46"/>
  <c r="G61" i="46" s="1"/>
  <c r="G49" i="46"/>
  <c r="H49" i="46" s="1"/>
  <c r="I49" i="46" s="1"/>
  <c r="G47" i="46"/>
  <c r="H47" i="46" s="1"/>
  <c r="I47" i="46" s="1"/>
  <c r="F40" i="46"/>
  <c r="H40" i="46" s="1"/>
  <c r="E40" i="46"/>
  <c r="G33" i="46"/>
  <c r="G32" i="46"/>
  <c r="H32" i="46" s="1"/>
  <c r="F32" i="46"/>
  <c r="E32" i="46"/>
  <c r="G29" i="46"/>
  <c r="H29" i="46" s="1"/>
  <c r="F29" i="46"/>
  <c r="G28" i="46"/>
  <c r="H28" i="46" s="1"/>
  <c r="I28" i="46" s="1"/>
  <c r="H27" i="46"/>
  <c r="I27" i="46" s="1"/>
  <c r="G27" i="46"/>
  <c r="H26" i="46"/>
  <c r="G26" i="46"/>
  <c r="F25" i="46"/>
  <c r="E25" i="46"/>
  <c r="G25" i="46" s="1"/>
  <c r="F24" i="46"/>
  <c r="E24" i="46"/>
  <c r="G24" i="46" s="1"/>
  <c r="G23" i="46"/>
  <c r="F23" i="46"/>
  <c r="E23" i="46"/>
  <c r="G22" i="46"/>
  <c r="F22" i="46"/>
  <c r="E22" i="46"/>
  <c r="G20" i="46"/>
  <c r="H20" i="46" s="1"/>
  <c r="I20" i="46" s="1"/>
  <c r="I65" i="45" l="1"/>
  <c r="G64" i="45"/>
  <c r="G63" i="45"/>
  <c r="G62" i="45"/>
  <c r="H52" i="45"/>
  <c r="I52" i="45" s="1"/>
  <c r="G52" i="45"/>
  <c r="I50" i="45"/>
  <c r="H49" i="45"/>
  <c r="I49" i="45" s="1"/>
  <c r="G49" i="45"/>
  <c r="G47" i="45"/>
  <c r="H47" i="45" s="1"/>
  <c r="I47" i="45" s="1"/>
  <c r="F39" i="45"/>
  <c r="H39" i="45" s="1"/>
  <c r="E39" i="45"/>
  <c r="H33" i="45"/>
  <c r="I32" i="45"/>
  <c r="H31" i="45"/>
  <c r="G31" i="45"/>
  <c r="G29" i="45"/>
  <c r="H29" i="45" s="1"/>
  <c r="I29" i="45" s="1"/>
  <c r="H28" i="45"/>
  <c r="I28" i="45" s="1"/>
  <c r="G28" i="45"/>
  <c r="I27" i="45"/>
  <c r="H27" i="45"/>
  <c r="G27" i="45"/>
  <c r="F25" i="45"/>
  <c r="E25" i="45"/>
  <c r="G25" i="45" s="1"/>
  <c r="G24" i="45"/>
  <c r="F24" i="45"/>
  <c r="E24" i="45"/>
  <c r="G22" i="45"/>
  <c r="F22" i="45"/>
  <c r="E22" i="45"/>
  <c r="F21" i="45"/>
  <c r="E21" i="45"/>
  <c r="G21" i="45" s="1"/>
  <c r="G19" i="45"/>
  <c r="H19" i="45" s="1"/>
  <c r="I60" i="44" l="1"/>
  <c r="G32" i="44" s="1"/>
  <c r="G31" i="44" s="1"/>
  <c r="G60" i="44"/>
  <c r="G48" i="44"/>
  <c r="H48" i="44" s="1"/>
  <c r="I48" i="44" s="1"/>
  <c r="G46" i="44"/>
  <c r="H46" i="44" s="1"/>
  <c r="I46" i="44" s="1"/>
  <c r="H44" i="44"/>
  <c r="I44" i="44" s="1"/>
  <c r="G44" i="44"/>
  <c r="E37" i="44"/>
  <c r="F37" i="44" s="1"/>
  <c r="H37" i="44" s="1"/>
  <c r="F31" i="44"/>
  <c r="G30" i="44"/>
  <c r="H30" i="44" s="1"/>
  <c r="H28" i="44"/>
  <c r="I28" i="44" s="1"/>
  <c r="G28" i="44"/>
  <c r="G27" i="44"/>
  <c r="H27" i="44" s="1"/>
  <c r="I27" i="44" s="1"/>
  <c r="G26" i="44"/>
  <c r="H26" i="44" s="1"/>
  <c r="I26" i="44" s="1"/>
  <c r="I25" i="44"/>
  <c r="H25" i="44"/>
  <c r="G25" i="44"/>
  <c r="G24" i="44"/>
  <c r="F24" i="44"/>
  <c r="E24" i="44"/>
  <c r="F23" i="44"/>
  <c r="E23" i="44"/>
  <c r="G23" i="44" s="1"/>
  <c r="F22" i="44"/>
  <c r="E22" i="44"/>
  <c r="G22" i="44" s="1"/>
  <c r="G21" i="44"/>
  <c r="F21" i="44"/>
  <c r="E21" i="44"/>
  <c r="H19" i="44"/>
  <c r="I19" i="44" s="1"/>
  <c r="G19" i="44"/>
  <c r="H31" i="44" l="1"/>
  <c r="I62" i="43"/>
  <c r="G62" i="43" s="1"/>
  <c r="I58" i="43"/>
  <c r="G57" i="43"/>
  <c r="G56" i="43"/>
  <c r="G55" i="43"/>
  <c r="G53" i="43"/>
  <c r="G52" i="43"/>
  <c r="G58" i="43" s="1"/>
  <c r="G43" i="43"/>
  <c r="H43" i="43" s="1"/>
  <c r="I43" i="43" s="1"/>
  <c r="G41" i="43"/>
  <c r="H41" i="43" s="1"/>
  <c r="I41" i="43" s="1"/>
  <c r="H39" i="43"/>
  <c r="I39" i="43" s="1"/>
  <c r="G39" i="43"/>
  <c r="E33" i="43"/>
  <c r="F33" i="43" s="1"/>
  <c r="H33" i="43" s="1"/>
  <c r="F27" i="43"/>
  <c r="E27" i="43"/>
  <c r="H26" i="43"/>
  <c r="G26" i="43"/>
  <c r="G25" i="43"/>
  <c r="H25" i="43" s="1"/>
  <c r="I25" i="43" s="1"/>
  <c r="H24" i="43"/>
  <c r="I24" i="43" s="1"/>
  <c r="G24" i="43"/>
  <c r="G23" i="43"/>
  <c r="G22" i="43"/>
  <c r="F22" i="43"/>
  <c r="E22" i="43"/>
  <c r="F21" i="43"/>
  <c r="E21" i="43"/>
  <c r="G21" i="43" s="1"/>
  <c r="F20" i="43"/>
  <c r="E20" i="43"/>
  <c r="G20" i="43" s="1"/>
  <c r="G19" i="43"/>
  <c r="F19" i="43"/>
  <c r="E19" i="43"/>
  <c r="H18" i="43"/>
  <c r="I18" i="43" s="1"/>
  <c r="G18" i="43"/>
  <c r="G29" i="43" l="1"/>
  <c r="G27" i="43" s="1"/>
  <c r="H27" i="43" s="1"/>
  <c r="I67" i="42"/>
  <c r="G67" i="42"/>
  <c r="I63" i="42"/>
  <c r="G63" i="42"/>
  <c r="G61" i="42"/>
  <c r="G60" i="42"/>
  <c r="H52" i="42"/>
  <c r="I52" i="42" s="1"/>
  <c r="G52" i="42"/>
  <c r="I50" i="42"/>
  <c r="H49" i="42"/>
  <c r="I49" i="42" s="1"/>
  <c r="G49" i="42"/>
  <c r="G47" i="42"/>
  <c r="H47" i="42" s="1"/>
  <c r="I47" i="42" s="1"/>
  <c r="F41" i="42"/>
  <c r="H41" i="42" s="1"/>
  <c r="E41" i="42"/>
  <c r="H32" i="42"/>
  <c r="G32" i="42"/>
  <c r="F32" i="42"/>
  <c r="G28" i="42"/>
  <c r="H28" i="42" s="1"/>
  <c r="H26" i="42"/>
  <c r="I26" i="42" s="1"/>
  <c r="G26" i="42"/>
  <c r="G25" i="42"/>
  <c r="H25" i="42" s="1"/>
  <c r="I25" i="42" s="1"/>
  <c r="G24" i="42"/>
  <c r="G23" i="42"/>
  <c r="F23" i="42"/>
  <c r="E23" i="42"/>
  <c r="G22" i="42"/>
  <c r="F22" i="42"/>
  <c r="E22" i="42"/>
  <c r="F21" i="42"/>
  <c r="E21" i="42"/>
  <c r="G21" i="42" s="1"/>
  <c r="F20" i="42"/>
  <c r="E20" i="42"/>
  <c r="G20" i="42" s="1"/>
  <c r="G19" i="42"/>
  <c r="H19" i="42" s="1"/>
  <c r="I19" i="42" s="1"/>
  <c r="I59" i="41" l="1"/>
  <c r="G58" i="41"/>
  <c r="G57" i="41"/>
  <c r="G56" i="41"/>
  <c r="G55" i="41"/>
  <c r="G59" i="41" s="1"/>
  <c r="G54" i="41"/>
  <c r="G53" i="41"/>
  <c r="H46" i="41"/>
  <c r="I46" i="41" s="1"/>
  <c r="G46" i="41"/>
  <c r="G44" i="41"/>
  <c r="H44" i="41" s="1"/>
  <c r="I44" i="41" s="1"/>
  <c r="H42" i="41"/>
  <c r="I42" i="41" s="1"/>
  <c r="G42" i="41"/>
  <c r="E35" i="41"/>
  <c r="F35" i="41" s="1"/>
  <c r="H35" i="41" s="1"/>
  <c r="H29" i="41"/>
  <c r="I29" i="41" s="1"/>
  <c r="F29" i="41"/>
  <c r="G27" i="41"/>
  <c r="G26" i="41"/>
  <c r="H26" i="41" s="1"/>
  <c r="G25" i="41"/>
  <c r="H25" i="41" s="1"/>
  <c r="I25" i="41" s="1"/>
  <c r="G24" i="41"/>
  <c r="H24" i="41" s="1"/>
  <c r="I24" i="41" s="1"/>
  <c r="H23" i="41"/>
  <c r="I23" i="41" s="1"/>
  <c r="G23" i="41"/>
  <c r="H22" i="41"/>
  <c r="G22" i="41"/>
  <c r="G21" i="41"/>
  <c r="F21" i="41"/>
  <c r="E21" i="41"/>
  <c r="F20" i="41"/>
  <c r="E20" i="41"/>
  <c r="G20" i="41" s="1"/>
  <c r="F19" i="41"/>
  <c r="E19" i="41"/>
  <c r="G19" i="41" s="1"/>
  <c r="F18" i="41"/>
  <c r="E18" i="41"/>
  <c r="G18" i="41" s="1"/>
  <c r="G17" i="41"/>
  <c r="H17" i="41" s="1"/>
  <c r="I17" i="41" s="1"/>
  <c r="I60" i="40" l="1"/>
  <c r="G59" i="40"/>
  <c r="G58" i="40"/>
  <c r="G57" i="40"/>
  <c r="G56" i="40"/>
  <c r="G60" i="40" s="1"/>
  <c r="G55" i="40"/>
  <c r="G54" i="40"/>
  <c r="G53" i="40"/>
  <c r="G46" i="40"/>
  <c r="H46" i="40" s="1"/>
  <c r="I46" i="40" s="1"/>
  <c r="H44" i="40"/>
  <c r="I44" i="40" s="1"/>
  <c r="G44" i="40"/>
  <c r="G42" i="40"/>
  <c r="H42" i="40" s="1"/>
  <c r="I42" i="40" s="1"/>
  <c r="E34" i="40"/>
  <c r="F34" i="40" s="1"/>
  <c r="H34" i="40" s="1"/>
  <c r="G29" i="40"/>
  <c r="G28" i="40" s="1"/>
  <c r="F28" i="40"/>
  <c r="G27" i="40"/>
  <c r="H27" i="40" s="1"/>
  <c r="H26" i="40"/>
  <c r="I26" i="40" s="1"/>
  <c r="G26" i="40"/>
  <c r="G25" i="40"/>
  <c r="H25" i="40" s="1"/>
  <c r="I25" i="40" s="1"/>
  <c r="G24" i="40"/>
  <c r="H24" i="40" s="1"/>
  <c r="I24" i="40" s="1"/>
  <c r="G23" i="40"/>
  <c r="H23" i="40" s="1"/>
  <c r="I23" i="40" s="1"/>
  <c r="F22" i="40"/>
  <c r="E22" i="40"/>
  <c r="G22" i="40" s="1"/>
  <c r="F21" i="40"/>
  <c r="E21" i="40"/>
  <c r="G21" i="40" s="1"/>
  <c r="F20" i="40"/>
  <c r="E20" i="40"/>
  <c r="G20" i="40" s="1"/>
  <c r="G19" i="40"/>
  <c r="F19" i="40"/>
  <c r="E19" i="40"/>
  <c r="H18" i="40"/>
  <c r="I18" i="40" s="1"/>
  <c r="G18" i="40"/>
  <c r="H28" i="40" l="1"/>
  <c r="I28" i="40" s="1"/>
  <c r="I66" i="39"/>
  <c r="G34" i="39" s="1"/>
  <c r="G33" i="39" s="1"/>
  <c r="H33" i="39" s="1"/>
  <c r="G65" i="39"/>
  <c r="G66" i="39" s="1"/>
  <c r="I62" i="39"/>
  <c r="G62" i="39"/>
  <c r="G60" i="39"/>
  <c r="G51" i="39"/>
  <c r="H51" i="39" s="1"/>
  <c r="I51" i="39" s="1"/>
  <c r="I49" i="39"/>
  <c r="G48" i="39"/>
  <c r="H48" i="39" s="1"/>
  <c r="I48" i="39" s="1"/>
  <c r="G46" i="39"/>
  <c r="H46" i="39" s="1"/>
  <c r="I46" i="39" s="1"/>
  <c r="E41" i="39"/>
  <c r="F41" i="39" s="1"/>
  <c r="H41" i="39" s="1"/>
  <c r="F33" i="39"/>
  <c r="I32" i="39"/>
  <c r="H29" i="39"/>
  <c r="G29" i="39"/>
  <c r="F29" i="39"/>
  <c r="H27" i="39"/>
  <c r="I27" i="39" s="1"/>
  <c r="G27" i="39"/>
  <c r="G26" i="39"/>
  <c r="H26" i="39" s="1"/>
  <c r="G25" i="39"/>
  <c r="H25" i="39" s="1"/>
  <c r="I25" i="39" s="1"/>
  <c r="H24" i="39"/>
  <c r="I24" i="39" s="1"/>
  <c r="G24" i="39"/>
  <c r="F23" i="39"/>
  <c r="E23" i="39"/>
  <c r="G23" i="39" s="1"/>
  <c r="F22" i="39"/>
  <c r="E22" i="39"/>
  <c r="G22" i="39" s="1"/>
  <c r="G21" i="39"/>
  <c r="F21" i="39"/>
  <c r="E21" i="39"/>
  <c r="G20" i="39"/>
  <c r="F20" i="39"/>
  <c r="E20" i="39"/>
  <c r="G19" i="39"/>
  <c r="H19" i="39" s="1"/>
  <c r="I19" i="39" s="1"/>
  <c r="I59" i="38" l="1"/>
  <c r="G57" i="38"/>
  <c r="G56" i="38"/>
  <c r="G47" i="38"/>
  <c r="H47" i="38" s="1"/>
  <c r="I47" i="38" s="1"/>
  <c r="I45" i="38"/>
  <c r="G44" i="38"/>
  <c r="H44" i="38" s="1"/>
  <c r="I44" i="38" s="1"/>
  <c r="G42" i="38"/>
  <c r="H42" i="38" s="1"/>
  <c r="I42" i="38" s="1"/>
  <c r="E37" i="38"/>
  <c r="F37" i="38" s="1"/>
  <c r="H37" i="38" s="1"/>
  <c r="F31" i="38"/>
  <c r="H31" i="38" s="1"/>
  <c r="I30" i="38"/>
  <c r="G28" i="38"/>
  <c r="G27" i="38"/>
  <c r="F27" i="38"/>
  <c r="H27" i="38" s="1"/>
  <c r="G25" i="38"/>
  <c r="H25" i="38" s="1"/>
  <c r="I25" i="38" s="1"/>
  <c r="H24" i="38"/>
  <c r="I24" i="38" s="1"/>
  <c r="G24" i="38"/>
  <c r="G23" i="38"/>
  <c r="F23" i="38"/>
  <c r="E23" i="38"/>
  <c r="F22" i="38"/>
  <c r="E22" i="38"/>
  <c r="G22" i="38" s="1"/>
  <c r="F21" i="38"/>
  <c r="E21" i="38"/>
  <c r="G21" i="38" s="1"/>
  <c r="F20" i="38"/>
  <c r="E20" i="38"/>
  <c r="G20" i="38" s="1"/>
  <c r="G19" i="38"/>
  <c r="H19" i="38" s="1"/>
  <c r="I19" i="38" s="1"/>
  <c r="I64" i="37" l="1"/>
  <c r="G63" i="37"/>
  <c r="G62" i="37"/>
  <c r="G61" i="37"/>
  <c r="G60" i="37"/>
  <c r="G64" i="37" s="1"/>
  <c r="G59" i="37"/>
  <c r="G50" i="37"/>
  <c r="H50" i="37" s="1"/>
  <c r="I50" i="37" s="1"/>
  <c r="I48" i="37"/>
  <c r="G47" i="37"/>
  <c r="H47" i="37" s="1"/>
  <c r="I47" i="37" s="1"/>
  <c r="H45" i="37"/>
  <c r="I45" i="37" s="1"/>
  <c r="G45" i="37"/>
  <c r="E37" i="37"/>
  <c r="F37" i="37" s="1"/>
  <c r="H37" i="37" s="1"/>
  <c r="F31" i="37"/>
  <c r="H31" i="37" s="1"/>
  <c r="I30" i="37"/>
  <c r="G28" i="37"/>
  <c r="G27" i="37"/>
  <c r="F27" i="37"/>
  <c r="H27" i="37" s="1"/>
  <c r="G26" i="37"/>
  <c r="H26" i="37" s="1"/>
  <c r="I26" i="37" s="1"/>
  <c r="H25" i="37"/>
  <c r="I25" i="37" s="1"/>
  <c r="G25" i="37"/>
  <c r="G24" i="37"/>
  <c r="F24" i="37"/>
  <c r="E24" i="37"/>
  <c r="G23" i="37"/>
  <c r="F23" i="37"/>
  <c r="E23" i="37"/>
  <c r="F22" i="37"/>
  <c r="E22" i="37"/>
  <c r="G22" i="37" s="1"/>
  <c r="F21" i="37"/>
  <c r="E21" i="37"/>
  <c r="G21" i="37" s="1"/>
  <c r="G19" i="37"/>
  <c r="H19" i="37" s="1"/>
  <c r="I19" i="37" s="1"/>
  <c r="I64" i="36" l="1"/>
  <c r="G64" i="36"/>
  <c r="I59" i="36"/>
  <c r="G57" i="36"/>
  <c r="G56" i="36"/>
  <c r="G59" i="36" s="1"/>
  <c r="H48" i="36"/>
  <c r="I48" i="36" s="1"/>
  <c r="G48" i="36"/>
  <c r="G46" i="36"/>
  <c r="H46" i="36" s="1"/>
  <c r="I46" i="36" s="1"/>
  <c r="F38" i="36"/>
  <c r="H38" i="36" s="1"/>
  <c r="E38" i="36"/>
  <c r="H31" i="36"/>
  <c r="G29" i="36"/>
  <c r="H29" i="36" s="1"/>
  <c r="H28" i="36"/>
  <c r="I28" i="36" s="1"/>
  <c r="G28" i="36"/>
  <c r="I27" i="36"/>
  <c r="H27" i="36"/>
  <c r="G27" i="36"/>
  <c r="H26" i="36"/>
  <c r="G26" i="36"/>
  <c r="F25" i="36"/>
  <c r="E25" i="36"/>
  <c r="G25" i="36" s="1"/>
  <c r="G24" i="36"/>
  <c r="F24" i="36"/>
  <c r="E24" i="36"/>
  <c r="F22" i="36"/>
  <c r="E22" i="36"/>
  <c r="G22" i="36" s="1"/>
  <c r="F21" i="36"/>
  <c r="E21" i="36"/>
  <c r="G21" i="36" s="1"/>
  <c r="H19" i="36"/>
  <c r="I19" i="36" s="1"/>
  <c r="G19" i="36"/>
  <c r="G18" i="36"/>
  <c r="H47" i="35" l="1"/>
  <c r="I47" i="35" s="1"/>
  <c r="G47" i="35"/>
  <c r="G45" i="35"/>
  <c r="H45" i="35" s="1"/>
  <c r="I45" i="35" s="1"/>
  <c r="H32" i="35"/>
  <c r="G30" i="35"/>
  <c r="H30" i="35" s="1"/>
  <c r="G28" i="35"/>
  <c r="H28" i="35" s="1"/>
  <c r="I28" i="35" s="1"/>
  <c r="H27" i="35"/>
  <c r="I27" i="35" s="1"/>
  <c r="G27" i="35"/>
  <c r="F26" i="35"/>
  <c r="E26" i="35"/>
  <c r="G26" i="35" s="1"/>
  <c r="F25" i="35"/>
  <c r="E25" i="35"/>
  <c r="G25" i="35" s="1"/>
  <c r="G24" i="35"/>
  <c r="F24" i="35"/>
  <c r="E24" i="35"/>
  <c r="G23" i="35"/>
  <c r="F23" i="35"/>
  <c r="E23" i="35"/>
  <c r="G21" i="35"/>
  <c r="H21" i="35" s="1"/>
  <c r="I21" i="35" s="1"/>
  <c r="H47" i="34" l="1"/>
  <c r="I47" i="34" s="1"/>
  <c r="G47" i="34"/>
  <c r="G45" i="34"/>
  <c r="H45" i="34" s="1"/>
  <c r="I45" i="34" s="1"/>
  <c r="F32" i="34"/>
  <c r="H32" i="34" s="1"/>
  <c r="I32" i="34" s="1"/>
  <c r="G29" i="34"/>
  <c r="G28" i="34" s="1"/>
  <c r="H28" i="34" s="1"/>
  <c r="H26" i="34"/>
  <c r="I26" i="34" s="1"/>
  <c r="G26" i="34"/>
  <c r="H25" i="34"/>
  <c r="I25" i="34" s="1"/>
  <c r="G25" i="34"/>
  <c r="F24" i="34"/>
  <c r="E24" i="34"/>
  <c r="G24" i="34" s="1"/>
  <c r="G23" i="34"/>
  <c r="F23" i="34"/>
  <c r="E23" i="34"/>
  <c r="G22" i="34"/>
  <c r="F22" i="34"/>
  <c r="E22" i="34"/>
  <c r="F20" i="34"/>
  <c r="E20" i="34"/>
  <c r="G20" i="34" s="1"/>
  <c r="G19" i="34"/>
  <c r="H19" i="34" s="1"/>
  <c r="I19" i="34" s="1"/>
  <c r="I69" i="32" l="1"/>
  <c r="G69" i="32"/>
  <c r="I64" i="32"/>
  <c r="G62" i="32"/>
  <c r="G61" i="32"/>
  <c r="G60" i="32"/>
  <c r="G59" i="32"/>
  <c r="G64" i="32" s="1"/>
  <c r="H50" i="32"/>
  <c r="I50" i="32" s="1"/>
  <c r="G50" i="32"/>
  <c r="I48" i="32"/>
  <c r="H47" i="32"/>
  <c r="I47" i="32" s="1"/>
  <c r="G47" i="32"/>
  <c r="G45" i="32"/>
  <c r="H45" i="32" s="1"/>
  <c r="I45" i="32" s="1"/>
  <c r="F38" i="32"/>
  <c r="H38" i="32" s="1"/>
  <c r="E38" i="32"/>
  <c r="G33" i="32"/>
  <c r="G32" i="32"/>
  <c r="H32" i="32" s="1"/>
  <c r="G29" i="32"/>
  <c r="H29" i="32" s="1"/>
  <c r="F29" i="32"/>
  <c r="G28" i="32"/>
  <c r="H28" i="32" s="1"/>
  <c r="I28" i="32" s="1"/>
  <c r="H27" i="32"/>
  <c r="I27" i="32" s="1"/>
  <c r="G27" i="32"/>
  <c r="G26" i="32"/>
  <c r="H26" i="32" s="1"/>
  <c r="I26" i="32" s="1"/>
  <c r="H25" i="32"/>
  <c r="I25" i="32" s="1"/>
  <c r="G25" i="32"/>
  <c r="G24" i="32"/>
  <c r="H24" i="32" s="1"/>
  <c r="I24" i="32" s="1"/>
  <c r="H23" i="32"/>
  <c r="G23" i="32"/>
  <c r="G22" i="32"/>
  <c r="F22" i="32"/>
  <c r="E22" i="32"/>
  <c r="F21" i="32"/>
  <c r="E21" i="32"/>
  <c r="G21" i="32" s="1"/>
  <c r="F20" i="32"/>
  <c r="E20" i="32"/>
  <c r="G20" i="32" s="1"/>
  <c r="G19" i="32"/>
  <c r="F19" i="32"/>
  <c r="E19" i="32"/>
  <c r="G18" i="32"/>
  <c r="H18" i="32" s="1"/>
  <c r="I68" i="31" l="1"/>
  <c r="G68" i="31"/>
  <c r="I64" i="31"/>
  <c r="G63" i="31"/>
  <c r="G62" i="31"/>
  <c r="G61" i="31"/>
  <c r="G60" i="31"/>
  <c r="G59" i="31"/>
  <c r="G64" i="31" s="1"/>
  <c r="G50" i="31"/>
  <c r="H50" i="31" s="1"/>
  <c r="I50" i="31" s="1"/>
  <c r="I48" i="31"/>
  <c r="G47" i="31"/>
  <c r="H47" i="31" s="1"/>
  <c r="I47" i="31" s="1"/>
  <c r="H45" i="31"/>
  <c r="I45" i="31" s="1"/>
  <c r="G45" i="31"/>
  <c r="E40" i="31"/>
  <c r="F40" i="31" s="1"/>
  <c r="H40" i="31" s="1"/>
  <c r="G35" i="31"/>
  <c r="G33" i="31"/>
  <c r="F33" i="31"/>
  <c r="H33" i="31" s="1"/>
  <c r="I32" i="31"/>
  <c r="G29" i="31"/>
  <c r="F29" i="31"/>
  <c r="H29" i="31" s="1"/>
  <c r="G28" i="31"/>
  <c r="H28" i="31" s="1"/>
  <c r="I28" i="31" s="1"/>
  <c r="H27" i="31"/>
  <c r="G27" i="31"/>
  <c r="G26" i="31"/>
  <c r="H26" i="31" s="1"/>
  <c r="I26" i="31" s="1"/>
  <c r="G25" i="31"/>
  <c r="H25" i="31" s="1"/>
  <c r="I25" i="31" s="1"/>
  <c r="H24" i="31"/>
  <c r="G24" i="31"/>
  <c r="F23" i="31"/>
  <c r="E23" i="31"/>
  <c r="G23" i="31" s="1"/>
  <c r="F22" i="31"/>
  <c r="E22" i="31"/>
  <c r="G22" i="31" s="1"/>
  <c r="G21" i="31"/>
  <c r="F21" i="31"/>
  <c r="E21" i="31"/>
  <c r="F20" i="31"/>
  <c r="E20" i="31"/>
  <c r="G20" i="31" s="1"/>
  <c r="G19" i="31"/>
  <c r="H19" i="31" s="1"/>
  <c r="I19" i="31" s="1"/>
  <c r="I68" i="30" l="1"/>
  <c r="G68" i="30"/>
  <c r="I64" i="30"/>
  <c r="G63" i="30"/>
  <c r="G62" i="30"/>
  <c r="G61" i="30"/>
  <c r="G60" i="30"/>
  <c r="G64" i="30" s="1"/>
  <c r="H51" i="30"/>
  <c r="I51" i="30" s="1"/>
  <c r="G51" i="30"/>
  <c r="G49" i="30"/>
  <c r="H49" i="30" s="1"/>
  <c r="I49" i="30" s="1"/>
  <c r="G47" i="30"/>
  <c r="H47" i="30" s="1"/>
  <c r="I47" i="30" s="1"/>
  <c r="E39" i="30"/>
  <c r="F39" i="30" s="1"/>
  <c r="H39" i="30" s="1"/>
  <c r="G33" i="30"/>
  <c r="H31" i="30"/>
  <c r="F31" i="30"/>
  <c r="E31" i="30"/>
  <c r="G30" i="30"/>
  <c r="H30" i="30" s="1"/>
  <c r="G29" i="30"/>
  <c r="H29" i="30" s="1"/>
  <c r="I29" i="30" s="1"/>
  <c r="G28" i="30"/>
  <c r="H28" i="30" s="1"/>
  <c r="I28" i="30" s="1"/>
  <c r="H27" i="30"/>
  <c r="I27" i="30" s="1"/>
  <c r="G27" i="30"/>
  <c r="H26" i="30"/>
  <c r="G26" i="30"/>
  <c r="G25" i="30"/>
  <c r="F25" i="30"/>
  <c r="E25" i="30"/>
  <c r="G24" i="30"/>
  <c r="F24" i="30"/>
  <c r="E24" i="30"/>
  <c r="F23" i="30"/>
  <c r="E23" i="30"/>
  <c r="G23" i="30" s="1"/>
  <c r="F22" i="30"/>
  <c r="E22" i="30"/>
  <c r="G22" i="30" s="1"/>
  <c r="H20" i="30"/>
  <c r="G20" i="30"/>
  <c r="I65" i="29" l="1"/>
  <c r="G65" i="29"/>
  <c r="I61" i="29"/>
  <c r="G59" i="29"/>
  <c r="G58" i="29"/>
  <c r="G57" i="29"/>
  <c r="G56" i="29"/>
  <c r="G61" i="29" s="1"/>
  <c r="H48" i="29"/>
  <c r="I48" i="29" s="1"/>
  <c r="G48" i="29"/>
  <c r="I46" i="29"/>
  <c r="H45" i="29"/>
  <c r="I45" i="29" s="1"/>
  <c r="G45" i="29"/>
  <c r="G43" i="29"/>
  <c r="H43" i="29" s="1"/>
  <c r="I43" i="29" s="1"/>
  <c r="F37" i="29"/>
  <c r="H37" i="29" s="1"/>
  <c r="E37" i="29"/>
  <c r="G32" i="29"/>
  <c r="G31" i="29" s="1"/>
  <c r="F31" i="29"/>
  <c r="H31" i="29" s="1"/>
  <c r="I30" i="29"/>
  <c r="G28" i="29"/>
  <c r="G27" i="29"/>
  <c r="F27" i="29"/>
  <c r="H27" i="29" s="1"/>
  <c r="H26" i="29"/>
  <c r="I26" i="29" s="1"/>
  <c r="G26" i="29"/>
  <c r="G25" i="29"/>
  <c r="H25" i="29" s="1"/>
  <c r="I25" i="29" s="1"/>
  <c r="H24" i="29"/>
  <c r="I24" i="29" s="1"/>
  <c r="G24" i="29"/>
  <c r="H23" i="29"/>
  <c r="G23" i="29"/>
  <c r="G22" i="29"/>
  <c r="F22" i="29"/>
  <c r="E22" i="29"/>
  <c r="G21" i="29"/>
  <c r="F21" i="29"/>
  <c r="E21" i="29"/>
  <c r="F20" i="29"/>
  <c r="E20" i="29"/>
  <c r="G20" i="29" s="1"/>
  <c r="F19" i="29"/>
  <c r="E19" i="29"/>
  <c r="G19" i="29" s="1"/>
  <c r="G18" i="29"/>
  <c r="H18" i="29" s="1"/>
  <c r="I18" i="29" s="1"/>
  <c r="H26" i="28" l="1"/>
  <c r="H25" i="28"/>
  <c r="H24" i="28"/>
  <c r="I24" i="28" s="1"/>
  <c r="G24" i="28"/>
  <c r="I23" i="28"/>
  <c r="H23" i="28"/>
  <c r="G23" i="28"/>
  <c r="F22" i="28"/>
  <c r="E22" i="28"/>
  <c r="G22" i="28" s="1"/>
  <c r="F21" i="28"/>
  <c r="E21" i="28"/>
  <c r="G21" i="28" s="1"/>
  <c r="F20" i="28"/>
  <c r="E20" i="28"/>
  <c r="G20" i="28" s="1"/>
  <c r="G19" i="28"/>
  <c r="F19" i="28"/>
  <c r="E19" i="28"/>
  <c r="H18" i="28"/>
  <c r="I18" i="28" s="1"/>
  <c r="G60" i="27" l="1"/>
  <c r="I56" i="27"/>
  <c r="G56" i="27" s="1"/>
  <c r="G54" i="27"/>
  <c r="H46" i="27"/>
  <c r="I46" i="27" s="1"/>
  <c r="G46" i="27"/>
  <c r="I44" i="27"/>
  <c r="H43" i="27"/>
  <c r="I43" i="27" s="1"/>
  <c r="G43" i="27"/>
  <c r="G41" i="27"/>
  <c r="H41" i="27" s="1"/>
  <c r="I41" i="27" s="1"/>
  <c r="F35" i="27"/>
  <c r="H35" i="27" s="1"/>
  <c r="E35" i="27"/>
  <c r="H30" i="27"/>
  <c r="F30" i="27"/>
  <c r="I29" i="27"/>
  <c r="G26" i="27"/>
  <c r="H26" i="27" s="1"/>
  <c r="F26" i="27"/>
  <c r="G25" i="27"/>
  <c r="H25" i="27" s="1"/>
  <c r="I25" i="27" s="1"/>
  <c r="H24" i="27"/>
  <c r="I24" i="27" s="1"/>
  <c r="G24" i="27"/>
  <c r="G23" i="27"/>
  <c r="F23" i="27"/>
  <c r="E23" i="27"/>
  <c r="G22" i="27"/>
  <c r="F22" i="27"/>
  <c r="E22" i="27"/>
  <c r="F21" i="27"/>
  <c r="E21" i="27"/>
  <c r="G21" i="27" s="1"/>
  <c r="F20" i="27"/>
  <c r="E20" i="27"/>
  <c r="G20" i="27" s="1"/>
  <c r="H19" i="27"/>
  <c r="G19" i="27"/>
  <c r="I58" i="26" l="1"/>
  <c r="G58" i="26"/>
  <c r="G57" i="26"/>
  <c r="G49" i="26"/>
  <c r="H49" i="26" s="1"/>
  <c r="I49" i="26" s="1"/>
  <c r="G47" i="26"/>
  <c r="H47" i="26" s="1"/>
  <c r="I47" i="26" s="1"/>
  <c r="G45" i="26"/>
  <c r="H45" i="26" s="1"/>
  <c r="I45" i="26" s="1"/>
  <c r="E39" i="26"/>
  <c r="H39" i="26" s="1"/>
  <c r="H32" i="26"/>
  <c r="G29" i="26"/>
  <c r="F29" i="26"/>
  <c r="H29" i="26" s="1"/>
  <c r="G28" i="26"/>
  <c r="H28" i="26" s="1"/>
  <c r="I28" i="26" s="1"/>
  <c r="G27" i="26"/>
  <c r="H27" i="26" s="1"/>
  <c r="I27" i="26" s="1"/>
  <c r="H26" i="26"/>
  <c r="I26" i="26" s="1"/>
  <c r="G26" i="26"/>
  <c r="H25" i="26"/>
  <c r="I25" i="26" s="1"/>
  <c r="G25" i="26"/>
  <c r="H24" i="26"/>
  <c r="G24" i="26"/>
  <c r="F23" i="26"/>
  <c r="E23" i="26"/>
  <c r="G23" i="26" s="1"/>
  <c r="F22" i="26"/>
  <c r="E22" i="26"/>
  <c r="G22" i="26" s="1"/>
  <c r="F21" i="26"/>
  <c r="E21" i="26"/>
  <c r="G21" i="26" s="1"/>
  <c r="G20" i="26"/>
  <c r="F20" i="26"/>
  <c r="E20" i="26"/>
  <c r="H19" i="26"/>
  <c r="I19" i="26" s="1"/>
  <c r="G19" i="26"/>
  <c r="I58" i="25" l="1"/>
  <c r="G58" i="25"/>
  <c r="I54" i="25"/>
  <c r="G52" i="25"/>
  <c r="G54" i="25" s="1"/>
  <c r="I44" i="25"/>
  <c r="H44" i="25"/>
  <c r="G44" i="25"/>
  <c r="G42" i="25"/>
  <c r="H42" i="25" s="1"/>
  <c r="E36" i="25"/>
  <c r="F36" i="25" s="1"/>
  <c r="H36" i="25" s="1"/>
  <c r="G31" i="25"/>
  <c r="G30" i="25" s="1"/>
  <c r="F30" i="25"/>
  <c r="G26" i="25"/>
  <c r="F26" i="25"/>
  <c r="H26" i="25" s="1"/>
  <c r="G25" i="25"/>
  <c r="H25" i="25" s="1"/>
  <c r="I25" i="25" s="1"/>
  <c r="H24" i="25"/>
  <c r="I24" i="25" s="1"/>
  <c r="G24" i="25"/>
  <c r="F23" i="25"/>
  <c r="E23" i="25"/>
  <c r="G23" i="25" s="1"/>
  <c r="F22" i="25"/>
  <c r="E22" i="25"/>
  <c r="G22" i="25" s="1"/>
  <c r="G21" i="25"/>
  <c r="F21" i="25"/>
  <c r="E21" i="25"/>
  <c r="F20" i="25"/>
  <c r="E20" i="25"/>
  <c r="G20" i="25" s="1"/>
  <c r="G18" i="25"/>
  <c r="H18" i="25" s="1"/>
  <c r="I18" i="25" s="1"/>
  <c r="H30" i="25" l="1"/>
  <c r="I30" i="25" s="1"/>
  <c r="I64" i="24"/>
  <c r="G64" i="24" s="1"/>
  <c r="I60" i="24"/>
  <c r="G59" i="24"/>
  <c r="G58" i="24"/>
  <c r="G57" i="24"/>
  <c r="G56" i="24"/>
  <c r="G60" i="24" s="1"/>
  <c r="G48" i="24"/>
  <c r="H48" i="24" s="1"/>
  <c r="I48" i="24" s="1"/>
  <c r="I46" i="24"/>
  <c r="G45" i="24"/>
  <c r="H45" i="24" s="1"/>
  <c r="I45" i="24" s="1"/>
  <c r="H43" i="24"/>
  <c r="I43" i="24" s="1"/>
  <c r="G43" i="24"/>
  <c r="E37" i="24"/>
  <c r="F37" i="24" s="1"/>
  <c r="H37" i="24" s="1"/>
  <c r="F31" i="24"/>
  <c r="H31" i="24" s="1"/>
  <c r="E31" i="24"/>
  <c r="G29" i="24"/>
  <c r="H29" i="24" s="1"/>
  <c r="I29" i="24" s="1"/>
  <c r="G27" i="24"/>
  <c r="H27" i="24" s="1"/>
  <c r="I27" i="24" s="1"/>
  <c r="H26" i="24"/>
  <c r="I26" i="24" s="1"/>
  <c r="G26" i="24"/>
  <c r="H25" i="24"/>
  <c r="G25" i="24"/>
  <c r="G24" i="24"/>
  <c r="F24" i="24"/>
  <c r="E24" i="24"/>
  <c r="G23" i="24"/>
  <c r="F23" i="24"/>
  <c r="E23" i="24"/>
  <c r="F22" i="24"/>
  <c r="E22" i="24"/>
  <c r="G22" i="24" s="1"/>
  <c r="F21" i="24"/>
  <c r="E21" i="24"/>
  <c r="G21" i="24" s="1"/>
  <c r="G20" i="24"/>
  <c r="H20" i="24" s="1"/>
  <c r="I20" i="24" s="1"/>
  <c r="G31" i="24" l="1"/>
  <c r="I67" i="23"/>
  <c r="G33" i="23" s="1"/>
  <c r="G32" i="23" s="1"/>
  <c r="G66" i="23"/>
  <c r="G67" i="23" s="1"/>
  <c r="I63" i="23"/>
  <c r="G63" i="23"/>
  <c r="G62" i="23"/>
  <c r="G61" i="23"/>
  <c r="G60" i="23"/>
  <c r="G59" i="23"/>
  <c r="G58" i="23"/>
  <c r="G50" i="23"/>
  <c r="H50" i="23" s="1"/>
  <c r="I50" i="23" s="1"/>
  <c r="G47" i="23"/>
  <c r="H47" i="23" s="1"/>
  <c r="I47" i="23" s="1"/>
  <c r="G45" i="23"/>
  <c r="H45" i="23" s="1"/>
  <c r="I45" i="23" s="1"/>
  <c r="F38" i="23"/>
  <c r="H38" i="23" s="1"/>
  <c r="E38" i="23"/>
  <c r="F32" i="23"/>
  <c r="G29" i="23"/>
  <c r="G30" i="23" s="1"/>
  <c r="F29" i="23"/>
  <c r="H29" i="23" s="1"/>
  <c r="G28" i="23"/>
  <c r="H28" i="23" s="1"/>
  <c r="G27" i="23"/>
  <c r="H27" i="23" s="1"/>
  <c r="I27" i="23" s="1"/>
  <c r="H26" i="23"/>
  <c r="I26" i="23" s="1"/>
  <c r="G26" i="23"/>
  <c r="H25" i="23"/>
  <c r="I25" i="23" s="1"/>
  <c r="G25" i="23"/>
  <c r="H24" i="23"/>
  <c r="G24" i="23"/>
  <c r="F23" i="23"/>
  <c r="E23" i="23"/>
  <c r="G23" i="23" s="1"/>
  <c r="F22" i="23"/>
  <c r="E22" i="23"/>
  <c r="G22" i="23" s="1"/>
  <c r="F21" i="23"/>
  <c r="E21" i="23"/>
  <c r="G21" i="23" s="1"/>
  <c r="G20" i="23"/>
  <c r="F20" i="23"/>
  <c r="E20" i="23"/>
  <c r="H19" i="23"/>
  <c r="I19" i="23" s="1"/>
  <c r="G19" i="23"/>
  <c r="H32" i="23" l="1"/>
  <c r="I58" i="22"/>
  <c r="G28" i="22" s="1"/>
  <c r="H28" i="22" s="1"/>
  <c r="G57" i="22"/>
  <c r="G56" i="22"/>
  <c r="G55" i="22"/>
  <c r="G54" i="22"/>
  <c r="G58" i="22" s="1"/>
  <c r="G47" i="22"/>
  <c r="H47" i="22" s="1"/>
  <c r="I47" i="22" s="1"/>
  <c r="G44" i="22"/>
  <c r="H44" i="22" s="1"/>
  <c r="I44" i="22" s="1"/>
  <c r="G42" i="22"/>
  <c r="H42" i="22" s="1"/>
  <c r="I42" i="22" s="1"/>
  <c r="F35" i="22"/>
  <c r="H35" i="22" s="1"/>
  <c r="E35" i="22"/>
  <c r="F30" i="22"/>
  <c r="H30" i="22" s="1"/>
  <c r="G26" i="22"/>
  <c r="H26" i="22" s="1"/>
  <c r="I26" i="22" s="1"/>
  <c r="G25" i="22"/>
  <c r="H25" i="22" s="1"/>
  <c r="I25" i="22" s="1"/>
  <c r="G24" i="22"/>
  <c r="H24" i="22" s="1"/>
  <c r="I24" i="22" s="1"/>
  <c r="G23" i="22"/>
  <c r="G22" i="22"/>
  <c r="F22" i="22"/>
  <c r="E22" i="22"/>
  <c r="G21" i="22"/>
  <c r="F21" i="22"/>
  <c r="E21" i="22"/>
  <c r="F20" i="22"/>
  <c r="E20" i="22"/>
  <c r="G20" i="22" s="1"/>
  <c r="F19" i="22"/>
  <c r="E19" i="22"/>
  <c r="G19" i="22" s="1"/>
  <c r="G18" i="22"/>
  <c r="H18" i="22" s="1"/>
  <c r="I18" i="22" s="1"/>
  <c r="I50" i="21" l="1"/>
  <c r="G50" i="21"/>
  <c r="G48" i="21"/>
  <c r="G39" i="21"/>
  <c r="H39" i="21" s="1"/>
  <c r="I39" i="21" s="1"/>
  <c r="G37" i="21"/>
  <c r="H37" i="21" s="1"/>
  <c r="I37" i="21" s="1"/>
  <c r="H29" i="21"/>
  <c r="G29" i="21"/>
  <c r="G27" i="21"/>
  <c r="H27" i="21" s="1"/>
  <c r="I26" i="21"/>
  <c r="H26" i="21"/>
  <c r="G26" i="21"/>
  <c r="F25" i="21"/>
  <c r="E25" i="21"/>
  <c r="G25" i="21" s="1"/>
  <c r="F24" i="21"/>
  <c r="E24" i="21"/>
  <c r="G24" i="21" s="1"/>
  <c r="F23" i="21"/>
  <c r="E23" i="21"/>
  <c r="G23" i="21" s="1"/>
  <c r="G22" i="21"/>
  <c r="F22" i="21"/>
  <c r="E22" i="21"/>
  <c r="G21" i="21"/>
  <c r="H21" i="21" s="1"/>
  <c r="I57" i="20" l="1"/>
  <c r="I53" i="20"/>
  <c r="G28" i="20" s="1"/>
  <c r="H28" i="20" s="1"/>
  <c r="I28" i="20" s="1"/>
  <c r="G52" i="20"/>
  <c r="G51" i="20"/>
  <c r="G50" i="20"/>
  <c r="G53" i="20" s="1"/>
  <c r="H40" i="20"/>
  <c r="I40" i="20" s="1"/>
  <c r="G40" i="20"/>
  <c r="G31" i="20"/>
  <c r="G30" i="20" s="1"/>
  <c r="F30" i="20"/>
  <c r="H30" i="20" s="1"/>
  <c r="H26" i="20"/>
  <c r="I26" i="20" s="1"/>
  <c r="G26" i="20"/>
  <c r="H25" i="20"/>
  <c r="I25" i="20" s="1"/>
  <c r="G25" i="20"/>
  <c r="F24" i="20"/>
  <c r="E24" i="20"/>
  <c r="G24" i="20" s="1"/>
  <c r="G23" i="20"/>
  <c r="F23" i="20"/>
  <c r="E23" i="20"/>
  <c r="G22" i="20"/>
  <c r="F22" i="20"/>
  <c r="E22" i="20"/>
  <c r="F21" i="20"/>
  <c r="E21" i="20"/>
  <c r="G21" i="20" s="1"/>
  <c r="G20" i="20"/>
  <c r="H20" i="20" s="1"/>
  <c r="I20" i="20" s="1"/>
  <c r="I63" i="19" l="1"/>
  <c r="G28" i="19" s="1"/>
  <c r="G62" i="19"/>
  <c r="G61" i="19"/>
  <c r="G59" i="19"/>
  <c r="G63" i="19" s="1"/>
  <c r="G49" i="19"/>
  <c r="H49" i="19" s="1"/>
  <c r="I49" i="19" s="1"/>
  <c r="I47" i="19"/>
  <c r="H47" i="19"/>
  <c r="G47" i="19"/>
  <c r="H45" i="19"/>
  <c r="I45" i="19" s="1"/>
  <c r="G45" i="19"/>
  <c r="F37" i="19"/>
  <c r="H37" i="19" s="1"/>
  <c r="E37" i="19"/>
  <c r="G32" i="19"/>
  <c r="F32" i="19"/>
  <c r="H32" i="19" s="1"/>
  <c r="F28" i="19"/>
  <c r="I27" i="19"/>
  <c r="H27" i="19"/>
  <c r="G27" i="19"/>
  <c r="H26" i="19"/>
  <c r="I26" i="19" s="1"/>
  <c r="G26" i="19"/>
  <c r="G25" i="19"/>
  <c r="H25" i="19" s="1"/>
  <c r="I25" i="19" s="1"/>
  <c r="I24" i="19"/>
  <c r="H24" i="19"/>
  <c r="G24" i="19"/>
  <c r="H23" i="19"/>
  <c r="G23" i="19"/>
  <c r="F22" i="19"/>
  <c r="E22" i="19"/>
  <c r="G22" i="19" s="1"/>
  <c r="G21" i="19"/>
  <c r="F21" i="19"/>
  <c r="E21" i="19"/>
  <c r="G20" i="19"/>
  <c r="F20" i="19"/>
  <c r="E20" i="19"/>
  <c r="F19" i="19"/>
  <c r="E19" i="19"/>
  <c r="G19" i="19" s="1"/>
  <c r="G18" i="19"/>
  <c r="H18" i="19" s="1"/>
  <c r="I18" i="19" s="1"/>
  <c r="H28" i="19" l="1"/>
  <c r="I70" i="18"/>
  <c r="G69" i="18"/>
  <c r="G70" i="18" s="1"/>
  <c r="I66" i="18"/>
  <c r="G65" i="18"/>
  <c r="G64" i="18"/>
  <c r="G63" i="18"/>
  <c r="G62" i="18"/>
  <c r="G61" i="18"/>
  <c r="G60" i="18"/>
  <c r="G59" i="18"/>
  <c r="G58" i="18"/>
  <c r="G57" i="18"/>
  <c r="G56" i="18"/>
  <c r="G66" i="18" s="1"/>
  <c r="I47" i="18"/>
  <c r="H47" i="18"/>
  <c r="G47" i="18"/>
  <c r="H45" i="18"/>
  <c r="I45" i="18" s="1"/>
  <c r="G45" i="18"/>
  <c r="G43" i="18"/>
  <c r="H43" i="18" s="1"/>
  <c r="I43" i="18" s="1"/>
  <c r="E36" i="18"/>
  <c r="F36" i="18" s="1"/>
  <c r="H36" i="18" s="1"/>
  <c r="G31" i="18"/>
  <c r="G30" i="18" s="1"/>
  <c r="F30" i="18"/>
  <c r="G27" i="18"/>
  <c r="G26" i="18" s="1"/>
  <c r="F26" i="18"/>
  <c r="H26" i="18" s="1"/>
  <c r="I25" i="18"/>
  <c r="H25" i="18"/>
  <c r="G25" i="18"/>
  <c r="H24" i="18"/>
  <c r="I24" i="18" s="1"/>
  <c r="G24" i="18"/>
  <c r="F23" i="18"/>
  <c r="E23" i="18"/>
  <c r="G23" i="18" s="1"/>
  <c r="F22" i="18"/>
  <c r="E22" i="18"/>
  <c r="G22" i="18" s="1"/>
  <c r="G21" i="18"/>
  <c r="F21" i="18"/>
  <c r="E21" i="18"/>
  <c r="F20" i="18"/>
  <c r="E20" i="18"/>
  <c r="G20" i="18" s="1"/>
  <c r="G19" i="18"/>
  <c r="H19" i="18" s="1"/>
  <c r="I19" i="18" s="1"/>
  <c r="H30" i="18" l="1"/>
  <c r="I57" i="17"/>
  <c r="G56" i="17"/>
  <c r="G55" i="17"/>
  <c r="G54" i="17"/>
  <c r="G53" i="17"/>
  <c r="G52" i="17"/>
  <c r="G57" i="17" s="1"/>
  <c r="I44" i="17"/>
  <c r="H44" i="17"/>
  <c r="G44" i="17"/>
  <c r="H42" i="17"/>
  <c r="I42" i="17" s="1"/>
  <c r="G42" i="17"/>
  <c r="H40" i="17"/>
  <c r="I40" i="17" s="1"/>
  <c r="G40" i="17"/>
  <c r="E33" i="17"/>
  <c r="F33" i="17" s="1"/>
  <c r="H33" i="17" s="1"/>
  <c r="G29" i="17"/>
  <c r="G28" i="17" s="1"/>
  <c r="F28" i="17"/>
  <c r="H28" i="17" s="1"/>
  <c r="I28" i="17" s="1"/>
  <c r="H27" i="17"/>
  <c r="G27" i="17"/>
  <c r="H26" i="17"/>
  <c r="I26" i="17" s="1"/>
  <c r="G26" i="17"/>
  <c r="G25" i="17"/>
  <c r="H25" i="17" s="1"/>
  <c r="I25" i="17" s="1"/>
  <c r="H24" i="17"/>
  <c r="I24" i="17" s="1"/>
  <c r="G24" i="17"/>
  <c r="H23" i="17"/>
  <c r="G23" i="17"/>
  <c r="F22" i="17"/>
  <c r="E22" i="17"/>
  <c r="G22" i="17" s="1"/>
  <c r="F21" i="17"/>
  <c r="E21" i="17"/>
  <c r="G21" i="17" s="1"/>
  <c r="G20" i="17"/>
  <c r="F20" i="17"/>
  <c r="E20" i="17"/>
  <c r="F19" i="17"/>
  <c r="E19" i="17"/>
  <c r="G19" i="17" s="1"/>
  <c r="G18" i="17"/>
  <c r="H18" i="17" s="1"/>
  <c r="I18" i="17" s="1"/>
  <c r="I62" i="16" l="1"/>
  <c r="G61" i="16"/>
  <c r="G62" i="16" s="1"/>
  <c r="I58" i="16"/>
  <c r="G58" i="16"/>
  <c r="G57" i="16"/>
  <c r="G56" i="16"/>
  <c r="H47" i="16"/>
  <c r="I47" i="16" s="1"/>
  <c r="G47" i="16"/>
  <c r="G44" i="16"/>
  <c r="H44" i="16" s="1"/>
  <c r="I44" i="16" s="1"/>
  <c r="G42" i="16"/>
  <c r="H42" i="16" s="1"/>
  <c r="I42" i="16" s="1"/>
  <c r="H35" i="16"/>
  <c r="F35" i="16"/>
  <c r="E35" i="16"/>
  <c r="G31" i="16"/>
  <c r="I30" i="16"/>
  <c r="H30" i="16"/>
  <c r="G30" i="16"/>
  <c r="G28" i="16"/>
  <c r="H28" i="16" s="1"/>
  <c r="G26" i="16"/>
  <c r="H26" i="16" s="1"/>
  <c r="I26" i="16" s="1"/>
  <c r="I25" i="16"/>
  <c r="H25" i="16"/>
  <c r="G25" i="16"/>
  <c r="F23" i="16"/>
  <c r="E23" i="16"/>
  <c r="G23" i="16" s="1"/>
  <c r="F22" i="16"/>
  <c r="E22" i="16"/>
  <c r="G22" i="16" s="1"/>
  <c r="G21" i="16"/>
  <c r="F21" i="16"/>
  <c r="E21" i="16"/>
  <c r="G20" i="16"/>
  <c r="F20" i="16"/>
  <c r="E20" i="16"/>
  <c r="G19" i="16"/>
  <c r="H19" i="16" s="1"/>
  <c r="I52" i="15" l="1"/>
  <c r="G28" i="15" s="1"/>
  <c r="H28" i="15" s="1"/>
  <c r="I28" i="15" s="1"/>
  <c r="G52" i="15"/>
  <c r="G41" i="15"/>
  <c r="H41" i="15" s="1"/>
  <c r="I41" i="15" s="1"/>
  <c r="F32" i="15"/>
  <c r="H32" i="15" s="1"/>
  <c r="F28" i="15"/>
  <c r="H27" i="15"/>
  <c r="I27" i="15" s="1"/>
  <c r="G27" i="15"/>
  <c r="G26" i="15"/>
  <c r="H26" i="15" s="1"/>
  <c r="I26" i="15" s="1"/>
  <c r="F24" i="15"/>
  <c r="E24" i="15"/>
  <c r="G24" i="15" s="1"/>
  <c r="G23" i="15"/>
  <c r="F23" i="15"/>
  <c r="E23" i="15"/>
  <c r="G22" i="15"/>
  <c r="F22" i="15"/>
  <c r="E22" i="15"/>
  <c r="F21" i="15"/>
  <c r="E21" i="15"/>
  <c r="G21" i="15" s="1"/>
  <c r="G20" i="15"/>
  <c r="H20" i="15" s="1"/>
  <c r="I20" i="15" s="1"/>
  <c r="H37" i="14" l="1"/>
  <c r="I37" i="14" s="1"/>
  <c r="G37" i="14"/>
  <c r="G27" i="14"/>
  <c r="F27" i="14"/>
  <c r="H27" i="14" s="1"/>
  <c r="G25" i="14"/>
  <c r="H25" i="14" s="1"/>
  <c r="I25" i="14" s="1"/>
  <c r="G24" i="14"/>
  <c r="H24" i="14" s="1"/>
  <c r="I24" i="14" s="1"/>
  <c r="G23" i="14"/>
  <c r="F23" i="14"/>
  <c r="E23" i="14"/>
  <c r="F22" i="14"/>
  <c r="E22" i="14"/>
  <c r="G22" i="14" s="1"/>
  <c r="F21" i="14"/>
  <c r="E21" i="14"/>
  <c r="G21" i="14" s="1"/>
  <c r="G20" i="14"/>
  <c r="F20" i="14"/>
  <c r="E20" i="14"/>
  <c r="H19" i="14"/>
  <c r="I19" i="14" s="1"/>
  <c r="G19" i="14"/>
  <c r="I55" i="13" l="1"/>
  <c r="G55" i="13"/>
  <c r="I51" i="13"/>
  <c r="G51" i="13"/>
  <c r="I40" i="13"/>
  <c r="H40" i="13"/>
  <c r="G40" i="13"/>
  <c r="G29" i="13"/>
  <c r="H29" i="13" s="1"/>
  <c r="G25" i="13"/>
  <c r="F25" i="13"/>
  <c r="H25" i="13" s="1"/>
  <c r="I24" i="13"/>
  <c r="H24" i="13"/>
  <c r="G24" i="13"/>
  <c r="H23" i="13"/>
  <c r="I23" i="13" s="1"/>
  <c r="G23" i="13"/>
  <c r="G22" i="13"/>
  <c r="F22" i="13"/>
  <c r="H22" i="13" s="1"/>
  <c r="I22" i="13" s="1"/>
  <c r="E22" i="13"/>
  <c r="F21" i="13"/>
  <c r="E21" i="13"/>
  <c r="G21" i="13" s="1"/>
  <c r="F20" i="13"/>
  <c r="E20" i="13"/>
  <c r="G20" i="13" s="1"/>
  <c r="G19" i="13"/>
  <c r="F19" i="13"/>
  <c r="E19" i="13"/>
  <c r="H18" i="13"/>
  <c r="I18" i="13" s="1"/>
  <c r="G18" i="13"/>
  <c r="I37" i="12" l="1"/>
  <c r="H37" i="12"/>
  <c r="G37" i="12"/>
  <c r="H28" i="12"/>
  <c r="H27" i="12"/>
  <c r="G27" i="12"/>
  <c r="G25" i="12"/>
  <c r="H25" i="12" s="1"/>
  <c r="I25" i="12" s="1"/>
  <c r="G24" i="12"/>
  <c r="H24" i="12" s="1"/>
  <c r="I24" i="12" s="1"/>
  <c r="H23" i="12"/>
  <c r="F23" i="12"/>
  <c r="E23" i="12"/>
  <c r="G23" i="12" s="1"/>
  <c r="G22" i="12"/>
  <c r="F22" i="12"/>
  <c r="E22" i="12"/>
  <c r="F21" i="12"/>
  <c r="E21" i="12"/>
  <c r="G21" i="12" s="1"/>
  <c r="F20" i="12"/>
  <c r="E20" i="12"/>
  <c r="G20" i="12" s="1"/>
  <c r="G19" i="12"/>
  <c r="H19" i="12" s="1"/>
  <c r="I19" i="12" s="1"/>
  <c r="H42" i="11" l="1"/>
  <c r="I42" i="11" s="1"/>
  <c r="G42" i="11"/>
  <c r="H31" i="11"/>
  <c r="G28" i="11"/>
  <c r="H27" i="11"/>
  <c r="G27" i="11"/>
  <c r="F27" i="11"/>
  <c r="H25" i="11"/>
  <c r="I25" i="11" s="1"/>
  <c r="G25" i="11"/>
  <c r="G24" i="11"/>
  <c r="H24" i="11" s="1"/>
  <c r="I24" i="11" s="1"/>
  <c r="F23" i="11"/>
  <c r="E23" i="11"/>
  <c r="G23" i="11" s="1"/>
  <c r="G22" i="11"/>
  <c r="F22" i="11"/>
  <c r="E22" i="11"/>
  <c r="G21" i="11"/>
  <c r="F21" i="11"/>
  <c r="E21" i="11"/>
  <c r="F20" i="11"/>
  <c r="E20" i="11"/>
  <c r="G20" i="11" s="1"/>
  <c r="G19" i="11"/>
  <c r="H19" i="11" s="1"/>
  <c r="I19" i="11" s="1"/>
  <c r="H35" i="10" l="1"/>
  <c r="I35" i="10" s="1"/>
  <c r="G35" i="10"/>
  <c r="G27" i="10"/>
  <c r="H27" i="10" s="1"/>
  <c r="I27" i="10" s="1"/>
  <c r="G25" i="10"/>
  <c r="H25" i="10" s="1"/>
  <c r="I25" i="10" s="1"/>
  <c r="I24" i="10"/>
  <c r="H24" i="10"/>
  <c r="G24" i="10"/>
  <c r="G23" i="10"/>
  <c r="F23" i="10"/>
  <c r="E23" i="10"/>
  <c r="F22" i="10"/>
  <c r="E22" i="10"/>
  <c r="G22" i="10" s="1"/>
  <c r="F21" i="10"/>
  <c r="E21" i="10"/>
  <c r="G21" i="10" s="1"/>
  <c r="G20" i="10"/>
  <c r="F20" i="10"/>
  <c r="E20" i="10"/>
  <c r="H19" i="10"/>
  <c r="I19" i="10" s="1"/>
  <c r="G19" i="10"/>
  <c r="I67" i="9" l="1"/>
  <c r="G67" i="9"/>
  <c r="I63" i="9"/>
  <c r="G62" i="9"/>
  <c r="G61" i="9"/>
  <c r="G63" i="9" s="1"/>
  <c r="G51" i="9"/>
  <c r="H51" i="9" s="1"/>
  <c r="I51" i="9" s="1"/>
  <c r="G48" i="9"/>
  <c r="H48" i="9" s="1"/>
  <c r="I48" i="9" s="1"/>
  <c r="H46" i="9"/>
  <c r="I46" i="9" s="1"/>
  <c r="G46" i="9"/>
  <c r="E40" i="9"/>
  <c r="G40" i="9" s="1"/>
  <c r="I40" i="9" s="1"/>
  <c r="G33" i="9"/>
  <c r="G32" i="9"/>
  <c r="F32" i="9"/>
  <c r="H32" i="9" s="1"/>
  <c r="E32" i="9"/>
  <c r="I31" i="9"/>
  <c r="G29" i="9"/>
  <c r="H28" i="9"/>
  <c r="G28" i="9"/>
  <c r="F28" i="9"/>
  <c r="H27" i="9"/>
  <c r="I27" i="9" s="1"/>
  <c r="G27" i="9"/>
  <c r="I26" i="9"/>
  <c r="H26" i="9"/>
  <c r="G26" i="9"/>
  <c r="H25" i="9"/>
  <c r="G25" i="9"/>
  <c r="G24" i="9"/>
  <c r="F24" i="9"/>
  <c r="E24" i="9"/>
  <c r="F23" i="9"/>
  <c r="E23" i="9"/>
  <c r="G23" i="9" s="1"/>
  <c r="F22" i="9"/>
  <c r="E22" i="9"/>
  <c r="G22" i="9" s="1"/>
  <c r="G21" i="9"/>
  <c r="F21" i="9"/>
  <c r="E21" i="9"/>
  <c r="H20" i="9"/>
  <c r="I20" i="9" s="1"/>
  <c r="G20" i="9"/>
  <c r="I56" i="8" l="1"/>
  <c r="G56" i="8"/>
  <c r="G54" i="8"/>
  <c r="G43" i="8"/>
  <c r="H43" i="8" s="1"/>
  <c r="I43" i="8" s="1"/>
  <c r="G32" i="8"/>
  <c r="F32" i="8"/>
  <c r="H32" i="8" s="1"/>
  <c r="I32" i="8" s="1"/>
  <c r="G27" i="8"/>
  <c r="F27" i="8"/>
  <c r="H27" i="8" s="1"/>
  <c r="G25" i="8"/>
  <c r="H25" i="8" s="1"/>
  <c r="I25" i="8" s="1"/>
  <c r="H24" i="8"/>
  <c r="I24" i="8" s="1"/>
  <c r="G24" i="8"/>
  <c r="F23" i="8"/>
  <c r="E23" i="8"/>
  <c r="G23" i="8" s="1"/>
  <c r="F22" i="8"/>
  <c r="E22" i="8"/>
  <c r="G22" i="8" s="1"/>
  <c r="G21" i="8"/>
  <c r="F21" i="8"/>
  <c r="E21" i="8"/>
  <c r="G20" i="8"/>
  <c r="F20" i="8"/>
  <c r="E20" i="8"/>
  <c r="G19" i="8"/>
  <c r="H19" i="8" s="1"/>
  <c r="I19" i="8" s="1"/>
  <c r="I48" i="7" l="1"/>
  <c r="G36" i="7"/>
  <c r="H36" i="7" s="1"/>
  <c r="I36" i="7" s="1"/>
  <c r="H28" i="7"/>
  <c r="I28" i="7" s="1"/>
  <c r="G28" i="7"/>
  <c r="D28" i="7"/>
  <c r="G26" i="7"/>
  <c r="H26" i="7" s="1"/>
  <c r="H25" i="7"/>
  <c r="I25" i="7" s="1"/>
  <c r="G25" i="7"/>
  <c r="G24" i="7"/>
  <c r="F24" i="7"/>
  <c r="E24" i="7"/>
  <c r="G23" i="7"/>
  <c r="F23" i="7"/>
  <c r="E23" i="7"/>
  <c r="F22" i="7"/>
  <c r="E22" i="7"/>
  <c r="G22" i="7" s="1"/>
  <c r="G21" i="7"/>
  <c r="G20" i="7"/>
  <c r="H20" i="7" s="1"/>
  <c r="I20" i="7" s="1"/>
  <c r="I65" i="6" l="1"/>
  <c r="G65" i="6"/>
  <c r="I61" i="6"/>
  <c r="G60" i="6"/>
  <c r="G59" i="6"/>
  <c r="G58" i="6"/>
  <c r="G61" i="6" s="1"/>
  <c r="G50" i="6"/>
  <c r="H50" i="6" s="1"/>
  <c r="I50" i="6" s="1"/>
  <c r="H47" i="6"/>
  <c r="I47" i="6" s="1"/>
  <c r="G47" i="6"/>
  <c r="G45" i="6"/>
  <c r="H45" i="6" s="1"/>
  <c r="I45" i="6" s="1"/>
  <c r="F39" i="6"/>
  <c r="H39" i="6" s="1"/>
  <c r="E39" i="6"/>
  <c r="G35" i="6"/>
  <c r="G33" i="6" s="1"/>
  <c r="G30" i="6"/>
  <c r="H30" i="6" s="1"/>
  <c r="I30" i="6" s="1"/>
  <c r="H29" i="6"/>
  <c r="I29" i="6" s="1"/>
  <c r="D29" i="6"/>
  <c r="G28" i="6"/>
  <c r="H28" i="6" s="1"/>
  <c r="I28" i="6" s="1"/>
  <c r="G27" i="6"/>
  <c r="H27" i="6" s="1"/>
  <c r="I27" i="6" s="1"/>
  <c r="I26" i="6"/>
  <c r="H26" i="6"/>
  <c r="G26" i="6"/>
  <c r="H25" i="6"/>
  <c r="I25" i="6" s="1"/>
  <c r="G25" i="6"/>
  <c r="F24" i="6"/>
  <c r="E24" i="6"/>
  <c r="G24" i="6" s="1"/>
  <c r="F23" i="6"/>
  <c r="E23" i="6"/>
  <c r="G23" i="6" s="1"/>
  <c r="G22" i="6"/>
  <c r="F22" i="6"/>
  <c r="E22" i="6"/>
  <c r="G21" i="6"/>
  <c r="F21" i="6"/>
  <c r="E21" i="6"/>
  <c r="G20" i="6"/>
  <c r="H20" i="6" s="1"/>
  <c r="I20" i="6" s="1"/>
  <c r="G19" i="6"/>
  <c r="I70" i="5" l="1"/>
  <c r="G70" i="5"/>
  <c r="G69" i="5"/>
  <c r="I66" i="5"/>
  <c r="G65" i="5"/>
  <c r="G63" i="5"/>
  <c r="G62" i="5"/>
  <c r="G61" i="5"/>
  <c r="G60" i="5"/>
  <c r="G66" i="5" s="1"/>
  <c r="H51" i="5"/>
  <c r="I51" i="5" s="1"/>
  <c r="G51" i="5"/>
  <c r="G49" i="5"/>
  <c r="H49" i="5" s="1"/>
  <c r="I49" i="5" s="1"/>
  <c r="H47" i="5"/>
  <c r="I47" i="5" s="1"/>
  <c r="G47" i="5"/>
  <c r="F37" i="5"/>
  <c r="E37" i="5"/>
  <c r="G37" i="5" s="1"/>
  <c r="G33" i="5"/>
  <c r="G32" i="5"/>
  <c r="F32" i="5"/>
  <c r="H32" i="5" s="1"/>
  <c r="G28" i="5"/>
  <c r="F28" i="5"/>
  <c r="H28" i="5" s="1"/>
  <c r="G27" i="5"/>
  <c r="H27" i="5" s="1"/>
  <c r="I27" i="5" s="1"/>
  <c r="H26" i="5"/>
  <c r="I26" i="5" s="1"/>
  <c r="G26" i="5"/>
  <c r="H25" i="5"/>
  <c r="I25" i="5" s="1"/>
  <c r="G25" i="5"/>
  <c r="H24" i="5"/>
  <c r="G24" i="5"/>
  <c r="G23" i="5"/>
  <c r="F23" i="5"/>
  <c r="E23" i="5"/>
  <c r="F22" i="5"/>
  <c r="E22" i="5"/>
  <c r="G22" i="5" s="1"/>
  <c r="F21" i="5"/>
  <c r="E21" i="5"/>
  <c r="G21" i="5" s="1"/>
  <c r="G20" i="5"/>
  <c r="F20" i="5"/>
  <c r="E20" i="5"/>
  <c r="H19" i="5"/>
  <c r="I19" i="5" s="1"/>
  <c r="G19" i="5"/>
  <c r="I60" i="4" l="1"/>
  <c r="G60" i="4"/>
  <c r="G59" i="4"/>
  <c r="G58" i="4"/>
  <c r="G57" i="4"/>
  <c r="G56" i="4"/>
  <c r="G47" i="4"/>
  <c r="H47" i="4" s="1"/>
  <c r="I47" i="4" s="1"/>
  <c r="I44" i="4"/>
  <c r="H44" i="4"/>
  <c r="G44" i="4"/>
  <c r="H42" i="4"/>
  <c r="I42" i="4" s="1"/>
  <c r="G42" i="4"/>
  <c r="E35" i="4"/>
  <c r="F35" i="4" s="1"/>
  <c r="H35" i="4" s="1"/>
  <c r="F30" i="4"/>
  <c r="H30" i="4" s="1"/>
  <c r="G26" i="4"/>
  <c r="F26" i="4"/>
  <c r="H26" i="4" s="1"/>
  <c r="G25" i="4"/>
  <c r="H25" i="4" s="1"/>
  <c r="I25" i="4" s="1"/>
  <c r="H24" i="4"/>
  <c r="I24" i="4" s="1"/>
  <c r="G24" i="4"/>
  <c r="H23" i="4"/>
  <c r="G23" i="4"/>
  <c r="F22" i="4"/>
  <c r="E22" i="4"/>
  <c r="G22" i="4" s="1"/>
  <c r="F21" i="4"/>
  <c r="E21" i="4"/>
  <c r="G21" i="4" s="1"/>
  <c r="G20" i="4"/>
  <c r="F20" i="4"/>
  <c r="E20" i="4"/>
  <c r="G19" i="4"/>
  <c r="F19" i="4"/>
  <c r="E19" i="4"/>
  <c r="G18" i="4"/>
  <c r="H18" i="4" s="1"/>
  <c r="I18" i="4" s="1"/>
</calcChain>
</file>

<file path=xl/sharedStrings.xml><?xml version="1.0" encoding="utf-8"?>
<sst xmlns="http://schemas.openxmlformats.org/spreadsheetml/2006/main" count="13530" uniqueCount="1279">
  <si>
    <t xml:space="preserve">                                                                                                  ОТЧЕТ УПРАВЛЯЮЩЕЙ ОГРАНИЗАЦИИ</t>
  </si>
  <si>
    <t xml:space="preserve">                                                                                                                     ООО "ЖРЭУ-6"</t>
  </si>
  <si>
    <t xml:space="preserve">            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</si>
  <si>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               ДОГОВОРА УПРАВЛЕНИЯ МНОГОКВАРТИРНЫМ ДОМОМ ЗА 2017 год</t>
  </si>
  <si>
    <t xml:space="preserve">                                                                                                           1. Общие сведения о многоквартирном доме</t>
  </si>
  <si>
    <t>Адрес многоквартирного дома : г.Калуга пер.2-ой Интернациональный д.10</t>
  </si>
  <si>
    <t>Общая площадь обслуживания многоквартирного дома:3883,3кв.м</t>
  </si>
  <si>
    <t>а)жилых помещений :3791,1кв.м</t>
  </si>
  <si>
    <t>б) нежилых помещений:92,2 кв.м</t>
  </si>
  <si>
    <t xml:space="preserve">                                                                                                            2.Отчет по затратам на содержание, ремонт</t>
  </si>
  <si>
    <t xml:space="preserve">                                                                                        общего имущества в многоквартирном доме и коммунальные услуги</t>
  </si>
  <si>
    <t xml:space="preserve">                                                                                                                         за отчетный период  </t>
  </si>
  <si>
    <t>№№</t>
  </si>
  <si>
    <t>Виды услуг</t>
  </si>
  <si>
    <t>Стоимость</t>
  </si>
  <si>
    <t>Остаток</t>
  </si>
  <si>
    <t>Начислено</t>
  </si>
  <si>
    <t>Поступило</t>
  </si>
  <si>
    <t>Выполнены</t>
  </si>
  <si>
    <t>Задолженность(-)</t>
  </si>
  <si>
    <t>п/п</t>
  </si>
  <si>
    <t>(работ ) услуг</t>
  </si>
  <si>
    <t>средств на</t>
  </si>
  <si>
    <t>в 2017г.</t>
  </si>
  <si>
    <t>работы в</t>
  </si>
  <si>
    <t>средств</t>
  </si>
  <si>
    <t>собственников и нани-</t>
  </si>
  <si>
    <t>руб./кв.м</t>
  </si>
  <si>
    <t>01.01.2017г.</t>
  </si>
  <si>
    <t>2017г.</t>
  </si>
  <si>
    <t>на 01.01.2018г.</t>
  </si>
  <si>
    <t>мателей помещений</t>
  </si>
  <si>
    <t xml:space="preserve">общей площади </t>
  </si>
  <si>
    <t>руб.</t>
  </si>
  <si>
    <t xml:space="preserve"> на 01.01.2018г.</t>
  </si>
  <si>
    <t>Содержание общего имущества,в том числе:</t>
  </si>
  <si>
    <t>1.1.</t>
  </si>
  <si>
    <t>Управление многоквартирным домом</t>
  </si>
  <si>
    <t>1.2</t>
  </si>
  <si>
    <t>Содержание конструктивных элементов</t>
  </si>
  <si>
    <t>1.3</t>
  </si>
  <si>
    <t>Содержание инженерных сетей</t>
  </si>
  <si>
    <t>1.4</t>
  </si>
  <si>
    <t>Содержание придомовой территории</t>
  </si>
  <si>
    <t>1.5</t>
  </si>
  <si>
    <t>Обслуживание КПУ</t>
  </si>
  <si>
    <t>1.6</t>
  </si>
  <si>
    <t>Содержание ОИ-эл.эн.</t>
  </si>
  <si>
    <t>2.</t>
  </si>
  <si>
    <t>Сбор ,вывоз ТБО(ЖБО)</t>
  </si>
  <si>
    <t>2,98/4,60</t>
  </si>
  <si>
    <t>3.</t>
  </si>
  <si>
    <t>Текущий ремонт общего имущества в т.ч.:</t>
  </si>
  <si>
    <t>по жилым помещениям</t>
  </si>
  <si>
    <t>по нежилым помещениям</t>
  </si>
  <si>
    <t>4.</t>
  </si>
  <si>
    <t>Капитальный ремонт общего имущества</t>
  </si>
  <si>
    <t xml:space="preserve">  итого: </t>
  </si>
  <si>
    <t>*) Капитальный ремонт общего имущества- без учета накоплений за муниципальное жилье</t>
  </si>
  <si>
    <t>5.</t>
  </si>
  <si>
    <t>Представление мест</t>
  </si>
  <si>
    <t xml:space="preserve">Остаток средств  </t>
  </si>
  <si>
    <t xml:space="preserve">Получено  </t>
  </si>
  <si>
    <t xml:space="preserve">Налог  </t>
  </si>
  <si>
    <t xml:space="preserve">Остаток  </t>
  </si>
  <si>
    <t xml:space="preserve">Остаток </t>
  </si>
  <si>
    <t>на 01.01.2017г.</t>
  </si>
  <si>
    <t>на доход 15%</t>
  </si>
  <si>
    <t>д/телеком.оборудования</t>
  </si>
  <si>
    <t xml:space="preserve">Оплата населения ,полученная за коммунальные услуги напрямую поступает предприятиям поставщикам этих услуг согласно Агентского </t>
  </si>
  <si>
    <t>договора , заключенного с ООО"ЕИРЦ №1" №2/1 от 14.08.2009г.</t>
  </si>
  <si>
    <t xml:space="preserve"> </t>
  </si>
  <si>
    <t>Коммунальные услуги в том</t>
  </si>
  <si>
    <t>Тариф</t>
  </si>
  <si>
    <t>Сальдо на</t>
  </si>
  <si>
    <t>Начислено в</t>
  </si>
  <si>
    <t xml:space="preserve">Оплачено  </t>
  </si>
  <si>
    <t>Выполнено</t>
  </si>
  <si>
    <t xml:space="preserve">Сальдо на </t>
  </si>
  <si>
    <t>числе:</t>
  </si>
  <si>
    <t>на ед.изм.</t>
  </si>
  <si>
    <t>01.01.2017г.руб.</t>
  </si>
  <si>
    <t>2017г.,руб.</t>
  </si>
  <si>
    <t>населением</t>
  </si>
  <si>
    <t>работ</t>
  </si>
  <si>
    <t>01.01.2018г.руб</t>
  </si>
  <si>
    <t>потребителей</t>
  </si>
  <si>
    <t>в 2017г.,руб.</t>
  </si>
  <si>
    <t>в 2017г.руб</t>
  </si>
  <si>
    <t>на 01.01.2018г. руб</t>
  </si>
  <si>
    <t>Холодное водоснабжение</t>
  </si>
  <si>
    <t>25,1/25,95</t>
  </si>
  <si>
    <t>в т.ч.водоотведение хол.воды</t>
  </si>
  <si>
    <t>17,26/17,79</t>
  </si>
  <si>
    <t>Горячее водоснабжение</t>
  </si>
  <si>
    <t>154,1346/157,5519</t>
  </si>
  <si>
    <t>централизованное</t>
  </si>
  <si>
    <t>в т.ч.водоотведениегор..воды</t>
  </si>
  <si>
    <t>Центральное отопление</t>
  </si>
  <si>
    <t>1914,46/1952,55</t>
  </si>
  <si>
    <t xml:space="preserve">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</si>
  <si>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на основании принятого решения собственниками помещений</t>
  </si>
  <si>
    <t>Дата выполнения</t>
  </si>
  <si>
    <t>Виды услуг (работ)</t>
  </si>
  <si>
    <t xml:space="preserve">Стоимость работы (услуги) в расчете </t>
  </si>
  <si>
    <t>Стоимость работ</t>
  </si>
  <si>
    <t xml:space="preserve"> п/п</t>
  </si>
  <si>
    <t xml:space="preserve">на единицу измерения (на 1 кв.метр общей  </t>
  </si>
  <si>
    <t>всего, руб.</t>
  </si>
  <si>
    <t xml:space="preserve">площади помещений в многоквартирном доме) </t>
  </si>
  <si>
    <t>1.</t>
  </si>
  <si>
    <t>Текущий ремонт жилищного фонда,</t>
  </si>
  <si>
    <t>в том числе</t>
  </si>
  <si>
    <t>1.1</t>
  </si>
  <si>
    <t>гидропромывка системы канализации</t>
  </si>
  <si>
    <t>замена ввводной задвижки на системе гвс в подвале</t>
  </si>
  <si>
    <t>услуги автовышки</t>
  </si>
  <si>
    <t>ремонт примыкания к парапету</t>
  </si>
  <si>
    <t>Итого</t>
  </si>
  <si>
    <t xml:space="preserve">                                                          </t>
  </si>
  <si>
    <t>Капитальный ремонт</t>
  </si>
  <si>
    <t xml:space="preserve">  </t>
  </si>
  <si>
    <t>Директор ООО "ЖРЭУ-6"              О.И.Мамаева</t>
  </si>
  <si>
    <t>Инженер</t>
  </si>
  <si>
    <t>Н.И.Ефремова</t>
  </si>
  <si>
    <t>Гл.бухгалтер</t>
  </si>
  <si>
    <t xml:space="preserve">   Н.И.Храмцова</t>
  </si>
  <si>
    <t xml:space="preserve">                                                                                      ДОГОВРА УПРАВЛЕНИЯ МНОГОКВАРТИРНЫМ ДОМОМ ЗА 2017 год</t>
  </si>
  <si>
    <t>Адрес многоквартирного дома : г.Калуга ул.Баррикад д.2</t>
  </si>
  <si>
    <t>Общая площадь  многоквартирного дома:  4832,15 кв.м</t>
  </si>
  <si>
    <t>в том числе:</t>
  </si>
  <si>
    <t>а)  жилых помещений:            4759,95кв.м</t>
  </si>
  <si>
    <t>б) нежилых помещений:                                                      72,2 кв.м</t>
  </si>
  <si>
    <t xml:space="preserve">                                                                                                                         за отчетный период период</t>
  </si>
  <si>
    <t>(работ )услуг</t>
  </si>
  <si>
    <t>работы в 2017г.</t>
  </si>
  <si>
    <t>собственников и на-</t>
  </si>
  <si>
    <t>на 01.012018г.</t>
  </si>
  <si>
    <t>нимателей помещений</t>
  </si>
  <si>
    <t xml:space="preserve">общей площади  </t>
  </si>
  <si>
    <t>на 01.01.2018год.</t>
  </si>
  <si>
    <t>Содержание общего имущества итого:</t>
  </si>
  <si>
    <t>Управление  многоквартирным домом:</t>
  </si>
  <si>
    <t>Содержание лифтов</t>
  </si>
  <si>
    <t>Текущий ремонт общего имущества итого:</t>
  </si>
  <si>
    <t>в т.ч. по жилым помещениям</t>
  </si>
  <si>
    <t>Капитальный ремонт общего</t>
  </si>
  <si>
    <t xml:space="preserve">   </t>
  </si>
  <si>
    <t>имущества  итого:</t>
  </si>
  <si>
    <t>в т.ч.по жилым помещениям</t>
  </si>
  <si>
    <t>Доход от представления мест</t>
  </si>
  <si>
    <t>Остаток на</t>
  </si>
  <si>
    <t xml:space="preserve">Поступило   </t>
  </si>
  <si>
    <t xml:space="preserve">Налог 15% </t>
  </si>
  <si>
    <t>Расход</t>
  </si>
  <si>
    <t>с дохода</t>
  </si>
  <si>
    <t>в 2017 г.</t>
  </si>
  <si>
    <t>на 01.01.2018г</t>
  </si>
  <si>
    <t>Составление и сдача нологовых деклараций</t>
  </si>
  <si>
    <t>за 2015-2016г.г.</t>
  </si>
  <si>
    <t>Установка металлического забора по периметру придомовой</t>
  </si>
  <si>
    <t>территории доп.к Протоколу №3 от 05.04.2017г.</t>
  </si>
  <si>
    <t>Оплата населения за коммунальные услуги напрямую поступает поставщикам этих услуг согласно Агентского договора с ООО "ЕИРЦ №1" №2/1 от 14.08.2009г.</t>
  </si>
  <si>
    <t>Начислено за</t>
  </si>
  <si>
    <t xml:space="preserve"> 2017г.,руб.</t>
  </si>
  <si>
    <t xml:space="preserve"> 2017г.руб</t>
  </si>
  <si>
    <t>в т.ч.Водоотведение хол.воды</t>
  </si>
  <si>
    <t>17,26/17,26</t>
  </si>
  <si>
    <t>Горячее водоснабжение централизованное</t>
  </si>
  <si>
    <t>в т.ч.Водоотведение гор.воды</t>
  </si>
  <si>
    <t xml:space="preserve">                       3.Отчет о фактически выполненных работах по ремнту общего имущества в многоквартирном доме</t>
  </si>
  <si>
    <t xml:space="preserve">                                                                     на основании принятого решения собственниками помещений</t>
  </si>
  <si>
    <t xml:space="preserve">Стоимость работы (услуги) в расчете на  </t>
  </si>
  <si>
    <t xml:space="preserve">единицу  измерения ( на 1 кв.метр общей </t>
  </si>
  <si>
    <t>площади в многоквартирном доме)</t>
  </si>
  <si>
    <t>гидропромывка  системы канализации</t>
  </si>
  <si>
    <t>восстановление границ участка придомовой территории</t>
  </si>
  <si>
    <t>ремонт совмещенной кровли подъезд №1 над кв.33,34</t>
  </si>
  <si>
    <t xml:space="preserve">Установка металлического забора по периметру  </t>
  </si>
  <si>
    <t>придомовой территории</t>
  </si>
  <si>
    <t>май</t>
  </si>
  <si>
    <t>восстановление фанов.канализации</t>
  </si>
  <si>
    <t>2.1</t>
  </si>
  <si>
    <t xml:space="preserve">Директор ООО "ЖРЭУ-6"                        Мамаева О.И.                                    </t>
  </si>
  <si>
    <t>Инженер                                      Н.И.Ефремова</t>
  </si>
  <si>
    <t>Гл.бухгалтер                    Н.И.Храмцова</t>
  </si>
  <si>
    <t xml:space="preserve">                                                                                      ДОГОВОРА УПРАВЛЕНИЯ МНОГОКВАРТИРНЫМ ДОМОМ ЗА 2017год</t>
  </si>
  <si>
    <t>Адрес многоквартирного дома : г.Калуга ул.В.Восстания д.1</t>
  </si>
  <si>
    <t>Общая площадь  многоквартирного дома:2299,4 кв.м</t>
  </si>
  <si>
    <t>а)жилых помещений:2299,4 кв.м</t>
  </si>
  <si>
    <t>б) нежилых помещений:0 кв.м</t>
  </si>
  <si>
    <t>Содержание общего</t>
  </si>
  <si>
    <t>имущества,в том числе:</t>
  </si>
  <si>
    <t xml:space="preserve"> Обслуживание КПУ</t>
  </si>
  <si>
    <t>Содержание мусоропровода</t>
  </si>
  <si>
    <t>Текущий ремонт общего имущества:</t>
  </si>
  <si>
    <t>6.</t>
  </si>
  <si>
    <t>7.</t>
  </si>
  <si>
    <t xml:space="preserve">Налог с дохода  </t>
  </si>
  <si>
    <t>Остаток средств на 01.01.2018г.</t>
  </si>
  <si>
    <t>Задолженность (-)</t>
  </si>
  <si>
    <t xml:space="preserve">потребителей  </t>
  </si>
  <si>
    <t>в т.ч.водоотведение гор..воды</t>
  </si>
  <si>
    <t>49,229/50,2085</t>
  </si>
  <si>
    <t xml:space="preserve">единицу измерения (на 1 кв.метр общей площади  </t>
  </si>
  <si>
    <t>помещений в многоквартирном доме)</t>
  </si>
  <si>
    <t>замена участка стояка канализации между кв.№45 и №51</t>
  </si>
  <si>
    <t>октябрь</t>
  </si>
  <si>
    <t>ремонт канализационного стояка</t>
  </si>
  <si>
    <t>Директор ООО "ЖРЭУ-6"                                        О.И.Мамаева</t>
  </si>
  <si>
    <t xml:space="preserve">     Н.И.Ефремова </t>
  </si>
  <si>
    <t>Адрес многоквартирного дома : г.Калуга ул.Воронина д.6/112</t>
  </si>
  <si>
    <t>Общая площадь обслуживания многоквартирного дома:80,6 кв.м</t>
  </si>
  <si>
    <t>а)жилых помещений:40,4кв.м</t>
  </si>
  <si>
    <t>б) нежилых помещений:40,2 кв.м</t>
  </si>
  <si>
    <t xml:space="preserve">(работ)услуг   </t>
  </si>
  <si>
    <t>Текущий ремонт общего</t>
  </si>
  <si>
    <t>имущества</t>
  </si>
  <si>
    <t>в т.ч. Водоотведение хол.воды</t>
  </si>
  <si>
    <t xml:space="preserve">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</si>
  <si>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на основании принятого решения собственниками помещений</t>
  </si>
  <si>
    <t>Дата принятого</t>
  </si>
  <si>
    <t>Стоимость работы (услуги)</t>
  </si>
  <si>
    <t>собственниками решения</t>
  </si>
  <si>
    <t>в расчете на единицу измерения</t>
  </si>
  <si>
    <t xml:space="preserve"> (на 1кв.метр общей площади помещений в </t>
  </si>
  <si>
    <t>многоквартирном доме)</t>
  </si>
  <si>
    <t>Директор ООО "ЖРЭУ-6"          О.И.Мамаева</t>
  </si>
  <si>
    <t>Гл.Бухгалтер                  Н.И.Храмцова</t>
  </si>
  <si>
    <t>Адрес многоквартирного дома : г.Калуга ул.Воронина д.9</t>
  </si>
  <si>
    <t>Общая площадь  многоквартирного дома:840,6кв.м</t>
  </si>
  <si>
    <t>а)жилых помещений:840,6кв.м</t>
  </si>
  <si>
    <t>(работ)услуг</t>
  </si>
  <si>
    <t>собственникови нани-</t>
  </si>
  <si>
    <t xml:space="preserve">01.01.2017г. </t>
  </si>
  <si>
    <t xml:space="preserve">по жилым помещениям  </t>
  </si>
  <si>
    <t>Погашение долга по капремонту за счет</t>
  </si>
  <si>
    <t>текущего ремонта Протокол ОСС от 16.08.2017</t>
  </si>
  <si>
    <t xml:space="preserve">имущества в т.ч.; </t>
  </si>
  <si>
    <t>на 01.01.2018г.руб.</t>
  </si>
  <si>
    <t>руб .</t>
  </si>
  <si>
    <t>Директор ООО "ЖРЭУ-6"                 О.И.Мамаева</t>
  </si>
  <si>
    <t>Гл.Бухгалтер                     Н.И.Храмцова</t>
  </si>
  <si>
    <t>Адрес многоквартирного дома : г.Калуга ул.Воронина д.11</t>
  </si>
  <si>
    <t>Общая площадь   многоквартирного дома:3896,6 кв.м</t>
  </si>
  <si>
    <t>а)жилых помещений : 3852,3кв.м</t>
  </si>
  <si>
    <t>б) нежилых помещений: 44,3 кв.м</t>
  </si>
  <si>
    <t>2.Отчет по затратам на содержание, ремонт</t>
  </si>
  <si>
    <t>Содержание общего имущества,в т . ч.:</t>
  </si>
  <si>
    <t>Техобслуживание КПУ</t>
  </si>
  <si>
    <t>имущества  в т.ч.:</t>
  </si>
  <si>
    <t>Доход от предоставления мест</t>
  </si>
  <si>
    <t>Оплата населения за коммунальные услуги напрямую поступает поставщикам этих услуг соглсно Агентского договора с ООО "ЕИРЦ №1" №2/1 от 14.08.2009г.</t>
  </si>
  <si>
    <t xml:space="preserve">Выполнено  </t>
  </si>
  <si>
    <t>в т.ч.водоотведениегор.воды</t>
  </si>
  <si>
    <t xml:space="preserve">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</si>
  <si>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на основании принятого решения собственниками помещений</t>
  </si>
  <si>
    <t xml:space="preserve"> (на 1кв.метр общей площади помещений  </t>
  </si>
  <si>
    <t>в многоквартирном доме)</t>
  </si>
  <si>
    <t>гидродинамическая промывка системы канализации</t>
  </si>
  <si>
    <t>установка песочницы с крышкой</t>
  </si>
  <si>
    <t xml:space="preserve">Директор ООО "ЖРЭУ-6"                О.И Мамаева                         </t>
  </si>
  <si>
    <t>Гл.Бухгалтер</t>
  </si>
  <si>
    <t>Н.И.Храмцова</t>
  </si>
  <si>
    <t>Адрес многоквартирного дома : г.Калуга ул.Воронина д13/52</t>
  </si>
  <si>
    <t>Общая площадь обслуживания многоквартирного дома:259,9 кв.м</t>
  </si>
  <si>
    <t>а)жилых помещений : 259,9кв.м</t>
  </si>
  <si>
    <t>б) нежилых помещений: 0 кв.м</t>
  </si>
  <si>
    <t xml:space="preserve">                                                                                                                         за отчетный период </t>
  </si>
  <si>
    <t xml:space="preserve">общей  </t>
  </si>
  <si>
    <t>Адрес многоквартирного дома : г.Калуга ул.Воронина д16</t>
  </si>
  <si>
    <t>Общая площадь обслуживания многоквартирного дома:440,9 кв.м</t>
  </si>
  <si>
    <t>а)жилых помещений : 290,2кв.м</t>
  </si>
  <si>
    <t>б) нежилых помещений: 150,7 кв.м</t>
  </si>
  <si>
    <t>Содержание ОИ-эл.эн</t>
  </si>
  <si>
    <t>имущества в т.ч.:</t>
  </si>
  <si>
    <t xml:space="preserve">имущества  </t>
  </si>
  <si>
    <t>Директор ООО "ЖРЭУ-6"           О.И.Мамаева</t>
  </si>
  <si>
    <t xml:space="preserve">                Н.И.Храмцова</t>
  </si>
  <si>
    <t>Адрес многоквартирного дома : г.Калуга ул.Воронина д18</t>
  </si>
  <si>
    <t>Общая площадь обслуживания многоквартирного дома:272,9 кв.м</t>
  </si>
  <si>
    <t>а)жилых помещений :272,9кв.м</t>
  </si>
  <si>
    <t xml:space="preserve">в т.ч.водоотведение хол.воды </t>
  </si>
  <si>
    <t xml:space="preserve">                    Н.И.Храмцова</t>
  </si>
  <si>
    <t>Адрес многоквартирного дома : г.Калуга ул.Воронина д.21</t>
  </si>
  <si>
    <t>Общая площадь обслуживания многоквартирного дома:341,2кв.м</t>
  </si>
  <si>
    <t>а)жилых помещений:280,9 кв.м</t>
  </si>
  <si>
    <t>б) нежилых помещений:60,3 кв.м</t>
  </si>
  <si>
    <t xml:space="preserve">                 Н.И.Храмцова</t>
  </si>
  <si>
    <t>Адрес многоквартирного дома : г.Калуга ул.Воронина д.23</t>
  </si>
  <si>
    <t>Общая площадь обслуживания многоквартирного дома:440,1 кв.м</t>
  </si>
  <si>
    <t>а)жилых помещений :339,1кв.м</t>
  </si>
  <si>
    <t>б) нежилых помещений:101,0кв.м</t>
  </si>
  <si>
    <t>нимателей помеще-</t>
  </si>
  <si>
    <t>ний на 01.01.2018г.руб.</t>
  </si>
  <si>
    <t>Содержание конструктивных</t>
  </si>
  <si>
    <t xml:space="preserve">             Н.И.Храмцова</t>
  </si>
  <si>
    <t>Адрес многоквартирного дома : г.Калуга ул.Воронина д.23а</t>
  </si>
  <si>
    <t>Общая площадь обслуживания многоквартирного дома:751,1кв.м</t>
  </si>
  <si>
    <t>а)жилых помещений :568,1 кв.м</t>
  </si>
  <si>
    <t>б) нежилых помещений:183 кв.м</t>
  </si>
  <si>
    <t>Содержание придомовой</t>
  </si>
  <si>
    <t>территории</t>
  </si>
  <si>
    <t xml:space="preserve">имущества итого: </t>
  </si>
  <si>
    <t>Директор ООО "ЖРЭУ-6"            О.И.Мамаева</t>
  </si>
  <si>
    <t xml:space="preserve">                                                                                                            ОТЧЕТ УПРАВЛЯЮЩЕЙ КОМПАНИИ</t>
  </si>
  <si>
    <t>Адрес многоквартирного дома : г.Калуга ул.Герцена д.2/8</t>
  </si>
  <si>
    <t>Общая площадь обслуживания многоквартирного дома:1746,80кв.м</t>
  </si>
  <si>
    <t>а)жилых помещений:1746,8кв.м</t>
  </si>
  <si>
    <t>общей площади</t>
  </si>
  <si>
    <t xml:space="preserve"> на 01.01.2018г. руб.</t>
  </si>
  <si>
    <t xml:space="preserve">Капитальный ремонт общего  </t>
  </si>
  <si>
    <t>с дохода 15%</t>
  </si>
  <si>
    <t>в т.ч.водоотведение гор.воды</t>
  </si>
  <si>
    <t xml:space="preserve">июнь </t>
  </si>
  <si>
    <t>изоляция труб цо в подвале дома</t>
  </si>
  <si>
    <t>ремонт кровли</t>
  </si>
  <si>
    <t>Директор ООО "ЖРЭУ-6"             О.И.Мамаева</t>
  </si>
  <si>
    <t>Адрес многоквартирного дома : г.Калуга ул.Герцена д.3</t>
  </si>
  <si>
    <t>Общая площадьобслуживания  многоквартирного дома 5975,7 кв.м</t>
  </si>
  <si>
    <t>а)жилых помещений : 5685,1кв.м</t>
  </si>
  <si>
    <t>б) нежилых помещений:290,6 кв.м</t>
  </si>
  <si>
    <t xml:space="preserve">общей плащади </t>
  </si>
  <si>
    <t>Содержание общего имущества,в т.ч.:</t>
  </si>
  <si>
    <t>по  не жилым помещениям</t>
  </si>
  <si>
    <t>на 01.01.2018г. Руб.</t>
  </si>
  <si>
    <t xml:space="preserve">                         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</si>
  <si>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                        на основании принятого решения собственниками помещений</t>
  </si>
  <si>
    <t xml:space="preserve">в расчете на  </t>
  </si>
  <si>
    <t xml:space="preserve"> единицу измерения(на 1 кв.м.общей площади  </t>
  </si>
  <si>
    <t>ремонт металлической двери</t>
  </si>
  <si>
    <t xml:space="preserve">1.2 </t>
  </si>
  <si>
    <t>утепление стены кв.10</t>
  </si>
  <si>
    <t>гидропромывка сисиеты канализации</t>
  </si>
  <si>
    <t>ремонт кровли тамбуров входов в подъезды</t>
  </si>
  <si>
    <t>установка пандусов в подъездах №2,3</t>
  </si>
  <si>
    <t>Директор ООО"ЖРЭУ-6"                     О.И.Мамаева                  Инженер                         Н.И.Ефремова                                       Гл.бухгалтер                           Н.И.Храмцрва</t>
  </si>
  <si>
    <t>Адрес многоквартирного дома : г.Калуга ул.Герцена д.4</t>
  </si>
  <si>
    <t>Общая площадь обслуживания многоквартирного дома:3464,6кв.м</t>
  </si>
  <si>
    <t>а)жилых помещений :3358,2 кв.м</t>
  </si>
  <si>
    <t>б) нежилых помещений:106,40 кв.м</t>
  </si>
  <si>
    <t>на 01.01. 2018г. Руб.</t>
  </si>
  <si>
    <t xml:space="preserve">Холодное водоснабжение </t>
  </si>
  <si>
    <t xml:space="preserve">в т.ч.водоотведение </t>
  </si>
  <si>
    <t>3.Отчет о фактически выполненных работах по ремонту общего имущества в многоквартирном доме</t>
  </si>
  <si>
    <t xml:space="preserve">                                                                                   на основании принятого решения собственниками помещений</t>
  </si>
  <si>
    <t xml:space="preserve"> в расчете на</t>
  </si>
  <si>
    <t xml:space="preserve"> единицу измерения(1кв.м. общей площади</t>
  </si>
  <si>
    <t xml:space="preserve"> помещеий в многоквартирном доме)</t>
  </si>
  <si>
    <t>замена деревянных оконных блоков на ПВХ</t>
  </si>
  <si>
    <t>покрытие кирпичных стен герметиком кв.53</t>
  </si>
  <si>
    <t>июль</t>
  </si>
  <si>
    <t>ремонт порогов</t>
  </si>
  <si>
    <t>замена задвижек на системе гвс</t>
  </si>
  <si>
    <t>содержание и уборка зеленых насаждений</t>
  </si>
  <si>
    <t>ремонт парапетов подъезд №4</t>
  </si>
  <si>
    <t>1.7</t>
  </si>
  <si>
    <t>ремонт 2-х входов  в подвалы</t>
  </si>
  <si>
    <t>1.8</t>
  </si>
  <si>
    <t>ремонт примыкания к парапету подъезд №1</t>
  </si>
  <si>
    <t>1.9</t>
  </si>
  <si>
    <t>изоляция труб цо в подвале</t>
  </si>
  <si>
    <t>1.10</t>
  </si>
  <si>
    <t>декабрь</t>
  </si>
  <si>
    <t>ремонт освещения над под.№3</t>
  </si>
  <si>
    <t>изготовление и монтаж 6 козырьков на приямки</t>
  </si>
  <si>
    <t>Директор ООО "ЖРЭУ-6"                         О.И.Мамаева</t>
  </si>
  <si>
    <t>Инженер                                     Н.И.Ефремова                              Гл.Бухгалтер            Н.И.Храмцова</t>
  </si>
  <si>
    <t>Адрес многоквартирного дома : г.Калуга ул.Герцена д.6</t>
  </si>
  <si>
    <t>Общая площадь обслуживания многоквартирного дома:3903,6 кв.м</t>
  </si>
  <si>
    <t>а)жилых помещений: 3903,6кв.м</t>
  </si>
  <si>
    <t>Управление  многоквартирным домом</t>
  </si>
  <si>
    <t xml:space="preserve">Содержание конструктивных элементов </t>
  </si>
  <si>
    <t>Текущий ремонт общегоимущества</t>
  </si>
  <si>
    <t>в т.ч..по жилым помещениям</t>
  </si>
  <si>
    <t xml:space="preserve">Остаток средств </t>
  </si>
  <si>
    <t>средств в 2017г.</t>
  </si>
  <si>
    <t xml:space="preserve">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</si>
  <si>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(на 1кв.метр общей площади помещеий в  </t>
  </si>
  <si>
    <t>поверка комплекта термопреобразователей КТСП-Н</t>
  </si>
  <si>
    <t>на системе отопления дома</t>
  </si>
  <si>
    <t>благоустройство</t>
  </si>
  <si>
    <t xml:space="preserve">1.3 </t>
  </si>
  <si>
    <t>смена труб хвс кв.65</t>
  </si>
  <si>
    <t>Инженер                                Н.И.Ефремова                                   Гл.Бухгалтер                      Н.И.Храмцова</t>
  </si>
  <si>
    <t>Адрес многоквартирного дома : г.Калуга ул.Герцена д.9а</t>
  </si>
  <si>
    <t>Общая площадь обслуживания  многоквартирного дома:486,3кв.м</t>
  </si>
  <si>
    <t>а)жилых помещений :486,3 кв.м</t>
  </si>
  <si>
    <t>имущества   итого:</t>
  </si>
  <si>
    <t>25,1/25,79</t>
  </si>
  <si>
    <t>изготовление и монтаж металлической двери</t>
  </si>
  <si>
    <t>замена почтовых ящиков</t>
  </si>
  <si>
    <t>работы по содержанию и уборке насаждений</t>
  </si>
  <si>
    <t>Адрес многоквартирного дома : г.Калуга ул.Герцена д.16а</t>
  </si>
  <si>
    <t>Общая площадь обслуживания многоквартирного дома:299,2кв.м</t>
  </si>
  <si>
    <t>а)жилых помещений ):299,2 кв.м</t>
  </si>
  <si>
    <t>на 01.01. 2018г.руб.</t>
  </si>
  <si>
    <t xml:space="preserve">                                                           3.Отчет о фактически выполненных работах по ремонту общего имущества в многоквартирном доме  </t>
  </si>
  <si>
    <t>Стоимость работы (услуги) в расчете на единицу</t>
  </si>
  <si>
    <t xml:space="preserve"> измерения (на 1 кв.метр общей площади помеще-</t>
  </si>
  <si>
    <t>ний в многоквартирном доме)</t>
  </si>
  <si>
    <t>1</t>
  </si>
  <si>
    <t>ремонт квартиры№7  после залития</t>
  </si>
  <si>
    <t>Н.И.Ефремова                       Гл.Бухгалтер              Н.И.Храмцова</t>
  </si>
  <si>
    <t>Адрес многоквартирного дома : г.Калуга ул.Герцена д.17 корп.1</t>
  </si>
  <si>
    <t>Общая площадь обслуживания многоквартирного дома:2888,9кв.м</t>
  </si>
  <si>
    <t>а)жилых помещений: 2888,9кв.м</t>
  </si>
  <si>
    <t xml:space="preserve">Содержание конструктивны элементов </t>
  </si>
  <si>
    <t xml:space="preserve">имущества итого:  </t>
  </si>
  <si>
    <t>Получено</t>
  </si>
  <si>
    <t xml:space="preserve">Выполнено </t>
  </si>
  <si>
    <t>руб. на 01.01. 2018г.</t>
  </si>
  <si>
    <t>в т.ч.Водоотведение</t>
  </si>
  <si>
    <t xml:space="preserve">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</si>
  <si>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на основании принятого решения собственниками помещений</t>
  </si>
  <si>
    <t>измерения(на 1 кв.м.общей  площади помещений</t>
  </si>
  <si>
    <t xml:space="preserve"> в многоквартирном доме)</t>
  </si>
  <si>
    <t>монтаж металлической двери</t>
  </si>
  <si>
    <t>замена задвижек на цо</t>
  </si>
  <si>
    <t>Инженер                              Н.И.Ефремова                        Гл.Бухгалтер                  Н.И.Храмцова</t>
  </si>
  <si>
    <t xml:space="preserve">Адрес многоквартирного дома : г.Калуга ул.Герцена д.17 </t>
  </si>
  <si>
    <t>Общая площадь обслуживания многоквартирного дома:12559,9кв.м</t>
  </si>
  <si>
    <t>а)жилых помещений :12539,3кв.м</t>
  </si>
  <si>
    <t>б) нежилых помещений:20,60 кв.м</t>
  </si>
  <si>
    <t>Капитальный ремонт общего имущества итого:</t>
  </si>
  <si>
    <t xml:space="preserve">   работ</t>
  </si>
  <si>
    <t xml:space="preserve">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</si>
  <si>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на основании принятого решения собственниками помещений</t>
  </si>
  <si>
    <t>Стоимость работы (услуги)в расчете на единицу</t>
  </si>
  <si>
    <t xml:space="preserve"> измерения(на 1 кв.м.общей площади помещений</t>
  </si>
  <si>
    <t>замена плат  в лифте  УЖЛК-10 НА УЛЖ-М</t>
  </si>
  <si>
    <t>ремонт парапета на кровле</t>
  </si>
  <si>
    <t>снятие показаний квартирных электросчетчиков</t>
  </si>
  <si>
    <t>сентябрь</t>
  </si>
  <si>
    <t>замена задвижки цо</t>
  </si>
  <si>
    <t>Инженер                                       Н.И.Ефремова                                                 Гл.Бухгалтер               Храмцова Н.И.</t>
  </si>
  <si>
    <t xml:space="preserve">               ОТЧЕТ УПРАВЛЯЮЩЕЙ ОРГАНИЗАЦИИ</t>
  </si>
  <si>
    <t xml:space="preserve">                                                                                                                                           ООО "ЖРЭУ-6"</t>
  </si>
  <si>
    <t>Адрес многоквартирного дома : г.Калуга ул.Огарева д.3</t>
  </si>
  <si>
    <t>Общая площадь многоквартирного дома:3467,1кв.м</t>
  </si>
  <si>
    <t>а)жилых помещений : 3467,1кв.м</t>
  </si>
  <si>
    <t>Обслуживание КПУ тепловой энергии</t>
  </si>
  <si>
    <t>Капитальный ремонт общего имущества  итого :</t>
  </si>
  <si>
    <t xml:space="preserve"> измерения (на 1 кв.метр общей площади поме-</t>
  </si>
  <si>
    <t>щений  в многоквартирном доме)</t>
  </si>
  <si>
    <t>замена труб канализации в подвале</t>
  </si>
  <si>
    <t>промывка системы канализации</t>
  </si>
  <si>
    <t>31.08.2017</t>
  </si>
  <si>
    <t>30.11.2017</t>
  </si>
  <si>
    <t>замена труб канализации в подвале дома</t>
  </si>
  <si>
    <t xml:space="preserve">Директор ООО "ЖРЭУ-6"                                         </t>
  </si>
  <si>
    <t>О.И.Мамаева</t>
  </si>
  <si>
    <t xml:space="preserve">                                                                                      ДОГОВРА УПРАВЛЕНИЯ МНОГОКВАРТИРНЫМ ДОМОМ ЗА 2017год</t>
  </si>
  <si>
    <t xml:space="preserve">Адрес многоквартирного дома : г.Калуга ул.Огарева д.4 </t>
  </si>
  <si>
    <t>Общая площадь обслуживания многоквартирного дома:3501,44 кв.м</t>
  </si>
  <si>
    <t>а)жилых помещений : 3387,94кв.м</t>
  </si>
  <si>
    <t>б) нежилых помещений:113,5 кв.м</t>
  </si>
  <si>
    <t>Управление</t>
  </si>
  <si>
    <t>многоквартирным домом</t>
  </si>
  <si>
    <t>Текущий ремонт общего имущества</t>
  </si>
  <si>
    <t>измерения(на 1 кв.м.общей площади в многоквар-</t>
  </si>
  <si>
    <t>тирном доме )</t>
  </si>
  <si>
    <t>Инженер                              Н.И.Ефремова                               Гл.Бухгалтер                       Н.И.Храмцова</t>
  </si>
  <si>
    <t xml:space="preserve">                                                                                                   ОТЧЕТ УПРАВЛЯЮЩЕЙ КОМПАНИИ</t>
  </si>
  <si>
    <t>Адрес многоквартирного дома : г.Калуга ул.Огарева д.6</t>
  </si>
  <si>
    <t>Общая площадь обслуживания многоквартирного дома:3962,5кв.м</t>
  </si>
  <si>
    <t>а)жилых помещений :3962,5кв.м</t>
  </si>
  <si>
    <t>Содержаие общего имущества,в т.ч.:</t>
  </si>
  <si>
    <t xml:space="preserve">1.5 </t>
  </si>
  <si>
    <t>Капитальный ремонт общего имущества итого  :</t>
  </si>
  <si>
    <t>за 2017г.</t>
  </si>
  <si>
    <t>в т.ч.водоотведение гол.воды</t>
  </si>
  <si>
    <t>измерения(на 1 кв.м.общей площади помещений</t>
  </si>
  <si>
    <t>Директор ООО "ЖРЭУ-6"                          О.И.Мамаева</t>
  </si>
  <si>
    <t xml:space="preserve"> Инженер                               Н.И.Ефремова</t>
  </si>
  <si>
    <t xml:space="preserve">                                                                                                    ОТЧЕТ УПРАВЛЯЮЩЕЙ КОМПАНИИ</t>
  </si>
  <si>
    <t>Адрес многоквартирного дома : г.Калуга ул.Огарева д.9/7</t>
  </si>
  <si>
    <t>Общая площадь обслуживания многоквартирного дома:2609,2кв.м</t>
  </si>
  <si>
    <t>а)жилых помещений :2546,8кв.м</t>
  </si>
  <si>
    <t>б) нежилых помещений:62,4 кв.м</t>
  </si>
  <si>
    <t xml:space="preserve">                                                                                        </t>
  </si>
  <si>
    <t xml:space="preserve">за отчетный период  </t>
  </si>
  <si>
    <t xml:space="preserve"> в т.ч.по жилым помещениям</t>
  </si>
  <si>
    <t>с дохода15%</t>
  </si>
  <si>
    <t>17,26/17,96</t>
  </si>
  <si>
    <t>Стоимость работы (услуги) в расчете на</t>
  </si>
  <si>
    <t xml:space="preserve"> единицу измерения(1 кв.м. общей площади</t>
  </si>
  <si>
    <t xml:space="preserve">помещений в многоквартирном доме) </t>
  </si>
  <si>
    <t>изготовление и монтаж 4-х козырьков на приямки</t>
  </si>
  <si>
    <t>Адрес многоквартирного дома : г.Калуга ул.Огарева д.34а</t>
  </si>
  <si>
    <t>Общая площадь многоквартирного дома:361,6кв.м</t>
  </si>
  <si>
    <t>а)жилых помещений :361,6 кв.м</t>
  </si>
  <si>
    <t xml:space="preserve">Капитальный ремонт имущества итого: </t>
  </si>
  <si>
    <t>Оплата населения за коммунальные услуги напрямую поступает поставщикам этих услуг соглсно Агентского договора с ООО "ЕИРЦ №1"  №2/1 от 14.08.2009г.</t>
  </si>
  <si>
    <t xml:space="preserve">      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</si>
  <si>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   на основании принятого решения собственниками помещений</t>
  </si>
  <si>
    <t xml:space="preserve"> единицу измерения (на 1кв.м.общей площади</t>
  </si>
  <si>
    <t xml:space="preserve"> помещений в многоквартирном доме)</t>
  </si>
  <si>
    <t xml:space="preserve">Директор ООО "ЖРЭУ-6"                                      </t>
  </si>
  <si>
    <t xml:space="preserve"> О.И.Мамаева                        Инженер                          Н.И.Ефремова             Гл.Бухгалтер                    Н.И.Храмцова</t>
  </si>
  <si>
    <t xml:space="preserve">                                                                                                       ОТЧЕТ УПРАВЛЯЮЩЕЙ КОМПАНИИ</t>
  </si>
  <si>
    <t>Адрес многоквартирного дома : г.Калуга ул.Огарева д.40 корп.1</t>
  </si>
  <si>
    <t>Общая площадь обслуживания  многоквартирного дома:2655,9кв.м</t>
  </si>
  <si>
    <t>а)жилых помещений :2555,5кв.м</t>
  </si>
  <si>
    <t>б) нежилых помещений:100,4 кв.м</t>
  </si>
  <si>
    <t>Содержание общего имущества в т.ч.:</t>
  </si>
  <si>
    <t>Техническое КПУ</t>
  </si>
  <si>
    <t xml:space="preserve">налог  </t>
  </si>
  <si>
    <t xml:space="preserve">д/телеком.оборудования  </t>
  </si>
  <si>
    <t xml:space="preserve">Стоимость работы (услуги) в расчете на единицу </t>
  </si>
  <si>
    <t xml:space="preserve"> измерения(1кв.м.общей площади помещений  </t>
  </si>
  <si>
    <t>замена плат УЛЖ-М</t>
  </si>
  <si>
    <t>ремонт входа в подъезд</t>
  </si>
  <si>
    <t>уборка подъезда</t>
  </si>
  <si>
    <t>Директор ООО "ЖРЭУ-6"                  О.И.Мамаева</t>
  </si>
  <si>
    <t>Адрес многоквартирного дома : г.Калуга ул.Огарева д.40 корп.2</t>
  </si>
  <si>
    <t>Общая площадь обслуживания  многоквартирного дома:3833,7кв.м</t>
  </si>
  <si>
    <t>а)жилых помещений :3833,7кв.м</t>
  </si>
  <si>
    <t>собственников и нанима-</t>
  </si>
  <si>
    <t>телей помещений</t>
  </si>
  <si>
    <t xml:space="preserve">Остаток   </t>
  </si>
  <si>
    <t>в т.ч.водоотведение</t>
  </si>
  <si>
    <t>замена труб канализации</t>
  </si>
  <si>
    <t>установка доводчика подъезд №2</t>
  </si>
  <si>
    <t xml:space="preserve">Директор ООО "ЖРЭУ-6"               О.И.Мамаева            </t>
  </si>
  <si>
    <t>Адрес многоквартирного дома : г.Калуга ул.Огарева д.42</t>
  </si>
  <si>
    <t>Общая площадь многоквартирного дома:5679,3кв.м</t>
  </si>
  <si>
    <t>а)жилых помещений 5679,3 кв.м</t>
  </si>
  <si>
    <t>собственникови на-</t>
  </si>
  <si>
    <t>руб./кв.м об-</t>
  </si>
  <si>
    <t xml:space="preserve">щей площади  </t>
  </si>
  <si>
    <t>доп.услуги</t>
  </si>
  <si>
    <t>ревизия ЩО,4квт на лестничной площадке в доме</t>
  </si>
  <si>
    <t>ремонт совмещенной кровли над машинным отделением</t>
  </si>
  <si>
    <t>техобследование 3-х лифтов</t>
  </si>
  <si>
    <t>февраль</t>
  </si>
  <si>
    <t>установка эл.счетчика кв.106</t>
  </si>
  <si>
    <t xml:space="preserve">Директор ООО "ЖРЭУ-6"                                       </t>
  </si>
  <si>
    <t>Адрес многоквартирного дома : г.Калуга ул.Огарева д.44</t>
  </si>
  <si>
    <t>Общая площадь обслуживания многоквартирного дома:3833,5кв.м</t>
  </si>
  <si>
    <t>а)жилых помещений :3816,7 кв.м</t>
  </si>
  <si>
    <t>б) нежилых помещений:16,8 кв.м</t>
  </si>
  <si>
    <t>Уборка мест общего пользования</t>
  </si>
  <si>
    <t xml:space="preserve">Капитальный ремонт общего имущества в т.ч.:  </t>
  </si>
  <si>
    <t>на 01.01. 2018г.</t>
  </si>
  <si>
    <t>ремонт электродвигателя  в лифте</t>
  </si>
  <si>
    <t xml:space="preserve">ремонт 2-х порогов </t>
  </si>
  <si>
    <t>Адрес многоквартирного дома : г.Калуга  пер.Труда д.4 кор.1</t>
  </si>
  <si>
    <t>собственников</t>
  </si>
  <si>
    <t>и нанимателей</t>
  </si>
  <si>
    <t>помещений на 01.01.2018г</t>
  </si>
  <si>
    <t>имущества итого:</t>
  </si>
  <si>
    <t>Выполнено работ</t>
  </si>
  <si>
    <t>на 01.01.2018 г.руб.</t>
  </si>
  <si>
    <t xml:space="preserve">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</si>
  <si>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на основании принятого решения собственниками помещений</t>
  </si>
  <si>
    <t>Стоимость работы (услуги) в расчете</t>
  </si>
  <si>
    <t xml:space="preserve"> на единицу измерения (на 1кв.м. площади</t>
  </si>
  <si>
    <t xml:space="preserve"> Инженер                                   Н.И.Ефремова </t>
  </si>
  <si>
    <t>Гл.Бухгалтер                            Н.И.Храмцова</t>
  </si>
  <si>
    <t>Адрес многоквартирного дома : г.Калуга пер.Труда д.4 корп.2</t>
  </si>
  <si>
    <t>Общая площадь обслуживания многоквартирного дома:283,3кв.м</t>
  </si>
  <si>
    <t>а)жилых помещений :283,3 кв.м</t>
  </si>
  <si>
    <t>01.01.2017г.руб</t>
  </si>
  <si>
    <t xml:space="preserve">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</si>
  <si>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на основании принятого решения собственниками помещений</t>
  </si>
  <si>
    <t>на единицу измерения(на 1 кв.м. общей</t>
  </si>
  <si>
    <t xml:space="preserve">площади помещений в многоквартирном  </t>
  </si>
  <si>
    <t xml:space="preserve"> доме)</t>
  </si>
  <si>
    <t xml:space="preserve"> Инженер                                    Н.И.Ефремова                             Гл.Бухгалтер                          Н.И.Храмцова</t>
  </si>
  <si>
    <t>Адрес многоквартирного дома : г.Калуга пер.Труда д.4 корп.5</t>
  </si>
  <si>
    <t>Общая площадь обслуживания  многоквартирного дома:284,4кв.м</t>
  </si>
  <si>
    <t>а)жилых помещений :284,4кв.м</t>
  </si>
  <si>
    <t>помещений на 01.01.2018г.</t>
  </si>
  <si>
    <t xml:space="preserve">                                        3.Отчет о фактически выполненных работах по ремонту общего имущества в многоквартирном доме  </t>
  </si>
  <si>
    <t>на единицу измерения(еа 1 кв.м.площади</t>
  </si>
  <si>
    <t>Директор ООО "ЖРЭУ-6"                О.И.Мамаева</t>
  </si>
  <si>
    <t>Инженер                            Н.И.Ефремова                               Гл.Бухгалтер                         Н.И.Храмцова</t>
  </si>
  <si>
    <t>Адрес многоквартирного дома : г.Калуга пер.Яченский д.2</t>
  </si>
  <si>
    <t>Общая площадь обслуживания многоквартирного дома:1600,1кв.м</t>
  </si>
  <si>
    <t>а)жилых помещений :1600,1кв.м</t>
  </si>
  <si>
    <t>элементов</t>
  </si>
  <si>
    <t>Капитальный ремонт общего имущества итого :</t>
  </si>
  <si>
    <t>0</t>
  </si>
  <si>
    <t xml:space="preserve">Налог с  </t>
  </si>
  <si>
    <t>дохода 15%</t>
  </si>
  <si>
    <t xml:space="preserve">единицу измерения (на 1 кв.м. общей площади  </t>
  </si>
  <si>
    <t>заключение о техническом состоянии дома</t>
  </si>
  <si>
    <t xml:space="preserve">             Ефремова Н.И.</t>
  </si>
  <si>
    <t>Адрес многоквартирного дома : г.Калуга ул.Плеханова д.3</t>
  </si>
  <si>
    <t>Общая площадь  обслуживания многоквартирного дома:2730,4кв.м</t>
  </si>
  <si>
    <t>а)жилых помещений : 2730,4кв.м</t>
  </si>
  <si>
    <t xml:space="preserve">  на 01.01.2018г.</t>
  </si>
  <si>
    <t>услуги автовышки по ремонту крыши</t>
  </si>
  <si>
    <t>ремонт совмещенной кровли кв.54</t>
  </si>
  <si>
    <t>ремонт системы электроподогрева кровли</t>
  </si>
  <si>
    <t>замена задвижки на  цо</t>
  </si>
  <si>
    <t>замена задвижек на системе цо</t>
  </si>
  <si>
    <t>Адрес многоквартирного дома : г.Калуга ул.Плеханова д.5/1</t>
  </si>
  <si>
    <t>Общая площадь начислений многоквартирного дома:3501,5кв.м</t>
  </si>
  <si>
    <t>а)жилых помещений :3374,3кв.м</t>
  </si>
  <si>
    <t>б) нежилых помещений: 127,2кв.м</t>
  </si>
  <si>
    <t>в том числе: по жилым помещениям</t>
  </si>
  <si>
    <t>замена задвижки на системе цо</t>
  </si>
  <si>
    <t>работа по содержанию и уборке зеленых насаждений</t>
  </si>
  <si>
    <t>апрель</t>
  </si>
  <si>
    <t>Инженер                Н.И.Ефремова</t>
  </si>
  <si>
    <t xml:space="preserve">                   Гл.Бухгалтер</t>
  </si>
  <si>
    <t>Адрес многоквартирного дома : г.Калуга ул.Плеханова д.11</t>
  </si>
  <si>
    <t>Общая площадь обслуживания многоквартирного дома:4124,5 кв.м</t>
  </si>
  <si>
    <t>а)жилых помещений : 4113,5кв.м</t>
  </si>
  <si>
    <t>б) нежилых помещений:11, 0 кв.м</t>
  </si>
  <si>
    <t xml:space="preserve">текущий ремонт  </t>
  </si>
  <si>
    <t>49,2298/50,2085</t>
  </si>
  <si>
    <t>Директор ООО "ЖРЭУ-6"                        О.И.Мамаева</t>
  </si>
  <si>
    <t>Адрес многоквартирного дома : г.Калуга ул.Плеханова д.12</t>
  </si>
  <si>
    <t>Общая площадь обслуживания многоквартирного дома:11390,36 кв.м</t>
  </si>
  <si>
    <t>а)жилых помещений : 11390,36кв.м</t>
  </si>
  <si>
    <t xml:space="preserve"> на 01.01.2018г</t>
  </si>
  <si>
    <t xml:space="preserve">Капитальный ремонт общего имущества итого: </t>
  </si>
  <si>
    <t>Задолженность(-) по-</t>
  </si>
  <si>
    <t>работ в 2017г.руб.</t>
  </si>
  <si>
    <t>требителей на 01.01.18г</t>
  </si>
  <si>
    <t xml:space="preserve"> измерения(на 1 кв.м. общей плошади помещений</t>
  </si>
  <si>
    <t>Текущий ремонт жилищного фонда в т.ч.:</t>
  </si>
  <si>
    <t>1.01.</t>
  </si>
  <si>
    <t>замена участка труб канализации</t>
  </si>
  <si>
    <t>1.02.</t>
  </si>
  <si>
    <t>1.03.</t>
  </si>
  <si>
    <t>ремонт кровли над лоджией кв.162</t>
  </si>
  <si>
    <t>1.04</t>
  </si>
  <si>
    <t>работы по содержанию и уборке зеленых насаждений</t>
  </si>
  <si>
    <t>1.05</t>
  </si>
  <si>
    <t>замена стекол на лестничных  клетках</t>
  </si>
  <si>
    <t>1.06</t>
  </si>
  <si>
    <t>благоустройство дворовой территории</t>
  </si>
  <si>
    <t>1.07</t>
  </si>
  <si>
    <t>Адрес многоквартирного дома : г.Калуга ул.Пролетарская д.21</t>
  </si>
  <si>
    <t>а)жилых помещений : 8481,5 кв.м</t>
  </si>
  <si>
    <t>б) нежилых помещений:10,1 кв.м</t>
  </si>
  <si>
    <t>(работ )работ</t>
  </si>
  <si>
    <t>общей  площади</t>
  </si>
  <si>
    <t xml:space="preserve">на 01.01.2018г. </t>
  </si>
  <si>
    <t>Обслуживание КПУ  тепловой энергии</t>
  </si>
  <si>
    <t>Текущий ремонт общего имущества  итого:</t>
  </si>
  <si>
    <t>в том числе :по жилым помещениям</t>
  </si>
  <si>
    <t>за 2018г.</t>
  </si>
  <si>
    <t>поощрение актива дома</t>
  </si>
  <si>
    <t xml:space="preserve">на 01.01.2018г.  </t>
  </si>
  <si>
    <t xml:space="preserve"> измерения(на 1кв.метр общей площади помеще-</t>
  </si>
  <si>
    <t xml:space="preserve"> ний  в многоквартирном доме)</t>
  </si>
  <si>
    <t>Текущий ремонт жилищного фонда,в том числе:</t>
  </si>
  <si>
    <t>ремонт плиты над лоджией кв.105</t>
  </si>
  <si>
    <t>замена запорной арматуры и труб по стояку ГВС</t>
  </si>
  <si>
    <t>замена труб  гвс и запорной арматуры в подвале</t>
  </si>
  <si>
    <t>январь</t>
  </si>
  <si>
    <t>ремонт канализации кв.105</t>
  </si>
  <si>
    <t xml:space="preserve">                                                                                             ПЕРЕД СОБСТВЕННИКАМИ ПОМЕЩЕНИЙ О ВЫПОЛНЕНИИ</t>
  </si>
  <si>
    <t>Адрес многоквартирного дома : г.Калуга ул.Пролетарская д.39</t>
  </si>
  <si>
    <t>Общая площадь многоквартирного дома: 4409,1 кв.м</t>
  </si>
  <si>
    <t>а)жилых помещений : 4364,5кв.м</t>
  </si>
  <si>
    <t>б) нежилых помещений: 44,6кв.м</t>
  </si>
  <si>
    <t>помещенийв многоквартирном доме)</t>
  </si>
  <si>
    <t>замена шаровых задвижек на системе цо в подвале</t>
  </si>
  <si>
    <t>Директор ООО "ЖРЭУ-6"                            О.И.Мамаева</t>
  </si>
  <si>
    <t>Адрес многоквартирного дома : г.Калуга ул.Пролетарская д.41</t>
  </si>
  <si>
    <t>Общая площадь  многоквартирного дома:4353,1кв.м</t>
  </si>
  <si>
    <t>а)жилых помещений : 4353,1кв.м</t>
  </si>
  <si>
    <t>и нанимателей помеще-</t>
  </si>
  <si>
    <t>ний на 01.01.2018г.</t>
  </si>
  <si>
    <t>Содержание общего имущества в том числе:</t>
  </si>
  <si>
    <t>Остаток средств</t>
  </si>
  <si>
    <t>на 01.01.17г.</t>
  </si>
  <si>
    <t>на 01.01.18г.</t>
  </si>
  <si>
    <t>Предоставление мест д/телеком.оборудования</t>
  </si>
  <si>
    <t>монтаж поливочного крана</t>
  </si>
  <si>
    <t xml:space="preserve">замена задвижек на системе центрального отопления </t>
  </si>
  <si>
    <t>в подвале</t>
  </si>
  <si>
    <t xml:space="preserve">заменавентилей на системе гвс </t>
  </si>
  <si>
    <t>замена задвижек на системе хвс</t>
  </si>
  <si>
    <t>Директор ООО "ЖРЭУ-6"                   О.И.Мамаева</t>
  </si>
  <si>
    <t>Адрес многоквартирного дома : г.Калуга ул.Пролетарская д.44</t>
  </si>
  <si>
    <t>Общая площадь  многоквартирного дома:5370,6 кв.м</t>
  </si>
  <si>
    <t>а)жилых помещений : 5370,6кв.м</t>
  </si>
  <si>
    <t>Содержание лифта</t>
  </si>
  <si>
    <t>Капитальный ремонт общего имущества:</t>
  </si>
  <si>
    <t>8.</t>
  </si>
  <si>
    <t xml:space="preserve">Получено в </t>
  </si>
  <si>
    <t>налог</t>
  </si>
  <si>
    <t>расход</t>
  </si>
  <si>
    <t>50% от 2016г.</t>
  </si>
  <si>
    <t>25,1825,95</t>
  </si>
  <si>
    <t>измерения(на 1кв.м.общей площади помещений</t>
  </si>
  <si>
    <t>Адрес многоквартирного дома : г.Калуга ул.Пролетарская д.90</t>
  </si>
  <si>
    <t>Общая площадь многоквартирного дома:1108,8 кв.м</t>
  </si>
  <si>
    <t>а)жилых помещений : 1108,8 кв.м</t>
  </si>
  <si>
    <t>б) нежилых помещений: 0кв.м</t>
  </si>
  <si>
    <t xml:space="preserve">Содержание инженерных сетей </t>
  </si>
  <si>
    <t xml:space="preserve">имущества итого : </t>
  </si>
  <si>
    <r>
      <t>*</t>
    </r>
    <r>
      <rPr>
        <b/>
        <sz val="8"/>
        <rFont val="Arial Cyr"/>
        <charset val="204"/>
      </rPr>
      <t>)Капитальный  ремонт общего имущества- без учета накоплений за муниципальное жилье</t>
    </r>
  </si>
  <si>
    <t>в т.ч водоотведение хол.воды</t>
  </si>
  <si>
    <t xml:space="preserve">              </t>
  </si>
  <si>
    <t xml:space="preserve">                 на основании принятого решения собственниками помещений</t>
  </si>
  <si>
    <t>заключение о техническом состоянии дома (системы ГВС)</t>
  </si>
  <si>
    <t>заключение о техническом состоянии дома (система канализации)</t>
  </si>
  <si>
    <t xml:space="preserve">                  Н.И.Храмцова</t>
  </si>
  <si>
    <t>Адрес многоквартирного дома : г.Калуга ул.Пухова д.1</t>
  </si>
  <si>
    <t>Общая площадь многоквартирного дома:3348,8кв.м</t>
  </si>
  <si>
    <t>а)  жилых помещений : 3244,6 кв.м</t>
  </si>
  <si>
    <t>б) нежилых помещений:  104,2    кв.м</t>
  </si>
  <si>
    <t>Обслуживание ОИ-эл.эн.</t>
  </si>
  <si>
    <t xml:space="preserve">Капитальный  ремонт общего имущества </t>
  </si>
  <si>
    <t>Предоставление мест для</t>
  </si>
  <si>
    <t xml:space="preserve">остаток средств </t>
  </si>
  <si>
    <t>остаток средств на 01.01.2018г.</t>
  </si>
  <si>
    <t>телеком.оборудование</t>
  </si>
  <si>
    <t xml:space="preserve">Оплата населения ,полученная за коммунальные услуги напрямую поступает предприятиям поставщикам этих услуг  </t>
  </si>
  <si>
    <t>согласно Агентского договора , заключенного с ООО"ЕИРЦ №1" №2/1 от 14.08.2009г.</t>
  </si>
  <si>
    <t xml:space="preserve">                                                3.Отчет о фактически выполненных работах по ремонту общего имущества в многоквартирном доме  </t>
  </si>
  <si>
    <t>единицу измерения(на 1 кв.м.общей площади</t>
  </si>
  <si>
    <t>ремонт межпанельных швов кв.46</t>
  </si>
  <si>
    <t>Адрес многоквартирного дома : г.Калуга ул.Пухова д.3</t>
  </si>
  <si>
    <t>Общая площадь  многоквартирного дома:3342,7кв.м</t>
  </si>
  <si>
    <t>а)жилых помещений :3342,7 кв.м</t>
  </si>
  <si>
    <t>Представление мест для телекоммуника-</t>
  </si>
  <si>
    <t xml:space="preserve">остаток средств  </t>
  </si>
  <si>
    <t xml:space="preserve">налог с дохода  </t>
  </si>
  <si>
    <t>остаток</t>
  </si>
  <si>
    <t>ционного оборудования</t>
  </si>
  <si>
    <t xml:space="preserve">                                                                              на основании принятого решения собственниками помещений</t>
  </si>
  <si>
    <t xml:space="preserve"> на единицу измерения (на 1 кв.м. общей</t>
  </si>
  <si>
    <t xml:space="preserve"> площади помещений в многоквартирном доме)</t>
  </si>
  <si>
    <t>26.04.2017г</t>
  </si>
  <si>
    <t xml:space="preserve"> Инженер                                     Н.И.Ефремова</t>
  </si>
  <si>
    <t>Гл.Бухгалтер                       Н.И.Храмцова</t>
  </si>
  <si>
    <t>Адрес многоквартирного дома : г.Калуга ул.Пухова д.7</t>
  </si>
  <si>
    <t>Общая площадь многоквартирного дома:4549,9 кв.м</t>
  </si>
  <si>
    <t>а)жилых помещений : 4549,9кв.м</t>
  </si>
  <si>
    <t>собственников и</t>
  </si>
  <si>
    <t>нанимателей поме-</t>
  </si>
  <si>
    <t>щений на 01.01.2018г.</t>
  </si>
  <si>
    <t xml:space="preserve">Капитальный ремонт общего имущества   </t>
  </si>
  <si>
    <t xml:space="preserve">остаток  </t>
  </si>
  <si>
    <t xml:space="preserve">Поступило  </t>
  </si>
  <si>
    <t>в 2017г</t>
  </si>
  <si>
    <t>н 01.01.2018г.</t>
  </si>
  <si>
    <t xml:space="preserve">            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</si>
  <si>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          на основании принятого решения собственниками помещений</t>
  </si>
  <si>
    <t xml:space="preserve">№ </t>
  </si>
  <si>
    <t xml:space="preserve">Дата выполнения </t>
  </si>
  <si>
    <t xml:space="preserve"> (на 1кв.метр общей площади помещений </t>
  </si>
  <si>
    <t>Текущий ремонт жилищного фонда :</t>
  </si>
  <si>
    <t>Инженер                         Н.И.Ефремова                                    Гл.Бухгалтер                      Н.И.Храмцова</t>
  </si>
  <si>
    <t>Адрес многоквартирного дома : г.Калуга ул.Пухова д.19</t>
  </si>
  <si>
    <t>Общая площадь дома :4542,3кв.м</t>
  </si>
  <si>
    <t>а)жилых помещений : 4542,3кв.м</t>
  </si>
  <si>
    <t xml:space="preserve">                                                                                                                         за отчетный период</t>
  </si>
  <si>
    <t xml:space="preserve">Капитальный ремонт общегоимущества   </t>
  </si>
  <si>
    <t xml:space="preserve">поступило  </t>
  </si>
  <si>
    <t>на  01.01.2017г.</t>
  </si>
  <si>
    <t xml:space="preserve">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</si>
  <si>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на основании принятого решения собственниками помещений</t>
  </si>
  <si>
    <t>Стоимость работы (услуги) расчете на единицу</t>
  </si>
  <si>
    <t>измерения (на 1 кв.метр общей площади помещений</t>
  </si>
  <si>
    <t>установка узла учета тепловой энергии</t>
  </si>
  <si>
    <t>утепление наружных стен кв.109</t>
  </si>
  <si>
    <t>июнь 2017г.</t>
  </si>
  <si>
    <t xml:space="preserve"> установка узла учета тепловой энергии</t>
  </si>
  <si>
    <t>Директор ООО "ЖРЭУ-6"                      О.И.Мамаева</t>
  </si>
  <si>
    <t>Адрес многоквартирного дома : г.Калуга ул.Рылеева д.1/12</t>
  </si>
  <si>
    <t>Общая площадь дома:1796,2в.м</t>
  </si>
  <si>
    <t>а)жилых помещений :1756,4 кв.м</t>
  </si>
  <si>
    <t>б) нежилых помещений:39,8 кв.м</t>
  </si>
  <si>
    <t xml:space="preserve"> (на 1кв.метр общей площади помещеий в много-</t>
  </si>
  <si>
    <t>квартирном доме)</t>
  </si>
  <si>
    <t>замена задвижек на системе отопления в подвале дома</t>
  </si>
  <si>
    <t>ремонт ограждения на кровле</t>
  </si>
  <si>
    <t>Ефремова Н.И.</t>
  </si>
  <si>
    <t xml:space="preserve">   Гл.Бухгалтер</t>
  </si>
  <si>
    <t>Адрес многоквартирного дома : г.Калуга ул.Рылеева д.3</t>
  </si>
  <si>
    <t>Общая площадь  многоквартирного дома:3070,1 кв.м</t>
  </si>
  <si>
    <t>а)жилых помещений : 3070,1кв.м</t>
  </si>
  <si>
    <t>на 01.01.2017г.руб.</t>
  </si>
  <si>
    <t>гидопромывка системы отопления</t>
  </si>
  <si>
    <t>замена фанового стояка кв.59</t>
  </si>
  <si>
    <t xml:space="preserve">  Гл.Бухгалтер</t>
  </si>
  <si>
    <t>Адрес многоквартирного дома : г.Калуга ул.Рылеева д .4</t>
  </si>
  <si>
    <t>Общая площадь  многоквартирного дома:2684,6 кв.м</t>
  </si>
  <si>
    <t>а)жилых помещений: 2684,6 кв.м</t>
  </si>
  <si>
    <t>имущества  итого</t>
  </si>
  <si>
    <t xml:space="preserve">Получено </t>
  </si>
  <si>
    <t xml:space="preserve">Горячее водоснабжение централизованное </t>
  </si>
  <si>
    <t>замена фанового стояка в квартире №59</t>
  </si>
  <si>
    <t>замена задвижек на системе гвс в подвале дома</t>
  </si>
  <si>
    <t>замена фанового стояка в квартире №44</t>
  </si>
  <si>
    <t>ремонт межпанельных швов кв.49</t>
  </si>
  <si>
    <t>2.2</t>
  </si>
  <si>
    <t>Адрес многоквартирного дома : г.Калуга ул.Рылеева д.6</t>
  </si>
  <si>
    <t>Общая площадь  многоквартирного дома:6722,3 кв.м</t>
  </si>
  <si>
    <t>а)жилых помещений : 6611,6кв.м</t>
  </si>
  <si>
    <t>б) нежилых помещений:110,7кв.м</t>
  </si>
  <si>
    <t xml:space="preserve">                                                                         общего имущества в многоквартирном доме и коммунальные услуги</t>
  </si>
  <si>
    <t xml:space="preserve">Капитальный ремонт общего имущества итого </t>
  </si>
  <si>
    <t>Холодноеи водоснабжение</t>
  </si>
  <si>
    <t>3.Отчет о фактически выполненных работах по ремнту общего имущества в многоквартирном доме</t>
  </si>
  <si>
    <t>( на 1 кв.м.общей площади помещений в много-</t>
  </si>
  <si>
    <t xml:space="preserve"> квартирном  доме)</t>
  </si>
  <si>
    <t>изоляция труб цо</t>
  </si>
  <si>
    <t>работы по содержаниюи уборке зеленых насаждений</t>
  </si>
  <si>
    <t>ремонт порога в подъезде №1</t>
  </si>
  <si>
    <t>ремонт общего коридора</t>
  </si>
  <si>
    <t>Директор ООО "ЖРЭУ-6"                    О.И.Мамаева</t>
  </si>
  <si>
    <t>Инженер                     Н.И.Ефремова                    Гл.Бухгалтер          Храмцова Н.И.</t>
  </si>
  <si>
    <t xml:space="preserve">                                                                                      ДОГОВОРА УПРАВЛЕНИЯ МНОГОКВАРТИРНЫМ ДОМОМ ЗА 2017од</t>
  </si>
  <si>
    <t>Адрес многоквартирного дома : г.Калуга ул.Рылеева д.14</t>
  </si>
  <si>
    <t>Общая площадь многоквартирного дома:566,12кв.м</t>
  </si>
  <si>
    <t>а)жилых помещений :566,12кв.м</t>
  </si>
  <si>
    <t>в 2016г.</t>
  </si>
  <si>
    <t>01.01.2016г.</t>
  </si>
  <si>
    <t>2016г.</t>
  </si>
  <si>
    <t>Задолженность(- )</t>
  </si>
  <si>
    <t>Стоимость работы (услуги) в расчете на еди-</t>
  </si>
  <si>
    <t xml:space="preserve">ницу измерения (на 1 кв.метр общей площади </t>
  </si>
  <si>
    <t xml:space="preserve">                                                                                                             ООО "ЖРЭУ-6"</t>
  </si>
  <si>
    <t xml:space="preserve">  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</si>
  <si>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  ДОГОВОРА УПРАВЛЕНИЯ МНОГОКВАРТИРНЫМ ДОМОМ ЗА 2017 год</t>
  </si>
  <si>
    <t xml:space="preserve">  1. Общие сведения о многоквартирном доме</t>
  </si>
  <si>
    <t>Адрес многоквартирного дома : г.Калуга ул.Рылеева д .16</t>
  </si>
  <si>
    <t>Общая площадь  многоквартирного дома:2534,8 кв.м</t>
  </si>
  <si>
    <t>а)жилых помещений : 2403,9кв.м</t>
  </si>
  <si>
    <t>б) нежилых помещений:130,9 кв.м</t>
  </si>
  <si>
    <t xml:space="preserve">имущества : </t>
  </si>
  <si>
    <t xml:space="preserve">Налог на  </t>
  </si>
  <si>
    <t>доход 15%</t>
  </si>
  <si>
    <t xml:space="preserve">измерения (на 1 кв.метр общей площади  </t>
  </si>
  <si>
    <t>помещения в многоквартирном доме)</t>
  </si>
  <si>
    <t>замена задвижки хна системе вс</t>
  </si>
  <si>
    <t>техническое обследование помещений (чердак)</t>
  </si>
  <si>
    <t xml:space="preserve">Директор ООО "ЖРЭУ-6"                                        </t>
  </si>
  <si>
    <t>Адрес многоквартирного дома : г.Калуга ул.Рылеева д.18б</t>
  </si>
  <si>
    <t>Общая площадь  многоквартирного дома:562,7кв.м</t>
  </si>
  <si>
    <t>а)жилых помещений :562,7 кв.м</t>
  </si>
  <si>
    <t xml:space="preserve">Соднржание общего имущества в т.ч.: </t>
  </si>
  <si>
    <t>установка 2-х дверных доводчиков</t>
  </si>
  <si>
    <t>Адрес многоквартирного дома : г.Калуга ул.Рылеева д .18в</t>
  </si>
  <si>
    <t>Общая площадь многоквартирного дома:571,3 кв.м</t>
  </si>
  <si>
    <t>а)жилых помещений : 571,3 кв.м</t>
  </si>
  <si>
    <t>в т.ч.водоотведение холодной воды</t>
  </si>
  <si>
    <t xml:space="preserve"> содержание и уборка зеленых насаждений</t>
  </si>
  <si>
    <t>Директор ООО "ЖРЭУ-6"    О.И.Мамаева</t>
  </si>
  <si>
    <t>Адрес многоквартирного дома : г.Калуга ул.Рылеева д .19</t>
  </si>
  <si>
    <t>Общая площадь дома:3436,1 кв.м</t>
  </si>
  <si>
    <t>а)жилых помещений: 3284,7кв.м</t>
  </si>
  <si>
    <t>б) нежилых помещений: 151,4 кв.м</t>
  </si>
  <si>
    <t>на 01.01.2018г руб.</t>
  </si>
  <si>
    <t>Содержание общего имущества,в т. числе:</t>
  </si>
  <si>
    <t xml:space="preserve">Оплата населения ,полученная за коммунальные услуги напрямую поступает предприятиям поставщикам этих услуг согласно </t>
  </si>
  <si>
    <t>Агентского договора , заключенного с ООО"ЕИРЦ №1" №2/1 от 14.08.2009г.</t>
  </si>
  <si>
    <t>демонтаж старого и установка нового трехполюсного рубильника</t>
  </si>
  <si>
    <t>Адрес многоквартирного дома : г.Калуга ул.Суворова д.5</t>
  </si>
  <si>
    <t>Общая площадь  многоквартирного дома:4715,1кв.м</t>
  </si>
  <si>
    <t>а)жилых помещений :4715,1 кв.м</t>
  </si>
  <si>
    <t>(работ ),услуг</t>
  </si>
  <si>
    <t xml:space="preserve">имущества  итого: </t>
  </si>
  <si>
    <t>Задолженность</t>
  </si>
  <si>
    <t>замена канализационных труб в кв.34</t>
  </si>
  <si>
    <t>замена канализационных труб в кв.78</t>
  </si>
  <si>
    <t>ноябрь</t>
  </si>
  <si>
    <t>ремонт кв.65</t>
  </si>
  <si>
    <t xml:space="preserve">                                 </t>
  </si>
  <si>
    <t xml:space="preserve">  Отчет управляющей компании</t>
  </si>
  <si>
    <t>Адрес многоквартирного дома : г.Калуга ул.Суворова д.7 корп.1</t>
  </si>
  <si>
    <t>Общая площадь многоквартирного дома:4848,6 кв.м</t>
  </si>
  <si>
    <t>а)жилых помещений : 4708,5кв.м</t>
  </si>
  <si>
    <t>б) нежилых помещений: 140,1 кв.м</t>
  </si>
  <si>
    <t xml:space="preserve">Капитальный ремонт общего имущества в т.ч.: </t>
  </si>
  <si>
    <t>25,18/25,95</t>
  </si>
  <si>
    <t>Директор ООО "ЖРЭУ-6"                     И.Мамаева</t>
  </si>
  <si>
    <t>Адрес многоквартирного дома : г.Калуга ул.Суворова д.9</t>
  </si>
  <si>
    <t>Общая площадь многоквартирного дома:4793,1в.м</t>
  </si>
  <si>
    <t>а)жилых помещений:4793,1кв.м</t>
  </si>
  <si>
    <t xml:space="preserve">Содержание общего имущества  </t>
  </si>
  <si>
    <t>имущества  в т.ч.</t>
  </si>
  <si>
    <t>на 01.01.2018г.руб</t>
  </si>
  <si>
    <t>измерения (на 1 кв.м. общей площади помещений</t>
  </si>
  <si>
    <t>устройство 2-х пандусов</t>
  </si>
  <si>
    <t xml:space="preserve">            Н.И.Храмцова</t>
  </si>
  <si>
    <t xml:space="preserve">                                                                                      ДОГОВОРА УПРАВЛЕНИЯ МНОГОКВАРТИРНЫМ ДОМОМ ЗА 2017 ГОД</t>
  </si>
  <si>
    <t>Адрес многоквартирного дома : г.Калуга ул.Суворова д.11</t>
  </si>
  <si>
    <t>Общая площадь многоквартирного дома:3353,1кв.м</t>
  </si>
  <si>
    <t>а)жилых помещений :3353,1 кв.м</t>
  </si>
  <si>
    <t>в 2017.</t>
  </si>
  <si>
    <t>имущества итого</t>
  </si>
  <si>
    <t>01.01.2018г.</t>
  </si>
  <si>
    <t>Адрес многоквартирного дома : г.Калуга ул.Суворова д.13</t>
  </si>
  <si>
    <t>Общая площадь многоквартирного дома:3372,7кв.м</t>
  </si>
  <si>
    <t>а)жилых помещений :3260,6кв.м</t>
  </si>
  <si>
    <t>б) нежилых помещений112,1кв.м</t>
  </si>
  <si>
    <t>Содержание общего имущества,в т. ч.:</t>
  </si>
  <si>
    <t xml:space="preserve">руб. </t>
  </si>
  <si>
    <t xml:space="preserve">Стоимость работы (услуги) в расчете на </t>
  </si>
  <si>
    <t xml:space="preserve">единицу измерения (на 1 кв.м.общей площади  </t>
  </si>
  <si>
    <t xml:space="preserve">   Гл.бухгалтер</t>
  </si>
  <si>
    <t>Адрес многоквартирного дома : г.Калуга ул.Суворова д.15</t>
  </si>
  <si>
    <t>Общая площадь  многоквартирного дома:3325,1кв.м</t>
  </si>
  <si>
    <t>а)жилых помещений :3325,1 кв.м</t>
  </si>
  <si>
    <t>собственников и  на-</t>
  </si>
  <si>
    <t>Техническое обслуживание КПУ</t>
  </si>
  <si>
    <t>допначисления</t>
  </si>
  <si>
    <t xml:space="preserve">Капитальный ремонт общего имущества  </t>
  </si>
  <si>
    <t>.по жилым помещениям</t>
  </si>
  <si>
    <t xml:space="preserve">01.01.2018г. </t>
  </si>
  <si>
    <t>замена труб хвс в кв.3,7,11,15,19 и в техподполье</t>
  </si>
  <si>
    <t>установка узла  учета тепловой энергии(допначисления)</t>
  </si>
  <si>
    <t>реконструкция балконного козырька кв.67</t>
  </si>
  <si>
    <t>утепление наружных стен кв.8</t>
  </si>
  <si>
    <t xml:space="preserve">Директор ООО "ЖРЭУ-6"         </t>
  </si>
  <si>
    <t>Адрес многоквартирного дома : г.Калуга ул.Суворова д.17</t>
  </si>
  <si>
    <t>Общая площадь   многоквартирного дома:3381,4кв.м</t>
  </si>
  <si>
    <t>а)жилых помещений :3272,8 кв.м</t>
  </si>
  <si>
    <t>б) нежилых помещений:108,6 кв.м</t>
  </si>
  <si>
    <t xml:space="preserve"> на 01.01.2018г руб.</t>
  </si>
  <si>
    <t xml:space="preserve">имущества  в т.ч.: </t>
  </si>
  <si>
    <t>в.ч.водоотведение хол.воды</t>
  </si>
  <si>
    <t>1,1</t>
  </si>
  <si>
    <t>изготовление и установка рам подъезд №1,этаж 5</t>
  </si>
  <si>
    <t>ремонт газоходов и вентканалов</t>
  </si>
  <si>
    <t>Директор ООО "ЖРЭУ-6"         О.И.Мамаева</t>
  </si>
  <si>
    <t>Адрес многоквартирного дома : г.Калуга ул.Суворова д.19</t>
  </si>
  <si>
    <t>Общая площадь  многоквартирного дома:3291,5кв.м</t>
  </si>
  <si>
    <t>а)жилых помещений :3233,0 кв.м</t>
  </si>
  <si>
    <t>б) нежилых помещений:58,5 кв.м</t>
  </si>
  <si>
    <t>Представление мест для телекоммуни-</t>
  </si>
  <si>
    <t xml:space="preserve"> в 2017г.</t>
  </si>
  <si>
    <t>кационного оборудования</t>
  </si>
  <si>
    <t>Холодное водоснабжение в т.ч.</t>
  </si>
  <si>
    <t xml:space="preserve">водоотведение хол.воды- </t>
  </si>
  <si>
    <t>замена труб стояка хвс в кв.37,40 и в подвале дома</t>
  </si>
  <si>
    <t>установка светильника у входа в подъезд и тамбур</t>
  </si>
  <si>
    <t>Адрес многоквартирного дома : г.Калуга ул.Суворова д.21</t>
  </si>
  <si>
    <t>Общая площадь дома-2277,3 кв.м</t>
  </si>
  <si>
    <t>а)жилых помещений :2209,8 кв.м</t>
  </si>
  <si>
    <t>б) нежилых помещений:67,5 кв.м</t>
  </si>
  <si>
    <t>Текущий ремонт рбщего имущества:</t>
  </si>
  <si>
    <t xml:space="preserve">Перенос на текущий ремонт по письму  МЖД  </t>
  </si>
  <si>
    <t>от 14.04.2017г.</t>
  </si>
  <si>
    <t>17,29/17,79</t>
  </si>
  <si>
    <t>утепление наружных стен кв.6</t>
  </si>
  <si>
    <t>ремонт межпанельных швов кв.40</t>
  </si>
  <si>
    <t>заключение о техническом состоянии фасада</t>
  </si>
  <si>
    <t>Директор ООО"ЖРЭУ-6"              О.И.Мамаева</t>
  </si>
  <si>
    <t xml:space="preserve">                                                                                      ДОГОВОРА УПРАВЛЕНИЯ МНОГОКВАРТИРНЫМ ДОМОМ ЗА  2017 год</t>
  </si>
  <si>
    <t>Адрес многоквартирного дома : г.Калуга ул.Суворова д.21 а</t>
  </si>
  <si>
    <t>Общая площадь дома: 4011,9кв.м</t>
  </si>
  <si>
    <t>а)жилых помещений :3566,8 кв.м</t>
  </si>
  <si>
    <t>б) нежилых помещений 445,1 кв.м</t>
  </si>
  <si>
    <t>помещений на01.01.2018г.</t>
  </si>
  <si>
    <t>ремонт порога,монтаж металлического козырька</t>
  </si>
  <si>
    <t>ремонт совмещенной кровли подъезд №1</t>
  </si>
  <si>
    <t>установка решетки</t>
  </si>
  <si>
    <t>ремонт канализации</t>
  </si>
  <si>
    <t>Адрес многоквартирного дома : г.Калуга ул.Суворова д.31</t>
  </si>
  <si>
    <t>Общая площадь   многоквартирного дома: 7542,3 кв.м</t>
  </si>
  <si>
    <t>а)жилых помещений:7454,9кв.м</t>
  </si>
  <si>
    <t>б) нежилых помещений:87,4кв.м</t>
  </si>
  <si>
    <t>Облуживание КПУ</t>
  </si>
  <si>
    <t>Содержание мусоропроводов</t>
  </si>
  <si>
    <t xml:space="preserve">имущества  в том числе: </t>
  </si>
  <si>
    <t>Горячее водоснабжение ценртализованное</t>
  </si>
  <si>
    <t>ремонт кровли над машинным отделением</t>
  </si>
  <si>
    <t>ремонт кровли над входами в подъезды №1,2</t>
  </si>
  <si>
    <t>ремонт кровли над входом в подъезд №3</t>
  </si>
  <si>
    <t>ремонт кровли тамбура подъезд №5</t>
  </si>
  <si>
    <t>ремонт межпанельных швов кв.36,48,52,56,63</t>
  </si>
  <si>
    <t>ремонт кровли лоджии кв.67</t>
  </si>
  <si>
    <t>изоляция труб цо в техподполье дома</t>
  </si>
  <si>
    <t>ремонт электропроводки в техподполье  подъезда №1,2</t>
  </si>
  <si>
    <t>восстановление освещения в техподполье</t>
  </si>
  <si>
    <t>замена труб на системе ЦО в техподполье 2-го подъезда</t>
  </si>
  <si>
    <t>1.11</t>
  </si>
  <si>
    <t>ремонт лестничной клетки подъезда №1</t>
  </si>
  <si>
    <t>1.12</t>
  </si>
  <si>
    <t>замена оконных блоков</t>
  </si>
  <si>
    <t>1.13</t>
  </si>
  <si>
    <t>ремонт лестничной клетки подъезда №4</t>
  </si>
  <si>
    <t>1.14</t>
  </si>
  <si>
    <t>март</t>
  </si>
  <si>
    <t>ремонт системы канализации</t>
  </si>
  <si>
    <t>Адрес многоквартирного дома : г.Калуга ул.Суворова д.63 корп.1</t>
  </si>
  <si>
    <t>Общая площадь дома:2329,90кв.м</t>
  </si>
  <si>
    <t>а)жилых помещений:2329,9кв.м</t>
  </si>
  <si>
    <t xml:space="preserve"> на 01.01.2018г.руб.</t>
  </si>
  <si>
    <t>Содержание общего имущества:</t>
  </si>
  <si>
    <t>Обслуживание ОИ-эл.эн</t>
  </si>
  <si>
    <t>замена вводной задвижки на системе гвс в подвале</t>
  </si>
  <si>
    <t>Адрес многоквартирного дома : г.Калуга ул.Суворова д.65</t>
  </si>
  <si>
    <t>Общая площадь дома :7776,2кв.м</t>
  </si>
  <si>
    <t>а)жилых помещений:7767,2 кв.м</t>
  </si>
  <si>
    <t>б) нежилых помещений:9,0 кв.м</t>
  </si>
  <si>
    <t>(работ)работ</t>
  </si>
  <si>
    <t xml:space="preserve">общей площади   </t>
  </si>
  <si>
    <t>измерения (на 1 кв.метр общей площади помеще-</t>
  </si>
  <si>
    <t>нийв многоквартирном доме)</t>
  </si>
  <si>
    <t>1.2.</t>
  </si>
  <si>
    <t>замена труб канализации кв.29</t>
  </si>
  <si>
    <t>замена труб канализации в подвале 2-го подъезда</t>
  </si>
  <si>
    <t>ремонт межпанельных швов кв.56</t>
  </si>
  <si>
    <t>восстановление уличного освещения 2-го подъезда</t>
  </si>
  <si>
    <t>Адрес многоквартирного дома : г.Калуга ул.Суворова д.67</t>
  </si>
  <si>
    <t>Общая площадь  многоквартирного дома:2648,6кв.м</t>
  </si>
  <si>
    <t>а)жилых помещений : 2648,6 кв.м</t>
  </si>
  <si>
    <t>Содержание общего имущества</t>
  </si>
  <si>
    <t>Представление мест для телекомму-</t>
  </si>
  <si>
    <t xml:space="preserve"> никационного оборудования</t>
  </si>
  <si>
    <t>замена вводных задвижек на системе гвс в подвале</t>
  </si>
  <si>
    <t>вывз ЖБО</t>
  </si>
  <si>
    <t>ремонт порога,подрезка двери</t>
  </si>
  <si>
    <t xml:space="preserve">1 % софинансирования на  благоустройство дворовой </t>
  </si>
  <si>
    <t xml:space="preserve">Директор ООО "ЖРЭУ-6"                О.И.Мамаева        </t>
  </si>
  <si>
    <t>Адрес многоквартирного дома : г.Калуга ул.Суворова д.69</t>
  </si>
  <si>
    <t>Общая площадь дома:7686,7кв.м</t>
  </si>
  <si>
    <t>а)жилых помещений :7639,6 кв.м</t>
  </si>
  <si>
    <t>б) нежилых помещений:47,1кв.м</t>
  </si>
  <si>
    <t>Капитальный ремонт общего имущества  в т.ч.:</t>
  </si>
  <si>
    <t xml:space="preserve">           на основании принятого решения собственниками помещений</t>
  </si>
  <si>
    <t>Текущий ремонт жилищного фонда,в т.ч.:</t>
  </si>
  <si>
    <t>замена радиатора цо на 1 -ом этаже</t>
  </si>
  <si>
    <t xml:space="preserve"> изготовление и монтаж 2-х металлических решеток на узел учета</t>
  </si>
  <si>
    <t>ремонт парапетов в 3-х подъездах</t>
  </si>
  <si>
    <t>утепление наружных стен кв.35</t>
  </si>
  <si>
    <t>замена труб канализации в техподполье дома</t>
  </si>
  <si>
    <t xml:space="preserve">                                                                                                  ОТЧЕТ УПРАВЛЯЮЩЕЙ КОМПАНИИ</t>
  </si>
  <si>
    <t xml:space="preserve">                                                                                                                    ООО "ЖРЭУ-6"</t>
  </si>
  <si>
    <t xml:space="preserve">                                                                                ПЕРЕД СОБСТВЕННИКАМИ ПОМЕЩЕНИЙ О ВЫПОЛНЕНИИ</t>
  </si>
  <si>
    <t xml:space="preserve">                                                                       ДОГОВОРА УПРАВЛЕНИЯ МНОГОКВАРТИРНЫМ ДОМОМ ЗА 2017 год</t>
  </si>
  <si>
    <t xml:space="preserve">                                 1. Общие сведения о многоквартирном доме</t>
  </si>
  <si>
    <t>Адрес многоквартирного дома : г.Калуга пер.Суворова д.93/26</t>
  </si>
  <si>
    <t>Общая площадь многоквартирного дома:362,2кв.м</t>
  </si>
  <si>
    <t>а)жилых помещений :270,5,кв.м</t>
  </si>
  <si>
    <t>б) нежилых помещений: 91,7 кв.м</t>
  </si>
  <si>
    <t xml:space="preserve">                                                                                                 2.Отчет по затратам на содержание, ремонт</t>
  </si>
  <si>
    <t xml:space="preserve">                                                                           общего имущества в многоквартирном доме и коммунальные услуги </t>
  </si>
  <si>
    <t>(работ )</t>
  </si>
  <si>
    <t>услуг</t>
  </si>
  <si>
    <t>Содержание ОДН-эл/эн</t>
  </si>
  <si>
    <t xml:space="preserve">*) Капитальный ремонт общего имущества -без учета накоплений  </t>
  </si>
  <si>
    <t>за муниципальное жилье</t>
  </si>
  <si>
    <t xml:space="preserve">Начислено </t>
  </si>
  <si>
    <t xml:space="preserve">       Инженер</t>
  </si>
  <si>
    <t>Адрес многоквартирного дома : г.Калуга д.Суворова д.95</t>
  </si>
  <si>
    <t>Общая площадь  многоквартирного дома:3355,2 кв.м</t>
  </si>
  <si>
    <t>а)жилых помещений : 3327,4кв.м</t>
  </si>
  <si>
    <t>б) нежилых помещений: 30,5 кв.м</t>
  </si>
  <si>
    <t>Содержание ОИ-эл/эн</t>
  </si>
  <si>
    <t>Предоставление мест под телекоммуника-</t>
  </si>
  <si>
    <t xml:space="preserve">Налог с </t>
  </si>
  <si>
    <t xml:space="preserve">Остоток на </t>
  </si>
  <si>
    <t>ционное оборудование</t>
  </si>
  <si>
    <t>01.01.2018г.руб.</t>
  </si>
  <si>
    <t>в т.т Водоотведение хол.воды</t>
  </si>
  <si>
    <t>утпление кв.63</t>
  </si>
  <si>
    <t>Директор ООО "ЖРЭУ-6"               О.И.Мамаева</t>
  </si>
  <si>
    <t xml:space="preserve">                                                                                         ОТЧЕТ УПРАВЛЯЮЩЕЙ КОМПАНИИ </t>
  </si>
  <si>
    <t>Адрес многоквартирного дома : г.Калуга ул.Суворова д.119</t>
  </si>
  <si>
    <t>Общая площадь многоквартирного дома:494,9кв.м</t>
  </si>
  <si>
    <t>а)жилых помещений :253,9кв.м</t>
  </si>
  <si>
    <t>б) нежилых помещений:241кв.м</t>
  </si>
  <si>
    <t>2,98/4,6</t>
  </si>
  <si>
    <t>17,26/17,95</t>
  </si>
  <si>
    <t>2</t>
  </si>
  <si>
    <t>Директор ООО "ЖРЭУ-6"          Мамаева О.И.</t>
  </si>
  <si>
    <t>Адрес многоквартирного дома : г.Калуга ул.Труда д.1</t>
  </si>
  <si>
    <t>Общая площадь многоквартирного дома:409,5кв.м</t>
  </si>
  <si>
    <t>а)жилых помещений :250,1в.м</t>
  </si>
  <si>
    <t>б) нежилых помещений: 159,4 кв.м</t>
  </si>
  <si>
    <t>в том числе по жилым помещениям</t>
  </si>
  <si>
    <t xml:space="preserve"> (на 1кв.м. общей площади помещеий в много-</t>
  </si>
  <si>
    <t>Инженер                            Н.И.Ефремова                    Гл.Бухгалтер                Храмцова Н.И.</t>
  </si>
  <si>
    <t>Адрес многоквартирного дома : г.Калуга ул.Труда д.3</t>
  </si>
  <si>
    <t>Общая площадь многоквартирного дома:1282,6 кв.м</t>
  </si>
  <si>
    <t>а)жилых помещений :1063,6кв.м</t>
  </si>
  <si>
    <t>б) нежилых помещений:219 кв.м</t>
  </si>
  <si>
    <t xml:space="preserve">Стоимость  </t>
  </si>
  <si>
    <t xml:space="preserve">услуг(работ)  </t>
  </si>
  <si>
    <t>Содержание общего имущества,в т.числе:</t>
  </si>
  <si>
    <t>Текущий ремонт общего имущества в т.ч.;</t>
  </si>
  <si>
    <t>на 01.01.2016г.</t>
  </si>
  <si>
    <t xml:space="preserve">                                                                                                            на основании принятого решения собственниками помещений</t>
  </si>
  <si>
    <t>обрезка и  уборка зеленых насаждений</t>
  </si>
  <si>
    <t xml:space="preserve"> Инженер                                  Н.И.Ефремова                                        Гл.Бухгалтер                            Н.И.Храмцова</t>
  </si>
  <si>
    <t>Адрес многоквартирного дома : г.Калуга ул.Труда д.3а</t>
  </si>
  <si>
    <t>Общая площадь многоквартирного дома:330,9кв.м</t>
  </si>
  <si>
    <t>а)жилых помещений :330,9кв.м</t>
  </si>
  <si>
    <t xml:space="preserve">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</si>
  <si>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  на основании принятого решения собственниками помещений</t>
  </si>
  <si>
    <t>в многоквартирном  доме)</t>
  </si>
  <si>
    <t>ремонт зеленых насаждений -обрезка ,уборка деревьев</t>
  </si>
  <si>
    <t>Инженер                             Н.И.Ефремова                                  Гл.Бухгалтер                  Н.И.Храмцова</t>
  </si>
  <si>
    <t>Адрес многоквартирного дома : г.Калуга ул.Труда д.5а корп.1</t>
  </si>
  <si>
    <t>Общая площадь  многоквартирного дома:724,4 кв.м</t>
  </si>
  <si>
    <t>а)жилых помещений : 724,4в.м</t>
  </si>
  <si>
    <t>помещений на 01.01.2017г.</t>
  </si>
  <si>
    <t>Капитальный ремонт общего имущества  в т.ч.</t>
  </si>
  <si>
    <t xml:space="preserve">                                                  3.Отчет о фактически выполненных работах по ремонту общего имущества в многоквартирном доме  </t>
  </si>
  <si>
    <t xml:space="preserve"> на единицу измерения (на 1 кв.м.общей</t>
  </si>
  <si>
    <t xml:space="preserve"> площади помещений в многоквартирном</t>
  </si>
  <si>
    <t>устройство бельевой площадки</t>
  </si>
  <si>
    <t xml:space="preserve"> Инженер</t>
  </si>
  <si>
    <t>Гл.Бухгалтер                 Н.И.Храмцова</t>
  </si>
  <si>
    <t>Адрес многоквартирного дома : г.Калуга ул.Труда д.5а корп.2</t>
  </si>
  <si>
    <t>Общая площадь многоквартирного дома:879,4 кв.м</t>
  </si>
  <si>
    <t>а)жилых помещений :784,9кв.м</t>
  </si>
  <si>
    <t>б) нежилых помещений: 94,5кв.м</t>
  </si>
  <si>
    <t>и нанимателей и по-</t>
  </si>
  <si>
    <t>мещений на 01.01.2018г.</t>
  </si>
  <si>
    <t xml:space="preserve">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</si>
  <si>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на основании принятого решения собственниками помещений</t>
  </si>
  <si>
    <t xml:space="preserve"> на единицу измерения(на 1кв.м.общей</t>
  </si>
  <si>
    <t>площади помещений в многоквартирном</t>
  </si>
  <si>
    <t>ремонт ступеней и лестничныз клеток</t>
  </si>
  <si>
    <t>Адрес многоквартирного дома : г.Калуга ул.Труда д.6/1</t>
  </si>
  <si>
    <t>Общая площадь многоквартирного дома:4814,7кв.м</t>
  </si>
  <si>
    <t>а)жилых помещений:4814,7кв.м</t>
  </si>
  <si>
    <t xml:space="preserve">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</si>
  <si>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на основании принятого решения собственниками помещений</t>
  </si>
  <si>
    <t>поверка теплосчетчика ТС ТМК-Н120-100/100</t>
  </si>
  <si>
    <t>Директор ООО "ЖРЭУ-6"                     О.И.Мамаева</t>
  </si>
  <si>
    <t>Инженер                                      Н.И.Ефремова                              Гл.бухгалтер                Н.И.Храмцова</t>
  </si>
  <si>
    <t>Адрес многоквартирного дома : г.Калуга ул.Труда д.9</t>
  </si>
  <si>
    <t>Общая площадь  многоквартирного дома:722,9кв.м</t>
  </si>
  <si>
    <t>а)жилых помещений : 722,9кв.м</t>
  </si>
  <si>
    <t xml:space="preserve"> на единицу измерения(на 1 кв.м. общей</t>
  </si>
  <si>
    <t>Директор ООО "ЖРЭУ-6"  О.И.Мамаева</t>
  </si>
  <si>
    <t>Инженер                         Н.И.Ефремова                                Гл.Бухгалтер                     Н.И.Храмцова</t>
  </si>
  <si>
    <t>Адрес многоквартирного дома : г.Калуга ул.Труда д.9а</t>
  </si>
  <si>
    <t>Общая площадь  многоквартирного дома:738,6 кв.м</t>
  </si>
  <si>
    <t>а)жилых помещений : 678,3кв.м</t>
  </si>
  <si>
    <t>б) нежилых помещений:60,6 кв.м</t>
  </si>
  <si>
    <t>помещений на</t>
  </si>
  <si>
    <t>площади</t>
  </si>
  <si>
    <t>01.01.2018 г.</t>
  </si>
  <si>
    <t>Содержание конструктивных  элементов</t>
  </si>
  <si>
    <t>10.05.2017</t>
  </si>
  <si>
    <t>ремонт подпорной стены,изготовление и монтаж метал.люка</t>
  </si>
  <si>
    <t>Инженер                                 Н.И.Ефремова</t>
  </si>
  <si>
    <t>Гл.Бухгалтер                      Н.И.Храмцова</t>
  </si>
  <si>
    <t>Адрес многоквартирного дома : г.Калуга ул.Труда д.10</t>
  </si>
  <si>
    <t>Общая площадь многоквартирного дома:3165,2 кв.м</t>
  </si>
  <si>
    <t>а)жилых помещений: 3165,2кв.м</t>
  </si>
  <si>
    <t>на 01.01.2018г. руб.</t>
  </si>
  <si>
    <t>ремонт ИПУ и их опломбировка кв.24,28,29,31,55-58,</t>
  </si>
  <si>
    <t>60,61,63-66,68-70</t>
  </si>
  <si>
    <t>ремонт кровли кв.17</t>
  </si>
  <si>
    <t>Директор  ООО"ЖРЭУ-6"                  О.И.Мамаева                    Инженер                              Н.И.Ефремова                                 Гл.бухгалтер              Н.И.Храмцова</t>
  </si>
  <si>
    <t>Адрес многоквартирного дома : г.Калуга ул.Труда д.11</t>
  </si>
  <si>
    <t>Общая площадь дома :446,2 кв.м</t>
  </si>
  <si>
    <t>а)жилых помещений: 446,2кв.м</t>
  </si>
  <si>
    <t>в т.ч водоотведение</t>
  </si>
  <si>
    <t xml:space="preserve"> 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</si>
  <si>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на основании принятого решения собственниками помещений</t>
  </si>
  <si>
    <t xml:space="preserve"> (на 1кв.метр общей площади помещений в  </t>
  </si>
  <si>
    <t>ремонт кровли кв.4</t>
  </si>
  <si>
    <t>Гл.бухгалтер              Н.И.Храмцова</t>
  </si>
  <si>
    <t>Адрес многоквартирного дома : г.Калуга ул.Труда д.14/2</t>
  </si>
  <si>
    <t>Общая площадь   многоквартирного дома:2756,7кв.м</t>
  </si>
  <si>
    <t>а)жилых помещений 2675,2кв.м</t>
  </si>
  <si>
    <t>б) нежилых помещений:81,5 кв.м</t>
  </si>
  <si>
    <t>01.01.2017г</t>
  </si>
  <si>
    <t xml:space="preserve">                                                            3.Отчет о фактически выполненных работах по ремонту общего имущества в многоквартирном доме  </t>
  </si>
  <si>
    <t xml:space="preserve">                                                                                                  на основании принятого решения собственниками помещений</t>
  </si>
  <si>
    <t>замена задвижки и крана п/сальник.на системе гвс в подвале</t>
  </si>
  <si>
    <t>замена задвижки на системе хвс</t>
  </si>
  <si>
    <t>июнь</t>
  </si>
  <si>
    <t>Инженер                             Н.И.Ефремова                               Гл.бухгалтер                      Н.И.Храмцова</t>
  </si>
  <si>
    <t>Адрес многоквартирного дома : г.Калуга ул.Труда д.16</t>
  </si>
  <si>
    <t>Общая площадь многоквартирного дома:3329,1 кв.м</t>
  </si>
  <si>
    <t>а)жилых помещений: 3329,1кв.м</t>
  </si>
  <si>
    <t>зачет с капремонта ПОССП от 16.08.2017г.</t>
  </si>
  <si>
    <t>зачет с текущего ремонта ПОСС от 16.08.2017г.</t>
  </si>
  <si>
    <t xml:space="preserve">                                                                                                 на основании принятого решения собственниками помещений</t>
  </si>
  <si>
    <t>ремонт кровли над подъездом №4</t>
  </si>
  <si>
    <t>замена задвижки на системе гвс в подвале</t>
  </si>
  <si>
    <t>заключение о техсостоянии фасада,отмостки</t>
  </si>
  <si>
    <t xml:space="preserve">                                                         </t>
  </si>
  <si>
    <t>Директор ООО "ЖРЭУ-6"      О.И.Мамаева</t>
  </si>
  <si>
    <t xml:space="preserve"> Инженер                            Н.И.Ефремова                                              Гл.бухгалтер                      Н.И.Храмцова</t>
  </si>
  <si>
    <t>Адрес многоквартирного дома : г.Калуга ул.Труда д.18/1</t>
  </si>
  <si>
    <t>Общая площадь   многоквартирного дома:2770,8кв.м</t>
  </si>
  <si>
    <t>а)жилых помещений : 2688,3кв.м</t>
  </si>
  <si>
    <t>б) нежилых помещений:82,5 кв.м</t>
  </si>
  <si>
    <t xml:space="preserve">Капитальный ремонт общего имущества : </t>
  </si>
  <si>
    <t>17,26/17,29</t>
  </si>
  <si>
    <t xml:space="preserve">                                                                                                     на основании принятого решения собственниками помещений</t>
  </si>
  <si>
    <t>замена труб канализации кв.38,42,1-й этаж</t>
  </si>
  <si>
    <t>замена фанового стояка в кв.34</t>
  </si>
  <si>
    <t xml:space="preserve"> Инженер                                    Н.И.Ефремова                               Гл.Бухгалтер                                Н.И.Храмцова</t>
  </si>
  <si>
    <t>Адрес многоквартирного дома : г.Калуга ул.Труда д.22</t>
  </si>
  <si>
    <t>Общая площадь многоквартирного дома:2841кв.м</t>
  </si>
  <si>
    <t>а)жилых помещений : 2841кв.м</t>
  </si>
  <si>
    <t xml:space="preserve"> измерения(на 1кв.метр общей площади помещений</t>
  </si>
  <si>
    <t>замена участка ливневой канализации в подвале дома</t>
  </si>
  <si>
    <t>заключение о техническом состоянии о объекта капстроительства</t>
  </si>
  <si>
    <t>замена канализационных труб в техподполье дома</t>
  </si>
  <si>
    <t>установка ПУТЭ</t>
  </si>
  <si>
    <t>Адрес многоквартирного дома : г.Калуга ул.Труда д.24</t>
  </si>
  <si>
    <t>Общая площадь   многоквартирного дома:4268,2кв.м</t>
  </si>
  <si>
    <t>а)жилых помещений :4268,2кв.м</t>
  </si>
  <si>
    <t>Текущий ремонт имущества</t>
  </si>
  <si>
    <t>Капитальный ремонт общего имущества :</t>
  </si>
  <si>
    <t>установка узла учета тепловой энергии в доме</t>
  </si>
  <si>
    <t>ремонт межпанельных швов кв.66</t>
  </si>
  <si>
    <t>Директор ООО "ЖРЭУ-6"        О.И.Мамаева</t>
  </si>
  <si>
    <t>Адрес многоквартирного дома : г.Калуга ул.Труда д.26</t>
  </si>
  <si>
    <t>Общая площадь многоквартирного дома:4230,3кв.м</t>
  </si>
  <si>
    <t>а)жилых помещений :4230,3кв.м</t>
  </si>
  <si>
    <t>Текущий ремонт общего  имущества</t>
  </si>
  <si>
    <t>26.04.2017г.</t>
  </si>
  <si>
    <t>гидропромывка системы канализацмм</t>
  </si>
  <si>
    <t>замена наружного светильника</t>
  </si>
  <si>
    <t>ремонт кровли над лоджией кв.88</t>
  </si>
  <si>
    <t xml:space="preserve">май </t>
  </si>
  <si>
    <t>Н.И.Ефремова                     Гл.Бухгалтер</t>
  </si>
  <si>
    <t xml:space="preserve">          Н.И.Храмцова</t>
  </si>
  <si>
    <t>Адрес многоквартирного дома : г.Калуга ул.Труда д.28</t>
  </si>
  <si>
    <t>Общая площадь  многоквартирного дома:6068,49 кв.м</t>
  </si>
  <si>
    <t>а)жилых помещений : 6068,49кв.м</t>
  </si>
  <si>
    <t>на 01.01.2018г..</t>
  </si>
  <si>
    <t>1,82/4,07</t>
  </si>
  <si>
    <t xml:space="preserve">Капитальный ремонт общего имущества:  </t>
  </si>
  <si>
    <t xml:space="preserve">Остаток на  </t>
  </si>
  <si>
    <t xml:space="preserve"> 01.01.2018г.</t>
  </si>
  <si>
    <t xml:space="preserve">единицу измерения(на 1кв.метр общей  </t>
  </si>
  <si>
    <t xml:space="preserve">площади помещения  в многоквартирном  </t>
  </si>
  <si>
    <t>доме)</t>
  </si>
  <si>
    <t xml:space="preserve"> замен труб и вентилей на гвс по стояку кв.№4</t>
  </si>
  <si>
    <t xml:space="preserve"> гидропромывка системы канализации</t>
  </si>
  <si>
    <t xml:space="preserve"> ремонт входов в техподполье</t>
  </si>
  <si>
    <t xml:space="preserve"> работы по содержанию и уборке зеленых насаждений</t>
  </si>
  <si>
    <t xml:space="preserve"> ремонт входов в подъезды</t>
  </si>
  <si>
    <t xml:space="preserve"> ремонт межпанельных швов подъезд№1 л.клетка</t>
  </si>
  <si>
    <t>замена участка труб стояка и магистрали ГВС в подъезде №1</t>
  </si>
  <si>
    <t>1,8</t>
  </si>
  <si>
    <t>изоляция труб системы цо</t>
  </si>
  <si>
    <t>замене вентилей на гвс</t>
  </si>
  <si>
    <t>ремонт швов кв.30-34</t>
  </si>
  <si>
    <t xml:space="preserve">       Гл.Бухгалтер</t>
  </si>
  <si>
    <t xml:space="preserve">        Н.И.Храмцова</t>
  </si>
  <si>
    <t>Адрес многоквартирного дома : г.Калуга ул.Труда д.30</t>
  </si>
  <si>
    <t>Общая площадь многоквартирного дома:8402,кв.м</t>
  </si>
  <si>
    <t>а)жилых помещений :8402 кв.м</t>
  </si>
  <si>
    <t>перенос на капремонт Протокол ОСС от 16.08.2017г.</t>
  </si>
  <si>
    <t>установка клапана балансировочного на систему отопления</t>
  </si>
  <si>
    <t>ремонт межпанельных швов кв.116</t>
  </si>
  <si>
    <t>замена участка труб гвс по стояку кв.29</t>
  </si>
  <si>
    <t>ремонт кровли над лоджиями кв.34,35</t>
  </si>
  <si>
    <t>замена стояка ГВС по кухням кв.4,8,12,16,20,24,28,32,36</t>
  </si>
  <si>
    <t>замена запорной арматуры</t>
  </si>
  <si>
    <t>Адрес многоквартирного дома : г.Калуга ул.Труда д.32</t>
  </si>
  <si>
    <t>Общая площадь   многоквартирного дома:7658,1 кв.м</t>
  </si>
  <si>
    <t>а)жилых помещений : 7658,1кв.м</t>
  </si>
  <si>
    <t xml:space="preserve">                                                                                                             2.Отчет по затратам на содержание, ремонт</t>
  </si>
  <si>
    <t xml:space="preserve"> 01.01.2017г.</t>
  </si>
  <si>
    <t>Капитальный ремонт общего имущества  итого</t>
  </si>
  <si>
    <t xml:space="preserve">в т.ч.водоотведение  </t>
  </si>
  <si>
    <t>услуги автовышки- снос сухого дерева</t>
  </si>
  <si>
    <t>монтаж леерного ограждения</t>
  </si>
  <si>
    <t>ремонт межпанельных швов кв.55,84</t>
  </si>
  <si>
    <t>Адрес многоквартирного дома : г.Калуга ул.Чичерина д.28</t>
  </si>
  <si>
    <t>Общая площадь   многоквартирного дома:579,7 кв.м</t>
  </si>
  <si>
    <t>а)жилых помещений : 579,7кв.м</t>
  </si>
  <si>
    <t xml:space="preserve">                                                               </t>
  </si>
  <si>
    <t>2.Отчет по затратам на содержание и ремонт</t>
  </si>
  <si>
    <t>Содержание общего имущества,в т.ч:</t>
  </si>
  <si>
    <t xml:space="preserve">населением  </t>
  </si>
  <si>
    <t xml:space="preserve">                                                                                             на основании принятого решения собственниками помещений</t>
  </si>
  <si>
    <t xml:space="preserve">Директор ООО "ЖРЭУ-6"                   О.И.Мамаева         </t>
  </si>
  <si>
    <t>Инженер                    Н.И.Ефремова                               Гл.Бухгалтер                     Н.И.Храмцова</t>
  </si>
  <si>
    <t>Общая площадь многоквартирного дома:561,5кв.м</t>
  </si>
  <si>
    <t>а)жилых помещений (общая площадь квартир):561,5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</si>
</sst>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&quot;р.&quot;_-;\-* #,##0.00&quot;р.&quot;_-;_-* &quot;-&quot;??&quot;р.&quot;_-;_-@_-"/>
    <numFmt numFmtId="165" formatCode="0.00000"/>
    <numFmt numFmtId="166" formatCode="0.0000"/>
    <numFmt numFmtId="167" formatCode="0.0"/>
    <numFmt numFmtId="168" formatCode="0.000000"/>
    <numFmt numFmtId="169" formatCode="#,##0.00_р_."/>
    <numFmt numFmtId="170" formatCode="#,##0.00000"/>
    <numFmt numFmtId="171" formatCode="#,##0.00&quot;р.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9"/>
      <color theme="1"/>
      <name val="Calibri"/>
      <family val="2"/>
      <scheme val="minor"/>
    </font>
    <font>
      <b/>
      <u/>
      <sz val="8"/>
      <name val="Arial Cyr"/>
      <charset val="204"/>
    </font>
    <font>
      <b/>
      <i/>
      <sz val="8"/>
      <name val="Arial Cyr"/>
      <charset val="204"/>
    </font>
    <font>
      <u/>
      <sz val="8"/>
      <name val="Arial Cyr"/>
      <charset val="204"/>
    </font>
    <font>
      <b/>
      <sz val="11"/>
      <color theme="1"/>
      <name val="Calibri"/>
      <family val="2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164" fontId="3" fillId="0" borderId="0" xfId="2" applyFont="1"/>
    <xf numFmtId="0" fontId="2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2" fillId="0" borderId="4" xfId="1" applyFont="1" applyBorder="1"/>
    <xf numFmtId="0" fontId="2" fillId="0" borderId="6" xfId="1" applyFont="1" applyBorder="1"/>
    <xf numFmtId="2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2" fontId="2" fillId="0" borderId="9" xfId="1" applyNumberFormat="1" applyFont="1" applyBorder="1"/>
    <xf numFmtId="2" fontId="2" fillId="0" borderId="6" xfId="1" applyNumberFormat="1" applyFont="1" applyBorder="1"/>
    <xf numFmtId="0" fontId="2" fillId="0" borderId="2" xfId="1" applyFont="1" applyBorder="1"/>
    <xf numFmtId="2" fontId="2" fillId="0" borderId="10" xfId="1" applyNumberFormat="1" applyFont="1" applyBorder="1"/>
    <xf numFmtId="2" fontId="2" fillId="0" borderId="0" xfId="1" applyNumberFormat="1" applyFont="1" applyBorder="1"/>
    <xf numFmtId="2" fontId="2" fillId="0" borderId="11" xfId="1" applyNumberFormat="1" applyFont="1" applyBorder="1"/>
    <xf numFmtId="2" fontId="3" fillId="0" borderId="2" xfId="1" applyNumberFormat="1" applyFont="1" applyBorder="1"/>
    <xf numFmtId="2" fontId="3" fillId="0" borderId="10" xfId="1" applyNumberFormat="1" applyFont="1" applyBorder="1"/>
    <xf numFmtId="49" fontId="3" fillId="0" borderId="1" xfId="1" applyNumberFormat="1" applyFont="1" applyBorder="1"/>
    <xf numFmtId="0" fontId="2" fillId="0" borderId="1" xfId="1" applyFont="1" applyBorder="1"/>
    <xf numFmtId="2" fontId="2" fillId="0" borderId="12" xfId="1" applyNumberFormat="1" applyFont="1" applyBorder="1"/>
    <xf numFmtId="2" fontId="2" fillId="0" borderId="13" xfId="1" applyNumberFormat="1" applyFont="1" applyBorder="1"/>
    <xf numFmtId="2" fontId="2" fillId="0" borderId="14" xfId="1" applyNumberFormat="1" applyFont="1" applyBorder="1"/>
    <xf numFmtId="2" fontId="3" fillId="0" borderId="4" xfId="1" applyNumberFormat="1" applyFont="1" applyBorder="1"/>
    <xf numFmtId="2" fontId="3" fillId="0" borderId="12" xfId="1" applyNumberFormat="1" applyFont="1" applyBorder="1"/>
    <xf numFmtId="49" fontId="2" fillId="0" borderId="1" xfId="1" applyNumberFormat="1" applyFont="1" applyBorder="1"/>
    <xf numFmtId="2" fontId="2" fillId="0" borderId="15" xfId="1" applyNumberFormat="1" applyFont="1" applyBorder="1"/>
    <xf numFmtId="2" fontId="2" fillId="0" borderId="5" xfId="1" applyNumberFormat="1" applyFont="1" applyBorder="1"/>
    <xf numFmtId="2" fontId="2" fillId="0" borderId="3" xfId="1" applyNumberFormat="1" applyFont="1" applyBorder="1"/>
    <xf numFmtId="2" fontId="3" fillId="0" borderId="15" xfId="1" applyNumberFormat="1" applyFont="1" applyBorder="1"/>
    <xf numFmtId="49" fontId="3" fillId="0" borderId="4" xfId="1" applyNumberFormat="1" applyFont="1" applyBorder="1"/>
    <xf numFmtId="2" fontId="3" fillId="0" borderId="0" xfId="1" applyNumberFormat="1" applyFont="1" applyBorder="1"/>
    <xf numFmtId="2" fontId="3" fillId="0" borderId="11" xfId="1" applyNumberFormat="1" applyFont="1" applyBorder="1"/>
    <xf numFmtId="2" fontId="3" fillId="0" borderId="5" xfId="1" applyNumberFormat="1" applyFont="1" applyBorder="1"/>
    <xf numFmtId="2" fontId="3" fillId="0" borderId="3" xfId="1" applyNumberFormat="1" applyFont="1" applyBorder="1"/>
    <xf numFmtId="0" fontId="2" fillId="0" borderId="5" xfId="1" applyFont="1" applyBorder="1"/>
    <xf numFmtId="0" fontId="2" fillId="0" borderId="3" xfId="1" applyFont="1" applyBorder="1"/>
    <xf numFmtId="2" fontId="2" fillId="0" borderId="4" xfId="1" applyNumberFormat="1" applyFont="1" applyBorder="1"/>
    <xf numFmtId="2" fontId="2" fillId="0" borderId="2" xfId="1" applyNumberFormat="1" applyFont="1" applyBorder="1"/>
    <xf numFmtId="2" fontId="2" fillId="0" borderId="1" xfId="1" applyNumberFormat="1" applyFont="1" applyBorder="1"/>
    <xf numFmtId="0" fontId="2" fillId="0" borderId="15" xfId="1" applyFont="1" applyBorder="1"/>
    <xf numFmtId="0" fontId="4" fillId="0" borderId="0" xfId="1" applyFont="1"/>
    <xf numFmtId="0" fontId="3" fillId="0" borderId="14" xfId="1" applyFont="1" applyBorder="1"/>
    <xf numFmtId="0" fontId="3" fillId="0" borderId="12" xfId="1" applyFont="1" applyBorder="1"/>
    <xf numFmtId="0" fontId="3" fillId="0" borderId="15" xfId="1" applyFont="1" applyBorder="1"/>
    <xf numFmtId="0" fontId="3" fillId="0" borderId="11" xfId="1" applyFont="1" applyBorder="1"/>
    <xf numFmtId="0" fontId="3" fillId="0" borderId="9" xfId="1" applyFont="1" applyBorder="1"/>
    <xf numFmtId="0" fontId="3" fillId="0" borderId="7" xfId="1" applyFont="1" applyBorder="1"/>
    <xf numFmtId="2" fontId="3" fillId="0" borderId="6" xfId="1" applyNumberFormat="1" applyFont="1" applyBorder="1"/>
    <xf numFmtId="2" fontId="3" fillId="0" borderId="9" xfId="1" applyNumberFormat="1" applyFont="1" applyBorder="1"/>
    <xf numFmtId="0" fontId="4" fillId="0" borderId="0" xfId="1" applyFont="1" applyBorder="1"/>
    <xf numFmtId="0" fontId="2" fillId="0" borderId="14" xfId="1" applyFont="1" applyBorder="1"/>
    <xf numFmtId="0" fontId="3" fillId="0" borderId="13" xfId="1" applyFont="1" applyBorder="1"/>
    <xf numFmtId="0" fontId="2" fillId="0" borderId="11" xfId="1" applyFont="1" applyBorder="1"/>
    <xf numFmtId="0" fontId="3" fillId="0" borderId="0" xfId="1" applyFont="1" applyBorder="1"/>
    <xf numFmtId="0" fontId="3" fillId="0" borderId="10" xfId="1" applyFont="1" applyBorder="1"/>
    <xf numFmtId="0" fontId="3" fillId="0" borderId="6" xfId="1" applyFont="1" applyBorder="1"/>
    <xf numFmtId="0" fontId="3" fillId="0" borderId="10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1" xfId="1" applyFont="1" applyFill="1" applyBorder="1"/>
    <xf numFmtId="0" fontId="2" fillId="0" borderId="13" xfId="1" applyFont="1" applyBorder="1"/>
    <xf numFmtId="49" fontId="3" fillId="0" borderId="2" xfId="1" applyNumberFormat="1" applyFont="1" applyBorder="1"/>
    <xf numFmtId="14" fontId="3" fillId="0" borderId="2" xfId="1" applyNumberFormat="1" applyFont="1" applyBorder="1"/>
    <xf numFmtId="0" fontId="2" fillId="0" borderId="10" xfId="1" applyFont="1" applyBorder="1"/>
    <xf numFmtId="0" fontId="2" fillId="0" borderId="12" xfId="1" applyFont="1" applyBorder="1"/>
    <xf numFmtId="49" fontId="3" fillId="0" borderId="6" xfId="1" applyNumberFormat="1" applyFont="1" applyBorder="1"/>
    <xf numFmtId="0" fontId="3" fillId="0" borderId="8" xfId="1" applyFont="1" applyBorder="1"/>
    <xf numFmtId="2" fontId="3" fillId="0" borderId="1" xfId="1" applyNumberFormat="1" applyFont="1" applyBorder="1"/>
    <xf numFmtId="49" fontId="3" fillId="0" borderId="3" xfId="1" applyNumberFormat="1" applyFont="1" applyBorder="1"/>
    <xf numFmtId="49" fontId="3" fillId="0" borderId="9" xfId="1" applyNumberFormat="1" applyFont="1" applyBorder="1"/>
    <xf numFmtId="2" fontId="2" fillId="0" borderId="8" xfId="1" applyNumberFormat="1" applyFont="1" applyBorder="1"/>
    <xf numFmtId="2" fontId="3" fillId="0" borderId="8" xfId="1" applyNumberFormat="1" applyFont="1" applyBorder="1"/>
    <xf numFmtId="2" fontId="3" fillId="0" borderId="7" xfId="1" applyNumberFormat="1" applyFont="1" applyBorder="1"/>
    <xf numFmtId="0" fontId="3" fillId="0" borderId="6" xfId="1" applyFont="1" applyBorder="1" applyAlignment="1">
      <alignment horizontal="center"/>
    </xf>
    <xf numFmtId="0" fontId="2" fillId="0" borderId="2" xfId="1" applyFont="1" applyFill="1" applyBorder="1"/>
    <xf numFmtId="14" fontId="3" fillId="0" borderId="11" xfId="1" applyNumberFormat="1" applyFont="1" applyBorder="1"/>
    <xf numFmtId="49" fontId="3" fillId="0" borderId="11" xfId="1" applyNumberFormat="1" applyFont="1" applyBorder="1"/>
    <xf numFmtId="0" fontId="2" fillId="0" borderId="7" xfId="1" applyFont="1" applyBorder="1"/>
    <xf numFmtId="2" fontId="3" fillId="0" borderId="13" xfId="1" applyNumberFormat="1" applyFont="1" applyBorder="1"/>
    <xf numFmtId="14" fontId="3" fillId="0" borderId="6" xfId="1" applyNumberFormat="1" applyFont="1" applyBorder="1"/>
    <xf numFmtId="2" fontId="2" fillId="0" borderId="2" xfId="1" applyNumberFormat="1" applyFont="1" applyFill="1" applyBorder="1"/>
    <xf numFmtId="49" fontId="3" fillId="0" borderId="10" xfId="1" applyNumberFormat="1" applyFont="1" applyBorder="1"/>
    <xf numFmtId="49" fontId="2" fillId="0" borderId="12" xfId="1" applyNumberFormat="1" applyFont="1" applyBorder="1"/>
    <xf numFmtId="49" fontId="3" fillId="0" borderId="12" xfId="1" applyNumberFormat="1" applyFont="1" applyBorder="1"/>
    <xf numFmtId="165" fontId="3" fillId="0" borderId="1" xfId="1" applyNumberFormat="1" applyFont="1" applyBorder="1"/>
    <xf numFmtId="9" fontId="3" fillId="0" borderId="4" xfId="1" applyNumberFormat="1" applyFont="1" applyBorder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12" xfId="1" applyFont="1" applyFill="1" applyBorder="1"/>
    <xf numFmtId="14" fontId="3" fillId="0" borderId="1" xfId="1" applyNumberFormat="1" applyFont="1" applyBorder="1"/>
    <xf numFmtId="16" fontId="3" fillId="0" borderId="10" xfId="1" applyNumberFormat="1" applyFont="1" applyBorder="1"/>
    <xf numFmtId="49" fontId="3" fillId="0" borderId="7" xfId="1" applyNumberFormat="1" applyFont="1" applyBorder="1"/>
    <xf numFmtId="164" fontId="2" fillId="0" borderId="0" xfId="2" applyFont="1"/>
    <xf numFmtId="49" fontId="2" fillId="0" borderId="4" xfId="1" applyNumberFormat="1" applyFont="1" applyBorder="1"/>
    <xf numFmtId="2" fontId="3" fillId="0" borderId="0" xfId="1" applyNumberFormat="1" applyFont="1"/>
    <xf numFmtId="49" fontId="3" fillId="0" borderId="0" xfId="1" applyNumberFormat="1" applyFont="1" applyBorder="1"/>
    <xf numFmtId="49" fontId="2" fillId="0" borderId="2" xfId="1" applyNumberFormat="1" applyFont="1" applyBorder="1"/>
    <xf numFmtId="2" fontId="3" fillId="0" borderId="14" xfId="1" applyNumberFormat="1" applyFont="1" applyBorder="1"/>
    <xf numFmtId="165" fontId="3" fillId="0" borderId="13" xfId="1" applyNumberFormat="1" applyFont="1" applyBorder="1"/>
    <xf numFmtId="2" fontId="1" fillId="0" borderId="0" xfId="1" applyNumberFormat="1"/>
    <xf numFmtId="4" fontId="2" fillId="0" borderId="6" xfId="1" applyNumberFormat="1" applyFont="1" applyBorder="1"/>
    <xf numFmtId="4" fontId="2" fillId="0" borderId="14" xfId="1" applyNumberFormat="1" applyFont="1" applyBorder="1"/>
    <xf numFmtId="4" fontId="3" fillId="0" borderId="14" xfId="1" applyNumberFormat="1" applyFont="1" applyBorder="1"/>
    <xf numFmtId="0" fontId="1" fillId="0" borderId="6" xfId="1" applyBorder="1"/>
    <xf numFmtId="0" fontId="3" fillId="0" borderId="0" xfId="1" applyFont="1" applyBorder="1" applyAlignment="1">
      <alignment horizontal="center"/>
    </xf>
    <xf numFmtId="14" fontId="3" fillId="0" borderId="10" xfId="1" applyNumberFormat="1" applyFont="1" applyBorder="1"/>
    <xf numFmtId="0" fontId="3" fillId="0" borderId="0" xfId="1" applyFont="1" applyFill="1" applyBorder="1"/>
    <xf numFmtId="165" fontId="3" fillId="0" borderId="4" xfId="1" applyNumberFormat="1" applyFont="1" applyBorder="1"/>
    <xf numFmtId="166" fontId="3" fillId="0" borderId="13" xfId="1" applyNumberFormat="1" applyFont="1" applyBorder="1"/>
    <xf numFmtId="2" fontId="2" fillId="0" borderId="0" xfId="1" applyNumberFormat="1" applyFont="1"/>
    <xf numFmtId="0" fontId="1" fillId="0" borderId="0" xfId="1" applyBorder="1"/>
    <xf numFmtId="165" fontId="3" fillId="0" borderId="5" xfId="1" applyNumberFormat="1" applyFont="1" applyBorder="1"/>
    <xf numFmtId="49" fontId="3" fillId="0" borderId="2" xfId="1" applyNumberFormat="1" applyFont="1" applyFill="1" applyBorder="1"/>
    <xf numFmtId="4" fontId="2" fillId="0" borderId="4" xfId="1" applyNumberFormat="1" applyFont="1" applyBorder="1"/>
    <xf numFmtId="0" fontId="3" fillId="0" borderId="13" xfId="1" applyFont="1" applyBorder="1" applyAlignment="1">
      <alignment horizontal="center"/>
    </xf>
    <xf numFmtId="49" fontId="3" fillId="0" borderId="0" xfId="1" applyNumberFormat="1" applyFont="1"/>
    <xf numFmtId="49" fontId="3" fillId="0" borderId="15" xfId="1" applyNumberFormat="1" applyFont="1" applyBorder="1"/>
    <xf numFmtId="4" fontId="3" fillId="0" borderId="0" xfId="1" applyNumberFormat="1" applyFont="1" applyBorder="1"/>
    <xf numFmtId="0" fontId="1" fillId="0" borderId="1" xfId="1" applyBorder="1"/>
    <xf numFmtId="4" fontId="2" fillId="0" borderId="2" xfId="1" applyNumberFormat="1" applyFont="1" applyBorder="1"/>
    <xf numFmtId="4" fontId="3" fillId="0" borderId="2" xfId="1" applyNumberFormat="1" applyFont="1" applyBorder="1"/>
    <xf numFmtId="4" fontId="2" fillId="0" borderId="1" xfId="1" applyNumberFormat="1" applyFont="1" applyBorder="1"/>
    <xf numFmtId="4" fontId="3" fillId="0" borderId="1" xfId="1" applyNumberFormat="1" applyFont="1" applyBorder="1"/>
    <xf numFmtId="4" fontId="2" fillId="0" borderId="13" xfId="1" applyNumberFormat="1" applyFont="1" applyBorder="1"/>
    <xf numFmtId="4" fontId="3" fillId="0" borderId="4" xfId="1" applyNumberFormat="1" applyFont="1" applyBorder="1"/>
    <xf numFmtId="0" fontId="1" fillId="0" borderId="4" xfId="1" applyBorder="1"/>
    <xf numFmtId="4" fontId="3" fillId="0" borderId="0" xfId="1" applyNumberFormat="1" applyFont="1"/>
    <xf numFmtId="4" fontId="2" fillId="0" borderId="5" xfId="1" applyNumberFormat="1" applyFont="1" applyBorder="1"/>
    <xf numFmtId="4" fontId="2" fillId="0" borderId="8" xfId="1" applyNumberFormat="1" applyFont="1" applyBorder="1"/>
    <xf numFmtId="0" fontId="1" fillId="0" borderId="3" xfId="1" applyBorder="1"/>
    <xf numFmtId="0" fontId="1" fillId="0" borderId="5" xfId="1" applyBorder="1"/>
    <xf numFmtId="14" fontId="2" fillId="0" borderId="0" xfId="1" applyNumberFormat="1" applyFont="1" applyBorder="1"/>
    <xf numFmtId="14" fontId="2" fillId="0" borderId="2" xfId="1" applyNumberFormat="1" applyFont="1" applyBorder="1"/>
    <xf numFmtId="4" fontId="3" fillId="0" borderId="6" xfId="1" applyNumberFormat="1" applyFont="1" applyBorder="1"/>
    <xf numFmtId="4" fontId="3" fillId="0" borderId="3" xfId="1" applyNumberFormat="1" applyFont="1" applyBorder="1"/>
    <xf numFmtId="0" fontId="5" fillId="0" borderId="0" xfId="1" applyFont="1"/>
    <xf numFmtId="0" fontId="6" fillId="0" borderId="0" xfId="1" applyFont="1"/>
    <xf numFmtId="0" fontId="5" fillId="0" borderId="0" xfId="1" applyFont="1" applyBorder="1"/>
    <xf numFmtId="0" fontId="6" fillId="0" borderId="1" xfId="1" applyFont="1" applyBorder="1"/>
    <xf numFmtId="0" fontId="6" fillId="0" borderId="13" xfId="1" applyFont="1" applyBorder="1"/>
    <xf numFmtId="0" fontId="6" fillId="0" borderId="4" xfId="1" applyFont="1" applyBorder="1"/>
    <xf numFmtId="0" fontId="6" fillId="0" borderId="2" xfId="1" applyFont="1" applyBorder="1"/>
    <xf numFmtId="0" fontId="6" fillId="0" borderId="0" xfId="1" applyFont="1" applyBorder="1"/>
    <xf numFmtId="0" fontId="6" fillId="0" borderId="14" xfId="1" applyFont="1" applyBorder="1"/>
    <xf numFmtId="0" fontId="6" fillId="0" borderId="11" xfId="1" applyFont="1" applyBorder="1"/>
    <xf numFmtId="0" fontId="6" fillId="0" borderId="5" xfId="1" applyFont="1" applyBorder="1"/>
    <xf numFmtId="0" fontId="6" fillId="0" borderId="3" xfId="1" applyFont="1" applyBorder="1"/>
    <xf numFmtId="0" fontId="5" fillId="0" borderId="11" xfId="1" applyFont="1" applyBorder="1"/>
    <xf numFmtId="0" fontId="5" fillId="0" borderId="2" xfId="1" applyFont="1" applyBorder="1"/>
    <xf numFmtId="49" fontId="6" fillId="0" borderId="4" xfId="1" applyNumberFormat="1" applyFont="1" applyBorder="1"/>
    <xf numFmtId="0" fontId="5" fillId="0" borderId="5" xfId="1" applyFont="1" applyBorder="1"/>
    <xf numFmtId="0" fontId="5" fillId="0" borderId="3" xfId="1" applyFont="1" applyBorder="1"/>
    <xf numFmtId="2" fontId="6" fillId="0" borderId="4" xfId="1" applyNumberFormat="1" applyFont="1" applyBorder="1"/>
    <xf numFmtId="0" fontId="5" fillId="0" borderId="4" xfId="1" applyFont="1" applyBorder="1"/>
    <xf numFmtId="49" fontId="6" fillId="0" borderId="1" xfId="1" applyNumberFormat="1" applyFont="1" applyBorder="1"/>
    <xf numFmtId="0" fontId="5" fillId="0" borderId="13" xfId="1" applyFont="1" applyBorder="1"/>
    <xf numFmtId="0" fontId="5" fillId="0" borderId="14" xfId="1" applyFont="1" applyBorder="1"/>
    <xf numFmtId="2" fontId="6" fillId="0" borderId="1" xfId="1" applyNumberFormat="1" applyFont="1" applyBorder="1"/>
    <xf numFmtId="0" fontId="5" fillId="0" borderId="1" xfId="1" applyFont="1" applyBorder="1"/>
    <xf numFmtId="0" fontId="6" fillId="0" borderId="6" xfId="1" applyFont="1" applyBorder="1"/>
    <xf numFmtId="0" fontId="5" fillId="0" borderId="8" xfId="1" applyFont="1" applyBorder="1"/>
    <xf numFmtId="0" fontId="5" fillId="0" borderId="9" xfId="1" applyFont="1" applyBorder="1"/>
    <xf numFmtId="0" fontId="5" fillId="0" borderId="6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2" xfId="1" applyFont="1" applyBorder="1"/>
    <xf numFmtId="0" fontId="6" fillId="0" borderId="10" xfId="1" applyFont="1" applyBorder="1"/>
    <xf numFmtId="0" fontId="6" fillId="0" borderId="7" xfId="1" applyFont="1" applyBorder="1"/>
    <xf numFmtId="2" fontId="4" fillId="0" borderId="0" xfId="1" applyNumberFormat="1" applyFont="1"/>
    <xf numFmtId="4" fontId="2" fillId="0" borderId="0" xfId="1" applyNumberFormat="1" applyFont="1"/>
    <xf numFmtId="0" fontId="2" fillId="0" borderId="14" xfId="1" applyFont="1" applyFill="1" applyBorder="1"/>
    <xf numFmtId="4" fontId="3" fillId="0" borderId="8" xfId="1" applyNumberFormat="1" applyFont="1" applyBorder="1"/>
    <xf numFmtId="0" fontId="1" fillId="0" borderId="15" xfId="1" applyBorder="1"/>
    <xf numFmtId="0" fontId="1" fillId="0" borderId="2" xfId="1" applyBorder="1"/>
    <xf numFmtId="49" fontId="2" fillId="0" borderId="6" xfId="1" applyNumberFormat="1" applyFont="1" applyBorder="1"/>
    <xf numFmtId="4" fontId="3" fillId="0" borderId="7" xfId="1" applyNumberFormat="1" applyFont="1" applyBorder="1"/>
    <xf numFmtId="4" fontId="3" fillId="0" borderId="9" xfId="1" applyNumberFormat="1" applyFont="1" applyBorder="1"/>
    <xf numFmtId="2" fontId="7" fillId="0" borderId="2" xfId="1" applyNumberFormat="1" applyFont="1" applyBorder="1"/>
    <xf numFmtId="2" fontId="7" fillId="0" borderId="4" xfId="1" applyNumberFormat="1" applyFont="1" applyBorder="1"/>
    <xf numFmtId="0" fontId="2" fillId="0" borderId="11" xfId="1" applyFont="1" applyFill="1" applyBorder="1"/>
    <xf numFmtId="49" fontId="3" fillId="0" borderId="0" xfId="1" applyNumberFormat="1" applyFont="1" applyFill="1" applyBorder="1"/>
    <xf numFmtId="0" fontId="3" fillId="2" borderId="4" xfId="1" applyFont="1" applyFill="1" applyBorder="1"/>
    <xf numFmtId="2" fontId="3" fillId="2" borderId="6" xfId="1" applyNumberFormat="1" applyFont="1" applyFill="1" applyBorder="1"/>
    <xf numFmtId="2" fontId="3" fillId="2" borderId="0" xfId="1" applyNumberFormat="1" applyFont="1" applyFill="1" applyBorder="1"/>
    <xf numFmtId="0" fontId="1" fillId="0" borderId="7" xfId="1" applyBorder="1"/>
    <xf numFmtId="17" fontId="3" fillId="0" borderId="0" xfId="1" applyNumberFormat="1" applyFont="1" applyBorder="1"/>
    <xf numFmtId="4" fontId="2" fillId="0" borderId="0" xfId="1" applyNumberFormat="1" applyFont="1" applyBorder="1"/>
    <xf numFmtId="14" fontId="3" fillId="0" borderId="0" xfId="1" applyNumberFormat="1" applyFont="1" applyBorder="1"/>
    <xf numFmtId="167" fontId="2" fillId="0" borderId="0" xfId="1" applyNumberFormat="1" applyFont="1" applyBorder="1"/>
    <xf numFmtId="49" fontId="2" fillId="0" borderId="7" xfId="1" applyNumberFormat="1" applyFont="1" applyBorder="1"/>
    <xf numFmtId="168" fontId="3" fillId="0" borderId="13" xfId="1" applyNumberFormat="1" applyFont="1" applyBorder="1"/>
    <xf numFmtId="14" fontId="3" fillId="0" borderId="0" xfId="1" applyNumberFormat="1" applyFont="1"/>
    <xf numFmtId="0" fontId="1" fillId="0" borderId="10" xfId="1" applyBorder="1"/>
    <xf numFmtId="14" fontId="2" fillId="0" borderId="1" xfId="1" applyNumberFormat="1" applyFont="1" applyBorder="1"/>
    <xf numFmtId="169" fontId="3" fillId="0" borderId="0" xfId="1" applyNumberFormat="1" applyFont="1" applyBorder="1"/>
    <xf numFmtId="169" fontId="3" fillId="0" borderId="11" xfId="1" applyNumberFormat="1" applyFont="1" applyBorder="1"/>
    <xf numFmtId="169" fontId="3" fillId="0" borderId="2" xfId="1" applyNumberFormat="1" applyFont="1" applyBorder="1"/>
    <xf numFmtId="169" fontId="3" fillId="0" borderId="8" xfId="1" applyNumberFormat="1" applyFont="1" applyBorder="1"/>
    <xf numFmtId="169" fontId="3" fillId="0" borderId="6" xfId="1" applyNumberFormat="1" applyFont="1" applyBorder="1"/>
    <xf numFmtId="169" fontId="3" fillId="0" borderId="13" xfId="1" applyNumberFormat="1" applyFont="1" applyBorder="1"/>
    <xf numFmtId="169" fontId="3" fillId="0" borderId="3" xfId="1" applyNumberFormat="1" applyFont="1" applyBorder="1"/>
    <xf numFmtId="169" fontId="3" fillId="0" borderId="4" xfId="1" applyNumberFormat="1" applyFont="1" applyBorder="1"/>
    <xf numFmtId="169" fontId="3" fillId="0" borderId="5" xfId="1" applyNumberFormat="1" applyFont="1" applyBorder="1"/>
    <xf numFmtId="170" fontId="3" fillId="0" borderId="5" xfId="1" applyNumberFormat="1" applyFont="1" applyBorder="1"/>
    <xf numFmtId="169" fontId="2" fillId="0" borderId="3" xfId="1" applyNumberFormat="1" applyFont="1" applyBorder="1"/>
    <xf numFmtId="9" fontId="3" fillId="0" borderId="6" xfId="1" applyNumberFormat="1" applyFont="1" applyBorder="1"/>
    <xf numFmtId="0" fontId="3" fillId="0" borderId="3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" fontId="3" fillId="0" borderId="5" xfId="1" applyNumberFormat="1" applyFont="1" applyBorder="1"/>
    <xf numFmtId="0" fontId="8" fillId="0" borderId="4" xfId="1" applyFont="1" applyBorder="1"/>
    <xf numFmtId="16" fontId="3" fillId="0" borderId="2" xfId="1" applyNumberFormat="1" applyFont="1" applyBorder="1"/>
    <xf numFmtId="4" fontId="3" fillId="0" borderId="13" xfId="1" applyNumberFormat="1" applyFont="1" applyBorder="1"/>
    <xf numFmtId="0" fontId="3" fillId="0" borderId="4" xfId="1" applyFont="1" applyBorder="1" applyAlignment="1">
      <alignment horizontal="left" indent="1"/>
    </xf>
    <xf numFmtId="0" fontId="1" fillId="0" borderId="8" xfId="1" applyBorder="1"/>
    <xf numFmtId="0" fontId="1" fillId="0" borderId="9" xfId="1" applyBorder="1"/>
    <xf numFmtId="2" fontId="2" fillId="0" borderId="15" xfId="1" applyNumberFormat="1" applyFont="1" applyBorder="1" applyAlignment="1">
      <alignment horizontal="left"/>
    </xf>
    <xf numFmtId="17" fontId="3" fillId="0" borderId="2" xfId="1" applyNumberFormat="1" applyFont="1" applyBorder="1"/>
    <xf numFmtId="0" fontId="2" fillId="0" borderId="6" xfId="1" applyFont="1" applyFill="1" applyBorder="1"/>
    <xf numFmtId="14" fontId="2" fillId="0" borderId="13" xfId="1" applyNumberFormat="1" applyFont="1" applyBorder="1"/>
    <xf numFmtId="0" fontId="3" fillId="2" borderId="6" xfId="1" applyFont="1" applyFill="1" applyBorder="1"/>
    <xf numFmtId="0" fontId="3" fillId="2" borderId="7" xfId="1" applyFont="1" applyFill="1" applyBorder="1"/>
    <xf numFmtId="0" fontId="2" fillId="2" borderId="0" xfId="1" applyFont="1" applyFill="1"/>
    <xf numFmtId="0" fontId="4" fillId="0" borderId="3" xfId="1" applyFont="1" applyBorder="1"/>
    <xf numFmtId="49" fontId="9" fillId="0" borderId="6" xfId="1" applyNumberFormat="1" applyFont="1" applyBorder="1"/>
    <xf numFmtId="171" fontId="3" fillId="0" borderId="13" xfId="1" applyNumberFormat="1" applyFont="1" applyBorder="1"/>
    <xf numFmtId="2" fontId="2" fillId="0" borderId="5" xfId="1" applyNumberFormat="1" applyFont="1" applyBorder="1" applyAlignment="1">
      <alignment horizontal="left"/>
    </xf>
    <xf numFmtId="9" fontId="3" fillId="0" borderId="8" xfId="1" applyNumberFormat="1" applyFont="1" applyBorder="1"/>
    <xf numFmtId="17" fontId="3" fillId="0" borderId="1" xfId="1" applyNumberFormat="1" applyFont="1" applyBorder="1"/>
    <xf numFmtId="0" fontId="1" fillId="0" borderId="13" xfId="1" applyBorder="1"/>
    <xf numFmtId="9" fontId="3" fillId="0" borderId="7" xfId="1" applyNumberFormat="1" applyFont="1" applyBorder="1"/>
    <xf numFmtId="0" fontId="3" fillId="0" borderId="1" xfId="1" applyFont="1" applyBorder="1" applyAlignment="1">
      <alignment horizontal="left"/>
    </xf>
    <xf numFmtId="0" fontId="3" fillId="2" borderId="14" xfId="1" applyFont="1" applyFill="1" applyBorder="1"/>
    <xf numFmtId="0" fontId="2" fillId="2" borderId="1" xfId="1" applyFont="1" applyFill="1" applyBorder="1"/>
    <xf numFmtId="0" fontId="3" fillId="2" borderId="1" xfId="1" applyFont="1" applyFill="1" applyBorder="1"/>
    <xf numFmtId="2" fontId="3" fillId="2" borderId="1" xfId="1" applyNumberFormat="1" applyFont="1" applyFill="1" applyBorder="1"/>
    <xf numFmtId="0" fontId="4" fillId="0" borderId="1" xfId="1" applyFont="1" applyBorder="1"/>
    <xf numFmtId="169" fontId="3" fillId="0" borderId="9" xfId="1" applyNumberFormat="1" applyFont="1" applyBorder="1"/>
    <xf numFmtId="169" fontId="3" fillId="0" borderId="1" xfId="1" applyNumberFormat="1" applyFont="1" applyBorder="1"/>
    <xf numFmtId="169" fontId="3" fillId="0" borderId="14" xfId="1" applyNumberFormat="1" applyFont="1" applyBorder="1"/>
    <xf numFmtId="169" fontId="2" fillId="0" borderId="4" xfId="1" applyNumberFormat="1" applyFont="1" applyBorder="1"/>
    <xf numFmtId="169" fontId="2" fillId="0" borderId="5" xfId="1" applyNumberFormat="1" applyFont="1" applyBorder="1"/>
    <xf numFmtId="169" fontId="2" fillId="0" borderId="13" xfId="1" applyNumberFormat="1" applyFont="1" applyBorder="1"/>
    <xf numFmtId="169" fontId="2" fillId="0" borderId="1" xfId="1" applyNumberFormat="1" applyFont="1" applyBorder="1"/>
    <xf numFmtId="0" fontId="1" fillId="0" borderId="11" xfId="1" applyBorder="1"/>
    <xf numFmtId="2" fontId="2" fillId="2" borderId="6" xfId="1" applyNumberFormat="1" applyFont="1" applyFill="1" applyBorder="1"/>
    <xf numFmtId="0" fontId="10" fillId="0" borderId="0" xfId="1" applyFont="1"/>
    <xf numFmtId="0" fontId="11" fillId="0" borderId="0" xfId="1" applyFont="1" applyBorder="1"/>
    <xf numFmtId="49" fontId="1" fillId="0" borderId="0" xfId="1" applyNumberFormat="1"/>
    <xf numFmtId="0" fontId="3" fillId="0" borderId="1" xfId="1" applyFont="1" applyBorder="1" applyAlignment="1">
      <alignment horizontal="center"/>
    </xf>
    <xf numFmtId="14" fontId="1" fillId="0" borderId="7" xfId="1" applyNumberFormat="1" applyBorder="1"/>
    <xf numFmtId="167" fontId="2" fillId="0" borderId="8" xfId="1" applyNumberFormat="1" applyFont="1" applyBorder="1"/>
    <xf numFmtId="16" fontId="3" fillId="0" borderId="0" xfId="1" applyNumberFormat="1" applyFont="1"/>
    <xf numFmtId="167" fontId="3" fillId="0" borderId="0" xfId="1" applyNumberFormat="1" applyFont="1" applyBorder="1"/>
    <xf numFmtId="2" fontId="3" fillId="0" borderId="0" xfId="1" applyNumberFormat="1" applyFont="1" applyFill="1" applyBorder="1"/>
    <xf numFmtId="2" fontId="2" fillId="0" borderId="8" xfId="1" applyNumberFormat="1" applyFont="1" applyFill="1" applyBorder="1"/>
    <xf numFmtId="165" fontId="3" fillId="0" borderId="3" xfId="1" applyNumberFormat="1" applyFont="1" applyBorder="1"/>
    <xf numFmtId="0" fontId="1" fillId="0" borderId="0" xfId="1"/>
    <xf numFmtId="0" fontId="2" fillId="0" borderId="0" xfId="1" applyFont="1"/>
    <xf numFmtId="0" fontId="3" fillId="0" borderId="0" xfId="1" applyFont="1"/>
    <xf numFmtId="164" fontId="3" fillId="0" borderId="0" xfId="2" applyFont="1"/>
    <xf numFmtId="0" fontId="2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1" fillId="0" borderId="4" xfId="1" applyBorder="1"/>
    <xf numFmtId="0" fontId="3" fillId="0" borderId="5" xfId="1" applyFont="1" applyBorder="1"/>
    <xf numFmtId="0" fontId="3" fillId="0" borderId="4" xfId="1" applyFont="1" applyBorder="1"/>
    <xf numFmtId="0" fontId="2" fillId="0" borderId="13" xfId="1" applyFont="1" applyBorder="1"/>
    <xf numFmtId="0" fontId="2" fillId="0" borderId="1" xfId="1" applyFont="1" applyBorder="1"/>
    <xf numFmtId="2" fontId="2" fillId="0" borderId="13" xfId="1" applyNumberFormat="1" applyFont="1" applyBorder="1"/>
    <xf numFmtId="0" fontId="2" fillId="0" borderId="14" xfId="1" applyFont="1" applyBorder="1"/>
    <xf numFmtId="2" fontId="2" fillId="0" borderId="1" xfId="1" applyNumberFormat="1" applyFont="1" applyBorder="1"/>
    <xf numFmtId="0" fontId="2" fillId="0" borderId="8" xfId="1" applyFont="1" applyBorder="1"/>
    <xf numFmtId="0" fontId="2" fillId="0" borderId="6" xfId="1" applyFont="1" applyBorder="1"/>
    <xf numFmtId="2" fontId="2" fillId="0" borderId="6" xfId="1" applyNumberFormat="1" applyFont="1" applyBorder="1"/>
    <xf numFmtId="0" fontId="2" fillId="0" borderId="9" xfId="1" applyFont="1" applyBorder="1"/>
    <xf numFmtId="0" fontId="3" fillId="0" borderId="6" xfId="1" applyFont="1" applyBorder="1"/>
    <xf numFmtId="0" fontId="3" fillId="0" borderId="8" xfId="1" applyFont="1" applyBorder="1"/>
    <xf numFmtId="2" fontId="3" fillId="0" borderId="2" xfId="1" applyNumberFormat="1" applyFont="1" applyBorder="1"/>
    <xf numFmtId="2" fontId="3" fillId="0" borderId="0" xfId="1" applyNumberFormat="1" applyFont="1" applyBorder="1"/>
    <xf numFmtId="49" fontId="3" fillId="0" borderId="1" xfId="1" applyNumberFormat="1" applyFont="1" applyBorder="1"/>
    <xf numFmtId="0" fontId="3" fillId="0" borderId="13" xfId="1" applyFont="1" applyBorder="1"/>
    <xf numFmtId="2" fontId="3" fillId="0" borderId="1" xfId="1" applyNumberFormat="1" applyFont="1" applyBorder="1"/>
    <xf numFmtId="2" fontId="3" fillId="0" borderId="13" xfId="1" applyNumberFormat="1" applyFont="1" applyBorder="1"/>
    <xf numFmtId="2" fontId="3" fillId="0" borderId="14" xfId="1" applyNumberFormat="1" applyFont="1" applyBorder="1"/>
    <xf numFmtId="2" fontId="3" fillId="0" borderId="4" xfId="1" applyNumberFormat="1" applyFont="1" applyBorder="1"/>
    <xf numFmtId="2" fontId="3" fillId="0" borderId="3" xfId="1" applyNumberFormat="1" applyFont="1" applyBorder="1"/>
    <xf numFmtId="49" fontId="3" fillId="0" borderId="4" xfId="1" applyNumberFormat="1" applyFont="1" applyBorder="1"/>
    <xf numFmtId="2" fontId="3" fillId="0" borderId="5" xfId="1" applyNumberFormat="1" applyFont="1" applyBorder="1"/>
    <xf numFmtId="49" fontId="3" fillId="0" borderId="3" xfId="1" applyNumberFormat="1" applyFont="1" applyBorder="1"/>
    <xf numFmtId="0" fontId="3" fillId="0" borderId="15" xfId="1" applyFont="1" applyBorder="1"/>
    <xf numFmtId="0" fontId="2" fillId="0" borderId="4" xfId="1" applyFont="1" applyBorder="1"/>
    <xf numFmtId="0" fontId="2" fillId="0" borderId="2" xfId="1" applyFont="1" applyBorder="1"/>
    <xf numFmtId="0" fontId="2" fillId="0" borderId="15" xfId="1" applyFont="1" applyBorder="1"/>
    <xf numFmtId="0" fontId="2" fillId="0" borderId="5" xfId="1" applyFont="1" applyBorder="1"/>
    <xf numFmtId="0" fontId="3" fillId="0" borderId="0" xfId="1" applyFont="1" applyBorder="1"/>
    <xf numFmtId="0" fontId="2" fillId="0" borderId="11" xfId="1" applyFont="1" applyBorder="1"/>
    <xf numFmtId="0" fontId="3" fillId="0" borderId="11" xfId="1" applyFont="1" applyBorder="1"/>
    <xf numFmtId="0" fontId="3" fillId="0" borderId="5" xfId="1" applyFont="1" applyBorder="1" applyAlignment="1">
      <alignment horizontal="center"/>
    </xf>
    <xf numFmtId="0" fontId="3" fillId="0" borderId="10" xfId="1" applyFont="1" applyBorder="1"/>
    <xf numFmtId="0" fontId="3" fillId="0" borderId="14" xfId="1" applyFont="1" applyBorder="1"/>
    <xf numFmtId="0" fontId="3" fillId="0" borderId="12" xfId="1" applyFont="1" applyBorder="1"/>
    <xf numFmtId="0" fontId="2" fillId="0" borderId="1" xfId="1" applyFont="1" applyFill="1" applyBorder="1"/>
    <xf numFmtId="49" fontId="3" fillId="0" borderId="2" xfId="1" applyNumberFormat="1" applyFont="1" applyBorder="1"/>
    <xf numFmtId="14" fontId="3" fillId="0" borderId="2" xfId="1" applyNumberFormat="1" applyFont="1" applyBorder="1"/>
    <xf numFmtId="2" fontId="2" fillId="0" borderId="0" xfId="1" applyNumberFormat="1" applyFont="1" applyBorder="1"/>
    <xf numFmtId="0" fontId="2" fillId="0" borderId="10" xfId="1" applyFont="1" applyBorder="1"/>
    <xf numFmtId="49" fontId="3" fillId="0" borderId="6" xfId="1" applyNumberFormat="1" applyFont="1" applyBorder="1"/>
    <xf numFmtId="0" fontId="3" fillId="0" borderId="9" xfId="1" applyFont="1" applyBorder="1"/>
    <xf numFmtId="0" fontId="3" fillId="0" borderId="7" xfId="1" applyFont="1" applyBorder="1"/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zoomScale="110" zoomScaleNormal="110" workbookViewId="0">
      <selection activeCell="G35" sqref="G35"/>
    </sheetView>
  </sheetViews>
  <sheetFormatPr defaultRowHeight="15" x14ac:dyDescent="0.25"/>
  <cols>
    <col min="1" max="1" width="4.28515625" style="3" customWidth="1"/>
    <col min="2" max="2" width="36.7109375" style="3" customWidth="1"/>
    <col min="3" max="3" width="14.28515625" style="3" customWidth="1"/>
    <col min="4" max="4" width="10.85546875" style="3" customWidth="1"/>
    <col min="5" max="5" width="11" style="3" customWidth="1"/>
    <col min="6" max="6" width="10.28515625" style="3" customWidth="1"/>
    <col min="7" max="7" width="11.42578125" style="3" customWidth="1"/>
    <col min="8" max="8" width="13" style="3" customWidth="1"/>
    <col min="9" max="9" width="18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</v>
      </c>
      <c r="B6" s="2"/>
      <c r="C6" s="2"/>
      <c r="D6" s="2"/>
      <c r="E6" s="2"/>
      <c r="F6" s="1"/>
      <c r="G6" s="2"/>
      <c r="H6" s="2"/>
      <c r="I6" s="2"/>
    </row>
    <row r="7" spans="1:9" x14ac:dyDescent="0.25">
      <c r="A7" s="2" t="s">
        <v>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21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1">
        <v>1</v>
      </c>
      <c r="B18" s="12" t="s">
        <v>35</v>
      </c>
      <c r="C18" s="12">
        <v>7.97</v>
      </c>
      <c r="D18" s="13">
        <v>-7566.61</v>
      </c>
      <c r="E18" s="14">
        <v>361028.4</v>
      </c>
      <c r="F18" s="15">
        <v>363498.57</v>
      </c>
      <c r="G18" s="16">
        <f t="shared" ref="G18:G25" si="0">E18</f>
        <v>361028.4</v>
      </c>
      <c r="H18" s="17">
        <f>D18+F18-G18</f>
        <v>-5096.4400000000023</v>
      </c>
      <c r="I18" s="13">
        <f>H18</f>
        <v>-5096.4400000000023</v>
      </c>
    </row>
    <row r="19" spans="1:9" x14ac:dyDescent="0.25">
      <c r="A19" s="7" t="s">
        <v>36</v>
      </c>
      <c r="B19" s="18" t="s">
        <v>37</v>
      </c>
      <c r="C19" s="18">
        <v>2.62</v>
      </c>
      <c r="D19" s="19"/>
      <c r="E19" s="20">
        <f>E18*33%</f>
        <v>119139.37200000002</v>
      </c>
      <c r="F19" s="21">
        <f>F18*33%</f>
        <v>119954.52810000001</v>
      </c>
      <c r="G19" s="21">
        <f t="shared" si="0"/>
        <v>119139.37200000002</v>
      </c>
      <c r="H19" s="22"/>
      <c r="I19" s="23"/>
    </row>
    <row r="20" spans="1:9" x14ac:dyDescent="0.25">
      <c r="A20" s="24" t="s">
        <v>38</v>
      </c>
      <c r="B20" s="25" t="s">
        <v>39</v>
      </c>
      <c r="C20" s="25">
        <v>1.33</v>
      </c>
      <c r="D20" s="26"/>
      <c r="E20" s="27">
        <f>E18*17%</f>
        <v>61374.828000000009</v>
      </c>
      <c r="F20" s="28">
        <f>F18*17%</f>
        <v>61794.756900000008</v>
      </c>
      <c r="G20" s="28">
        <f t="shared" si="0"/>
        <v>61374.828000000009</v>
      </c>
      <c r="H20" s="29"/>
      <c r="I20" s="30"/>
    </row>
    <row r="21" spans="1:9" x14ac:dyDescent="0.25">
      <c r="A21" s="31" t="s">
        <v>40</v>
      </c>
      <c r="B21" s="25" t="s">
        <v>41</v>
      </c>
      <c r="C21" s="25">
        <v>1.63</v>
      </c>
      <c r="D21" s="32"/>
      <c r="E21" s="33">
        <f>E18*20%</f>
        <v>72205.680000000008</v>
      </c>
      <c r="F21" s="34">
        <f>F18*20%</f>
        <v>72699.714000000007</v>
      </c>
      <c r="G21" s="34">
        <f t="shared" si="0"/>
        <v>72205.680000000008</v>
      </c>
      <c r="H21" s="29"/>
      <c r="I21" s="35"/>
    </row>
    <row r="22" spans="1:9" x14ac:dyDescent="0.25">
      <c r="A22" s="36" t="s">
        <v>42</v>
      </c>
      <c r="B22" s="9" t="s">
        <v>43</v>
      </c>
      <c r="C22" s="9">
        <v>2.39</v>
      </c>
      <c r="D22" s="23"/>
      <c r="E22" s="37">
        <f>E18*30%</f>
        <v>108308.52</v>
      </c>
      <c r="F22" s="38">
        <f>F18*30%</f>
        <v>109049.571</v>
      </c>
      <c r="G22" s="38">
        <f t="shared" si="0"/>
        <v>108308.52</v>
      </c>
      <c r="H22" s="22"/>
      <c r="I22" s="23"/>
    </row>
    <row r="23" spans="1:9" x14ac:dyDescent="0.25">
      <c r="A23" s="36" t="s">
        <v>44</v>
      </c>
      <c r="B23" s="9" t="s">
        <v>45</v>
      </c>
      <c r="C23" s="9">
        <v>0.45929999999999999</v>
      </c>
      <c r="D23" s="29"/>
      <c r="E23" s="39">
        <v>12480.1</v>
      </c>
      <c r="F23" s="40">
        <v>13283.23</v>
      </c>
      <c r="G23" s="40">
        <f>E23</f>
        <v>12480.1</v>
      </c>
      <c r="H23" s="29">
        <f>F23-E23</f>
        <v>803.1299999999992</v>
      </c>
      <c r="I23" s="35"/>
    </row>
    <row r="24" spans="1:9" x14ac:dyDescent="0.25">
      <c r="A24" s="36" t="s">
        <v>46</v>
      </c>
      <c r="B24" s="9" t="s">
        <v>47</v>
      </c>
      <c r="C24" s="9">
        <v>0.87148000000000003</v>
      </c>
      <c r="D24" s="35"/>
      <c r="E24" s="9">
        <v>55542.5</v>
      </c>
      <c r="F24" s="10">
        <v>50905.13</v>
      </c>
      <c r="G24" s="9">
        <f>E24</f>
        <v>55542.5</v>
      </c>
      <c r="H24" s="10">
        <f>F24-E24</f>
        <v>-4637.3700000000026</v>
      </c>
      <c r="I24" s="9">
        <f>H24</f>
        <v>-4637.3700000000026</v>
      </c>
    </row>
    <row r="25" spans="1:9" x14ac:dyDescent="0.25">
      <c r="A25" s="11" t="s">
        <v>48</v>
      </c>
      <c r="B25" s="11" t="s">
        <v>49</v>
      </c>
      <c r="C25" s="11" t="s">
        <v>50</v>
      </c>
      <c r="D25" s="32">
        <v>-3365.57</v>
      </c>
      <c r="E25" s="41">
        <v>153994.23000000001</v>
      </c>
      <c r="F25" s="42">
        <v>147532.24</v>
      </c>
      <c r="G25" s="34">
        <f t="shared" si="0"/>
        <v>153994.23000000001</v>
      </c>
      <c r="H25" s="43">
        <f>D25+F25-G25</f>
        <v>-9827.5600000000268</v>
      </c>
      <c r="I25" s="32">
        <f>H25</f>
        <v>-9827.5600000000268</v>
      </c>
    </row>
    <row r="26" spans="1:9" x14ac:dyDescent="0.25">
      <c r="A26" s="18" t="s">
        <v>51</v>
      </c>
      <c r="B26" s="18" t="s">
        <v>52</v>
      </c>
      <c r="C26" s="18">
        <v>1.82</v>
      </c>
      <c r="D26" s="21">
        <v>40940.49</v>
      </c>
      <c r="E26" s="18">
        <v>82177.08</v>
      </c>
      <c r="F26" s="18">
        <f>F27+F28</f>
        <v>85803.39</v>
      </c>
      <c r="G26" s="18">
        <f>I60</f>
        <v>38784.239999999998</v>
      </c>
      <c r="H26" s="21">
        <f>D26+F26-G26</f>
        <v>87959.640000000014</v>
      </c>
      <c r="I26" s="44"/>
    </row>
    <row r="27" spans="1:9" x14ac:dyDescent="0.25">
      <c r="A27" s="11"/>
      <c r="B27" s="9" t="s">
        <v>53</v>
      </c>
      <c r="C27" s="41"/>
      <c r="D27" s="34"/>
      <c r="E27" s="11"/>
      <c r="F27" s="11">
        <v>82782.92</v>
      </c>
      <c r="G27" s="42"/>
      <c r="H27" s="34"/>
      <c r="I27" s="43"/>
    </row>
    <row r="28" spans="1:9" x14ac:dyDescent="0.25">
      <c r="A28" s="12"/>
      <c r="B28" s="9" t="s">
        <v>54</v>
      </c>
      <c r="C28" s="14"/>
      <c r="D28" s="16"/>
      <c r="E28" s="12"/>
      <c r="F28" s="12">
        <v>3020.47</v>
      </c>
      <c r="G28" s="15"/>
      <c r="H28" s="17"/>
      <c r="I28" s="44"/>
    </row>
    <row r="29" spans="1:9" x14ac:dyDescent="0.25">
      <c r="A29" s="18" t="s">
        <v>55</v>
      </c>
      <c r="B29" s="18" t="s">
        <v>56</v>
      </c>
      <c r="C29" s="5"/>
      <c r="D29" s="21"/>
      <c r="E29" s="44"/>
      <c r="F29" s="44"/>
      <c r="G29" s="21"/>
      <c r="H29" s="21"/>
      <c r="I29" s="45"/>
    </row>
    <row r="30" spans="1:9" x14ac:dyDescent="0.25">
      <c r="A30" s="11"/>
      <c r="B30" s="11" t="s">
        <v>57</v>
      </c>
      <c r="C30" s="46">
        <v>0</v>
      </c>
      <c r="D30" s="34">
        <v>19439.689999999999</v>
      </c>
      <c r="E30" s="11">
        <v>0</v>
      </c>
      <c r="F30" s="43">
        <f>F31</f>
        <v>2.46</v>
      </c>
      <c r="G30" s="42">
        <v>0</v>
      </c>
      <c r="H30" s="34">
        <f>D30+F30-G30</f>
        <v>19442.149999999998</v>
      </c>
      <c r="I30" s="43"/>
    </row>
    <row r="31" spans="1:9" x14ac:dyDescent="0.25">
      <c r="A31" s="9"/>
      <c r="B31" s="9" t="s">
        <v>53</v>
      </c>
      <c r="C31" s="10">
        <v>0</v>
      </c>
      <c r="D31" s="40">
        <v>0</v>
      </c>
      <c r="E31" s="9">
        <v>0</v>
      </c>
      <c r="F31" s="9">
        <v>2.46</v>
      </c>
      <c r="G31" s="8"/>
      <c r="H31" s="40"/>
      <c r="I31" s="29"/>
    </row>
    <row r="32" spans="1:9" x14ac:dyDescent="0.25">
      <c r="A32" s="1" t="s">
        <v>58</v>
      </c>
      <c r="B32" s="1"/>
      <c r="C32" s="1"/>
      <c r="D32" s="47"/>
      <c r="E32" s="1"/>
      <c r="F32" s="2"/>
      <c r="G32" s="2"/>
      <c r="H32" s="2"/>
      <c r="I32" s="2"/>
    </row>
    <row r="33" spans="1:9" x14ac:dyDescent="0.25">
      <c r="A33" s="48" t="s">
        <v>59</v>
      </c>
      <c r="B33" s="48" t="s">
        <v>60</v>
      </c>
      <c r="C33" s="9" t="s">
        <v>61</v>
      </c>
      <c r="D33" s="9" t="s">
        <v>62</v>
      </c>
      <c r="E33" s="6" t="s">
        <v>63</v>
      </c>
      <c r="F33" s="9" t="s">
        <v>64</v>
      </c>
      <c r="G33" s="49"/>
      <c r="H33" s="8" t="s">
        <v>65</v>
      </c>
      <c r="I33" s="50"/>
    </row>
    <row r="34" spans="1:9" x14ac:dyDescent="0.25">
      <c r="A34" s="51"/>
      <c r="B34" s="51"/>
      <c r="C34" s="9" t="s">
        <v>66</v>
      </c>
      <c r="D34" s="50" t="s">
        <v>23</v>
      </c>
      <c r="E34" s="8" t="s">
        <v>67</v>
      </c>
      <c r="F34" s="6" t="s">
        <v>30</v>
      </c>
      <c r="G34" s="49"/>
      <c r="H34" s="52" t="s">
        <v>30</v>
      </c>
      <c r="I34" s="53"/>
    </row>
    <row r="35" spans="1:9" x14ac:dyDescent="0.25">
      <c r="A35" s="52"/>
      <c r="B35" s="52" t="s">
        <v>68</v>
      </c>
      <c r="C35" s="54">
        <v>5302.5</v>
      </c>
      <c r="D35" s="50">
        <v>1953</v>
      </c>
      <c r="E35" s="40">
        <f>D35*15%</f>
        <v>292.95</v>
      </c>
      <c r="F35" s="29">
        <f>C35+(D35-E35)</f>
        <v>6962.55</v>
      </c>
      <c r="G35" s="35"/>
      <c r="H35" s="55">
        <f>F35-G35</f>
        <v>6962.55</v>
      </c>
      <c r="I35" s="53"/>
    </row>
    <row r="36" spans="1:9" x14ac:dyDescent="0.25">
      <c r="A36" s="5" t="s">
        <v>69</v>
      </c>
      <c r="B36" s="5"/>
      <c r="C36" s="5"/>
      <c r="D36" s="56"/>
      <c r="E36" s="5"/>
      <c r="F36" s="5"/>
      <c r="G36" s="5"/>
      <c r="H36" s="5"/>
      <c r="I36" s="5"/>
    </row>
    <row r="37" spans="1:9" x14ac:dyDescent="0.25">
      <c r="A37" s="1" t="s">
        <v>70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6" t="s">
        <v>71</v>
      </c>
      <c r="B38" s="57" t="s">
        <v>72</v>
      </c>
      <c r="C38" s="6" t="s">
        <v>73</v>
      </c>
      <c r="D38" s="48" t="s">
        <v>74</v>
      </c>
      <c r="E38" s="6" t="s">
        <v>75</v>
      </c>
      <c r="F38" s="58" t="s">
        <v>76</v>
      </c>
      <c r="G38" s="6" t="s">
        <v>77</v>
      </c>
      <c r="H38" s="49" t="s">
        <v>78</v>
      </c>
      <c r="I38" s="6" t="s">
        <v>19</v>
      </c>
    </row>
    <row r="39" spans="1:9" x14ac:dyDescent="0.25">
      <c r="A39" s="7"/>
      <c r="B39" s="59" t="s">
        <v>79</v>
      </c>
      <c r="C39" s="7" t="s">
        <v>80</v>
      </c>
      <c r="D39" s="51" t="s">
        <v>81</v>
      </c>
      <c r="E39" s="7" t="s">
        <v>82</v>
      </c>
      <c r="F39" s="60" t="s">
        <v>83</v>
      </c>
      <c r="G39" s="7" t="s">
        <v>84</v>
      </c>
      <c r="H39" s="61" t="s">
        <v>85</v>
      </c>
      <c r="I39" s="7" t="s">
        <v>86</v>
      </c>
    </row>
    <row r="40" spans="1:9" x14ac:dyDescent="0.25">
      <c r="A40" s="7"/>
      <c r="B40" s="51"/>
      <c r="C40" s="7"/>
      <c r="D40" s="51"/>
      <c r="E40" s="7"/>
      <c r="F40" s="60" t="s">
        <v>87</v>
      </c>
      <c r="G40" s="7" t="s">
        <v>88</v>
      </c>
      <c r="H40" s="61"/>
      <c r="I40" s="7" t="s">
        <v>89</v>
      </c>
    </row>
    <row r="41" spans="1:9" x14ac:dyDescent="0.25">
      <c r="A41" s="9"/>
      <c r="B41" s="8"/>
      <c r="C41" s="8"/>
      <c r="D41" s="8"/>
      <c r="E41" s="9"/>
      <c r="F41" s="10"/>
      <c r="G41" s="9"/>
      <c r="H41" s="10"/>
      <c r="I41" s="9"/>
    </row>
    <row r="42" spans="1:9" x14ac:dyDescent="0.25">
      <c r="A42" s="62">
        <v>1</v>
      </c>
      <c r="B42" s="62" t="s">
        <v>90</v>
      </c>
      <c r="C42" s="15" t="s">
        <v>91</v>
      </c>
      <c r="D42" s="7">
        <v>-7339</v>
      </c>
      <c r="E42" s="63">
        <v>127595.53</v>
      </c>
      <c r="F42" s="7">
        <v>124737.39</v>
      </c>
      <c r="G42" s="60">
        <f>E42</f>
        <v>127595.53</v>
      </c>
      <c r="H42" s="51">
        <f>D42+F42-G42</f>
        <v>-10197.14</v>
      </c>
      <c r="I42" s="7">
        <f>H42</f>
        <v>-10197.14</v>
      </c>
    </row>
    <row r="43" spans="1:9" x14ac:dyDescent="0.25">
      <c r="A43" s="62"/>
      <c r="B43" s="62" t="s">
        <v>92</v>
      </c>
      <c r="C43" s="14" t="s">
        <v>93</v>
      </c>
      <c r="D43" s="9"/>
      <c r="E43" s="64"/>
      <c r="F43" s="9"/>
      <c r="G43" s="10"/>
      <c r="H43" s="8"/>
      <c r="I43" s="9"/>
    </row>
    <row r="44" spans="1:9" x14ac:dyDescent="0.25">
      <c r="A44" s="9">
        <v>2</v>
      </c>
      <c r="B44" s="9" t="s">
        <v>94</v>
      </c>
      <c r="C44" s="41" t="s">
        <v>95</v>
      </c>
      <c r="D44" s="9">
        <v>-60217.73</v>
      </c>
      <c r="E44" s="64">
        <v>208275.47</v>
      </c>
      <c r="F44" s="9">
        <v>206216.91</v>
      </c>
      <c r="G44" s="10">
        <f>E44</f>
        <v>208275.47</v>
      </c>
      <c r="H44" s="8">
        <f>D44+F44-E44</f>
        <v>-62276.290000000008</v>
      </c>
      <c r="I44" s="9">
        <f>H44</f>
        <v>-62276.290000000008</v>
      </c>
    </row>
    <row r="45" spans="1:9" x14ac:dyDescent="0.25">
      <c r="A45" s="9"/>
      <c r="B45" s="9" t="s">
        <v>96</v>
      </c>
      <c r="C45" s="41"/>
      <c r="D45" s="9"/>
      <c r="E45" s="65"/>
      <c r="F45" s="9"/>
      <c r="G45" s="9"/>
      <c r="H45" s="8"/>
      <c r="I45" s="9"/>
    </row>
    <row r="46" spans="1:9" x14ac:dyDescent="0.25">
      <c r="A46" s="9"/>
      <c r="B46" s="9" t="s">
        <v>97</v>
      </c>
      <c r="C46" s="14" t="s">
        <v>93</v>
      </c>
      <c r="D46" s="7"/>
      <c r="E46" s="66"/>
      <c r="F46" s="62"/>
      <c r="G46" s="52"/>
      <c r="H46" s="52"/>
      <c r="I46" s="7"/>
    </row>
    <row r="47" spans="1:9" x14ac:dyDescent="0.25">
      <c r="A47" s="9">
        <v>3</v>
      </c>
      <c r="B47" s="9" t="s">
        <v>98</v>
      </c>
      <c r="C47" s="41" t="s">
        <v>99</v>
      </c>
      <c r="D47" s="9">
        <v>-321866.84000000003</v>
      </c>
      <c r="E47" s="10">
        <v>1169831.97</v>
      </c>
      <c r="F47" s="9">
        <v>1192569.2</v>
      </c>
      <c r="G47" s="8">
        <f>E47</f>
        <v>1169831.97</v>
      </c>
      <c r="H47" s="8">
        <f>D47+F47-G47</f>
        <v>-299129.6100000001</v>
      </c>
      <c r="I47" s="9">
        <f>H47</f>
        <v>-299129.6100000001</v>
      </c>
    </row>
    <row r="48" spans="1:9" x14ac:dyDescent="0.25">
      <c r="A48" s="1" t="s">
        <v>100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5" t="s">
        <v>101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104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107</v>
      </c>
      <c r="G51" s="60"/>
      <c r="H51" s="61"/>
      <c r="I51" s="7" t="s">
        <v>108</v>
      </c>
    </row>
    <row r="52" spans="1:9" x14ac:dyDescent="0.25">
      <c r="A52" s="51"/>
      <c r="B52" s="7"/>
      <c r="C52" s="60"/>
      <c r="D52" s="60"/>
      <c r="E52" s="60"/>
      <c r="F52" s="51" t="s">
        <v>109</v>
      </c>
      <c r="G52" s="60"/>
      <c r="H52" s="61"/>
      <c r="I52" s="7"/>
    </row>
    <row r="53" spans="1:9" x14ac:dyDescent="0.25">
      <c r="A53" s="51"/>
      <c r="B53" s="62"/>
      <c r="C53" s="60"/>
      <c r="D53" s="60"/>
      <c r="E53" s="60"/>
      <c r="F53" s="51"/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6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 t="s">
        <v>71</v>
      </c>
      <c r="H55" s="61" t="s">
        <v>71</v>
      </c>
      <c r="I55" s="7" t="s">
        <v>71</v>
      </c>
    </row>
    <row r="56" spans="1:9" x14ac:dyDescent="0.25">
      <c r="A56" s="69" t="s">
        <v>113</v>
      </c>
      <c r="B56" s="70">
        <v>42851</v>
      </c>
      <c r="C56" s="60" t="s">
        <v>114</v>
      </c>
      <c r="D56" s="60"/>
      <c r="E56" s="60"/>
      <c r="F56" s="51"/>
      <c r="G56" s="37">
        <f>I56/3883.3</f>
        <v>6.1803105606056699</v>
      </c>
      <c r="H56" s="61"/>
      <c r="I56" s="7">
        <v>24000</v>
      </c>
    </row>
    <row r="57" spans="1:9" x14ac:dyDescent="0.25">
      <c r="A57" s="69" t="s">
        <v>38</v>
      </c>
      <c r="B57" s="70">
        <v>42947</v>
      </c>
      <c r="C57" s="51" t="s">
        <v>115</v>
      </c>
      <c r="D57" s="60"/>
      <c r="E57" s="61"/>
      <c r="F57" s="51"/>
      <c r="G57" s="37">
        <f>I57/3883.3</f>
        <v>0.91655808204362266</v>
      </c>
      <c r="H57" s="61"/>
      <c r="I57" s="7">
        <v>3559.27</v>
      </c>
    </row>
    <row r="58" spans="1:9" x14ac:dyDescent="0.25">
      <c r="A58" s="69" t="s">
        <v>40</v>
      </c>
      <c r="B58" s="70">
        <v>43011</v>
      </c>
      <c r="C58" s="60" t="s">
        <v>116</v>
      </c>
      <c r="D58" s="60"/>
      <c r="E58" s="60"/>
      <c r="F58" s="51"/>
      <c r="G58" s="37">
        <f>I58/3883.3</f>
        <v>0.61803105606056696</v>
      </c>
      <c r="H58" s="61"/>
      <c r="I58" s="7">
        <v>2400</v>
      </c>
    </row>
    <row r="59" spans="1:9" x14ac:dyDescent="0.25">
      <c r="A59" s="69" t="s">
        <v>42</v>
      </c>
      <c r="B59" s="70">
        <v>43039</v>
      </c>
      <c r="C59" s="60" t="s">
        <v>117</v>
      </c>
      <c r="D59" s="60"/>
      <c r="E59" s="60"/>
      <c r="F59" s="51"/>
      <c r="G59" s="37">
        <f>I59/3883.3</f>
        <v>2.2725439703345089</v>
      </c>
      <c r="H59" s="61"/>
      <c r="I59" s="7">
        <v>8824.9699999999993</v>
      </c>
    </row>
    <row r="60" spans="1:9" x14ac:dyDescent="0.25">
      <c r="A60" s="69"/>
      <c r="B60" s="7"/>
      <c r="C60" s="5" t="s">
        <v>118</v>
      </c>
      <c r="D60" s="5"/>
      <c r="E60" s="5"/>
      <c r="F60" s="59"/>
      <c r="G60" s="20">
        <f>SUM(G56:G59)</f>
        <v>9.9874436690443691</v>
      </c>
      <c r="H60" s="71"/>
      <c r="I60" s="18">
        <f>SUM(I56:I59)</f>
        <v>38784.239999999998</v>
      </c>
    </row>
    <row r="61" spans="1:9" x14ac:dyDescent="0.25">
      <c r="A61" s="6"/>
      <c r="B61" s="6"/>
      <c r="C61" s="57"/>
      <c r="D61" s="68"/>
      <c r="E61" s="72"/>
      <c r="F61" s="57"/>
      <c r="G61" s="68"/>
      <c r="H61" s="72"/>
      <c r="I61" s="25"/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49"/>
      <c r="F62" s="48" t="s">
        <v>121</v>
      </c>
      <c r="G62" s="58"/>
      <c r="H62" s="49"/>
      <c r="I62" s="6"/>
    </row>
    <row r="63" spans="1:9" x14ac:dyDescent="0.25">
      <c r="A63" s="69"/>
      <c r="B63" s="70"/>
      <c r="C63" s="51"/>
      <c r="D63" s="60"/>
      <c r="E63" s="61"/>
      <c r="F63" s="51"/>
      <c r="G63" s="60"/>
      <c r="H63" s="61"/>
      <c r="I63" s="7"/>
    </row>
    <row r="64" spans="1:9" x14ac:dyDescent="0.25">
      <c r="A64" s="73"/>
      <c r="B64" s="62" t="s">
        <v>119</v>
      </c>
      <c r="C64" s="52" t="s">
        <v>118</v>
      </c>
      <c r="D64" s="74"/>
      <c r="E64" s="53"/>
      <c r="F64" s="52" t="s">
        <v>71</v>
      </c>
      <c r="G64" s="74"/>
      <c r="H64" s="53"/>
      <c r="I64" s="62">
        <v>0</v>
      </c>
    </row>
    <row r="65" spans="1:9" x14ac:dyDescent="0.25">
      <c r="A65" s="2" t="s">
        <v>122</v>
      </c>
      <c r="B65" s="2"/>
      <c r="C65" s="2" t="s">
        <v>123</v>
      </c>
      <c r="D65" s="2"/>
      <c r="E65" s="2" t="s">
        <v>124</v>
      </c>
      <c r="H65" s="2" t="s">
        <v>125</v>
      </c>
      <c r="I65" s="2" t="s">
        <v>126</v>
      </c>
    </row>
    <row r="66" spans="1:9" x14ac:dyDescent="0.25">
      <c r="A66" s="2"/>
      <c r="B66" s="2"/>
      <c r="C66" s="2"/>
      <c r="E66" s="2"/>
      <c r="F66" s="2"/>
      <c r="G66" s="2"/>
      <c r="H66" s="2"/>
      <c r="I66" s="2"/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="110" zoomScaleNormal="110" workbookViewId="0">
      <selection activeCell="A8" sqref="A8"/>
    </sheetView>
  </sheetViews>
  <sheetFormatPr defaultRowHeight="15" x14ac:dyDescent="0.25"/>
  <cols>
    <col min="1" max="1" width="4.85546875" style="3" customWidth="1"/>
    <col min="2" max="2" width="34.140625" style="3" customWidth="1"/>
    <col min="3" max="3" width="12.5703125" style="3" customWidth="1"/>
    <col min="4" max="4" width="12.140625" style="3" customWidth="1"/>
    <col min="5" max="5" width="10.7109375" style="3" customWidth="1"/>
    <col min="6" max="6" width="10.85546875" style="3" customWidth="1"/>
    <col min="7" max="7" width="10.7109375" style="3" customWidth="1"/>
    <col min="8" max="8" width="12.85546875" style="3" customWidth="1"/>
    <col min="9" max="9" width="18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284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285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286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287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1">
        <v>1</v>
      </c>
      <c r="B18" s="12" t="s">
        <v>35</v>
      </c>
      <c r="C18" s="78">
        <v>7.56</v>
      </c>
      <c r="D18" s="17">
        <v>-8156.07</v>
      </c>
      <c r="E18" s="17">
        <v>25483.32</v>
      </c>
      <c r="F18" s="17">
        <v>25191.119999999999</v>
      </c>
      <c r="G18" s="16">
        <f t="shared" ref="G18:G24" si="0">E18</f>
        <v>25483.32</v>
      </c>
      <c r="H18" s="16">
        <f>D18+F18-G18</f>
        <v>-8448.27</v>
      </c>
      <c r="I18" s="17">
        <f>H18</f>
        <v>-8448.27</v>
      </c>
    </row>
    <row r="19" spans="1:9" x14ac:dyDescent="0.25">
      <c r="A19" s="7" t="s">
        <v>36</v>
      </c>
      <c r="B19" s="18" t="s">
        <v>37</v>
      </c>
      <c r="C19" s="20">
        <v>2.62</v>
      </c>
      <c r="D19" s="44"/>
      <c r="E19" s="44">
        <f>E18*34.5%</f>
        <v>8791.7453999999998</v>
      </c>
      <c r="F19" s="44">
        <f>F18*34.5%</f>
        <v>8690.9363999999987</v>
      </c>
      <c r="G19" s="20">
        <f t="shared" si="0"/>
        <v>8791.7453999999998</v>
      </c>
      <c r="H19" s="38"/>
      <c r="I19" s="22"/>
    </row>
    <row r="20" spans="1:9" x14ac:dyDescent="0.25">
      <c r="A20" s="24" t="s">
        <v>38</v>
      </c>
      <c r="B20" s="25" t="s">
        <v>39</v>
      </c>
      <c r="C20" s="27">
        <v>1.33</v>
      </c>
      <c r="D20" s="45"/>
      <c r="E20" s="45">
        <f>E18*18%</f>
        <v>4586.9975999999997</v>
      </c>
      <c r="F20" s="45">
        <f>F18*18%</f>
        <v>4534.4015999999992</v>
      </c>
      <c r="G20" s="28">
        <f t="shared" si="0"/>
        <v>4586.9975999999997</v>
      </c>
      <c r="H20" s="105"/>
      <c r="I20" s="75"/>
    </row>
    <row r="21" spans="1:9" x14ac:dyDescent="0.25">
      <c r="A21" s="24" t="s">
        <v>40</v>
      </c>
      <c r="B21" s="11" t="s">
        <v>41</v>
      </c>
      <c r="C21" s="33">
        <v>1.22</v>
      </c>
      <c r="D21" s="43"/>
      <c r="E21" s="43">
        <f xml:space="preserve"> E18*16%</f>
        <v>4077.3312000000001</v>
      </c>
      <c r="F21" s="43">
        <f>F18*16%</f>
        <v>4030.5792000000001</v>
      </c>
      <c r="G21" s="32">
        <f t="shared" si="0"/>
        <v>4077.3312000000001</v>
      </c>
      <c r="H21" s="38"/>
      <c r="I21" s="22"/>
    </row>
    <row r="22" spans="1:9" x14ac:dyDescent="0.25">
      <c r="A22" s="24" t="s">
        <v>42</v>
      </c>
      <c r="B22" s="25" t="s">
        <v>43</v>
      </c>
      <c r="C22" s="27">
        <v>2.39</v>
      </c>
      <c r="D22" s="45"/>
      <c r="E22" s="45">
        <f>E18*31.5%</f>
        <v>8027.2457999999997</v>
      </c>
      <c r="F22" s="45">
        <f>F18*31.5%</f>
        <v>7935.2028</v>
      </c>
      <c r="G22" s="28">
        <f t="shared" si="0"/>
        <v>8027.2457999999997</v>
      </c>
      <c r="H22" s="105">
        <f>F22-E22</f>
        <v>-92.042999999999665</v>
      </c>
      <c r="I22" s="75">
        <f>H22</f>
        <v>-92.042999999999665</v>
      </c>
    </row>
    <row r="23" spans="1:9" x14ac:dyDescent="0.25">
      <c r="A23" s="24" t="s">
        <v>44</v>
      </c>
      <c r="B23" s="6" t="s">
        <v>47</v>
      </c>
      <c r="C23" s="106">
        <v>1.1743600000000001</v>
      </c>
      <c r="D23" s="75"/>
      <c r="E23" s="58">
        <v>3092.53</v>
      </c>
      <c r="F23" s="6">
        <v>2370.21</v>
      </c>
      <c r="G23" s="58">
        <f t="shared" si="0"/>
        <v>3092.53</v>
      </c>
      <c r="H23" s="6">
        <f>F23-E23</f>
        <v>-722.32000000000016</v>
      </c>
      <c r="I23" s="49">
        <f>H23</f>
        <v>-722.32000000000016</v>
      </c>
    </row>
    <row r="24" spans="1:9" x14ac:dyDescent="0.25">
      <c r="A24" s="11" t="s">
        <v>48</v>
      </c>
      <c r="B24" s="11" t="s">
        <v>49</v>
      </c>
      <c r="C24" s="11" t="s">
        <v>50</v>
      </c>
      <c r="D24" s="43">
        <v>-4347.72</v>
      </c>
      <c r="E24" s="11">
        <v>11410.23</v>
      </c>
      <c r="F24" s="11">
        <v>10673.04</v>
      </c>
      <c r="G24" s="41">
        <f t="shared" si="0"/>
        <v>11410.23</v>
      </c>
      <c r="H24" s="42">
        <f>D24+F24-G24</f>
        <v>-5084.9099999999989</v>
      </c>
      <c r="I24" s="43">
        <f>H24</f>
        <v>-5084.9099999999989</v>
      </c>
    </row>
    <row r="25" spans="1:9" x14ac:dyDescent="0.25">
      <c r="A25" s="18" t="s">
        <v>51</v>
      </c>
      <c r="B25" s="12" t="s">
        <v>52</v>
      </c>
      <c r="C25" s="12">
        <v>1.65</v>
      </c>
      <c r="D25" s="15">
        <v>-4500.8999999999996</v>
      </c>
      <c r="E25" s="18">
        <v>5562</v>
      </c>
      <c r="F25" s="12">
        <f>F26+F27</f>
        <v>6301.4299999999994</v>
      </c>
      <c r="G25" s="12">
        <f>I51</f>
        <v>0</v>
      </c>
      <c r="H25" s="15">
        <f>D25+F25-G25</f>
        <v>1800.5299999999997</v>
      </c>
      <c r="I25" s="17"/>
    </row>
    <row r="26" spans="1:9" x14ac:dyDescent="0.25">
      <c r="A26" s="11"/>
      <c r="B26" s="9" t="s">
        <v>53</v>
      </c>
      <c r="C26" s="14"/>
      <c r="D26" s="15"/>
      <c r="E26" s="11"/>
      <c r="F26" s="12">
        <v>5498.23</v>
      </c>
      <c r="G26" s="12"/>
      <c r="H26" s="15"/>
      <c r="I26" s="17"/>
    </row>
    <row r="27" spans="1:9" x14ac:dyDescent="0.25">
      <c r="A27" s="18"/>
      <c r="B27" s="9" t="s">
        <v>54</v>
      </c>
      <c r="C27" s="14"/>
      <c r="D27" s="15"/>
      <c r="E27" s="18"/>
      <c r="F27" s="12">
        <v>803.2</v>
      </c>
      <c r="G27" s="12"/>
      <c r="H27" s="15"/>
      <c r="I27" s="17"/>
    </row>
    <row r="28" spans="1:9" x14ac:dyDescent="0.25">
      <c r="A28" s="11" t="s">
        <v>55</v>
      </c>
      <c r="B28" s="11" t="s">
        <v>146</v>
      </c>
      <c r="C28" s="41"/>
      <c r="D28" s="42" t="s">
        <v>71</v>
      </c>
      <c r="E28" s="11"/>
      <c r="F28" s="11"/>
      <c r="G28" s="11"/>
      <c r="H28" s="42" t="s">
        <v>71</v>
      </c>
      <c r="I28" s="43"/>
    </row>
    <row r="29" spans="1:9" x14ac:dyDescent="0.25">
      <c r="A29" s="12"/>
      <c r="B29" s="12" t="s">
        <v>276</v>
      </c>
      <c r="C29" s="14">
        <v>0</v>
      </c>
      <c r="D29" s="15">
        <v>6825.45</v>
      </c>
      <c r="E29" s="12">
        <v>0</v>
      </c>
      <c r="F29" s="12">
        <v>0</v>
      </c>
      <c r="G29" s="9">
        <f>G30</f>
        <v>0</v>
      </c>
      <c r="H29" s="15">
        <f>D29+F29-G29</f>
        <v>6825.45</v>
      </c>
      <c r="I29" s="44"/>
    </row>
    <row r="30" spans="1:9" x14ac:dyDescent="0.25">
      <c r="A30" s="9"/>
      <c r="B30" s="9" t="s">
        <v>145</v>
      </c>
      <c r="C30" s="10"/>
      <c r="D30" s="8"/>
      <c r="E30" s="9">
        <v>0</v>
      </c>
      <c r="F30" s="9">
        <v>0</v>
      </c>
      <c r="G30" s="9">
        <v>0</v>
      </c>
      <c r="H30" s="8"/>
      <c r="I30" s="29"/>
    </row>
    <row r="31" spans="1:9" x14ac:dyDescent="0.25">
      <c r="A31" s="60"/>
      <c r="B31" s="60"/>
      <c r="C31" s="60"/>
      <c r="D31" s="60"/>
      <c r="E31" s="60"/>
      <c r="F31" s="60"/>
      <c r="G31" s="60"/>
      <c r="H31" s="60"/>
      <c r="I31" s="37"/>
    </row>
    <row r="32" spans="1:9" x14ac:dyDescent="0.25">
      <c r="A32" s="1" t="s">
        <v>58</v>
      </c>
      <c r="B32" s="2"/>
      <c r="C32" s="2"/>
      <c r="E32" s="2"/>
      <c r="F32" s="2"/>
      <c r="G32" s="2"/>
      <c r="H32" s="2"/>
      <c r="I32" s="2"/>
    </row>
    <row r="33" spans="1:9" x14ac:dyDescent="0.25">
      <c r="A33" s="5" t="s">
        <v>69</v>
      </c>
    </row>
    <row r="34" spans="1:9" x14ac:dyDescent="0.25">
      <c r="A34" s="1" t="s">
        <v>70</v>
      </c>
      <c r="B34" s="5"/>
      <c r="C34" s="5"/>
      <c r="D34" s="56"/>
      <c r="E34" s="5"/>
      <c r="F34" s="5"/>
      <c r="G34" s="5"/>
      <c r="H34" s="5"/>
      <c r="I34" s="5"/>
    </row>
    <row r="35" spans="1:9" x14ac:dyDescent="0.25">
      <c r="A35" s="6" t="s">
        <v>71</v>
      </c>
      <c r="B35" s="68" t="s">
        <v>72</v>
      </c>
      <c r="C35" s="6" t="s">
        <v>73</v>
      </c>
      <c r="D35" s="58" t="s">
        <v>74</v>
      </c>
      <c r="E35" s="6" t="s">
        <v>75</v>
      </c>
      <c r="F35" s="58" t="s">
        <v>76</v>
      </c>
      <c r="G35" s="48" t="s">
        <v>77</v>
      </c>
      <c r="H35" s="75" t="s">
        <v>15</v>
      </c>
      <c r="I35" s="49" t="s">
        <v>19</v>
      </c>
    </row>
    <row r="36" spans="1:9" x14ac:dyDescent="0.25">
      <c r="A36" s="7"/>
      <c r="B36" s="5" t="s">
        <v>79</v>
      </c>
      <c r="C36" s="7" t="s">
        <v>80</v>
      </c>
      <c r="D36" s="60" t="s">
        <v>81</v>
      </c>
      <c r="E36" s="7" t="s">
        <v>82</v>
      </c>
      <c r="F36" s="60" t="s">
        <v>83</v>
      </c>
      <c r="G36" s="51" t="s">
        <v>84</v>
      </c>
      <c r="H36" s="22" t="s">
        <v>25</v>
      </c>
      <c r="I36" s="61" t="s">
        <v>86</v>
      </c>
    </row>
    <row r="37" spans="1:9" x14ac:dyDescent="0.25">
      <c r="A37" s="7"/>
      <c r="B37" s="60"/>
      <c r="C37" s="7"/>
      <c r="D37" s="60"/>
      <c r="E37" s="7"/>
      <c r="F37" s="60" t="s">
        <v>87</v>
      </c>
      <c r="G37" s="51" t="s">
        <v>88</v>
      </c>
      <c r="H37" s="22" t="s">
        <v>30</v>
      </c>
      <c r="I37" s="61" t="s">
        <v>30</v>
      </c>
    </row>
    <row r="38" spans="1:9" x14ac:dyDescent="0.25">
      <c r="A38" s="62"/>
      <c r="B38" s="74"/>
      <c r="C38" s="62"/>
      <c r="D38" s="74"/>
      <c r="E38" s="62"/>
      <c r="F38" s="74"/>
      <c r="G38" s="52"/>
      <c r="H38" s="54"/>
      <c r="I38" s="53" t="s">
        <v>240</v>
      </c>
    </row>
    <row r="39" spans="1:9" x14ac:dyDescent="0.25">
      <c r="A39" s="6" t="s">
        <v>71</v>
      </c>
      <c r="B39" s="6"/>
      <c r="C39" s="68"/>
      <c r="D39" s="6"/>
      <c r="E39" s="58"/>
      <c r="F39" s="6"/>
      <c r="G39" s="58"/>
      <c r="H39" s="6"/>
      <c r="I39" s="49"/>
    </row>
    <row r="40" spans="1:9" x14ac:dyDescent="0.25">
      <c r="A40" s="9">
        <v>1</v>
      </c>
      <c r="B40" s="9" t="s">
        <v>90</v>
      </c>
      <c r="C40" s="41" t="s">
        <v>91</v>
      </c>
      <c r="D40" s="9">
        <v>-8917.6200000000008</v>
      </c>
      <c r="E40" s="65">
        <v>42562.17</v>
      </c>
      <c r="F40" s="9">
        <v>47722.32</v>
      </c>
      <c r="G40" s="65">
        <f>E40</f>
        <v>42562.17</v>
      </c>
      <c r="H40" s="9">
        <f>D40+F40-G40</f>
        <v>-3757.4700000000012</v>
      </c>
      <c r="I40" s="9">
        <f>H40</f>
        <v>-3757.4700000000012</v>
      </c>
    </row>
    <row r="41" spans="1:9" x14ac:dyDescent="0.25">
      <c r="A41" s="8"/>
      <c r="B41" s="9" t="s">
        <v>92</v>
      </c>
      <c r="C41" s="10" t="s">
        <v>93</v>
      </c>
      <c r="D41" s="8"/>
      <c r="E41" s="8"/>
      <c r="F41" s="9"/>
      <c r="G41" s="50"/>
      <c r="H41" s="50"/>
      <c r="I41" s="50"/>
    </row>
    <row r="42" spans="1:9" x14ac:dyDescent="0.25">
      <c r="A42" s="1" t="s">
        <v>219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5" t="s">
        <v>220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8" t="s">
        <v>12</v>
      </c>
      <c r="B44" s="6" t="s">
        <v>221</v>
      </c>
      <c r="C44" s="58" t="s">
        <v>103</v>
      </c>
      <c r="D44" s="58"/>
      <c r="E44" s="58"/>
      <c r="F44" s="48" t="s">
        <v>222</v>
      </c>
      <c r="G44" s="58"/>
      <c r="H44" s="49"/>
      <c r="I44" s="6" t="s">
        <v>105</v>
      </c>
    </row>
    <row r="45" spans="1:9" x14ac:dyDescent="0.25">
      <c r="A45" s="51" t="s">
        <v>106</v>
      </c>
      <c r="B45" s="7" t="s">
        <v>223</v>
      </c>
      <c r="C45" s="60"/>
      <c r="D45" s="60"/>
      <c r="E45" s="60"/>
      <c r="F45" s="51" t="s">
        <v>224</v>
      </c>
      <c r="G45" s="60"/>
      <c r="H45" s="61"/>
      <c r="I45" s="7" t="s">
        <v>108</v>
      </c>
    </row>
    <row r="46" spans="1:9" x14ac:dyDescent="0.25">
      <c r="A46" s="51"/>
      <c r="B46" s="7"/>
      <c r="C46" s="60"/>
      <c r="D46" s="60"/>
      <c r="E46" s="60"/>
      <c r="F46" s="51" t="s">
        <v>225</v>
      </c>
      <c r="G46" s="60"/>
      <c r="H46" s="61"/>
      <c r="I46" s="7"/>
    </row>
    <row r="47" spans="1:9" x14ac:dyDescent="0.25">
      <c r="A47" s="51"/>
      <c r="B47" s="62"/>
      <c r="C47" s="60"/>
      <c r="D47" s="60"/>
      <c r="E47" s="60"/>
      <c r="F47" s="51" t="s">
        <v>226</v>
      </c>
      <c r="G47" s="60"/>
      <c r="H47" s="61"/>
      <c r="I47" s="7"/>
    </row>
    <row r="48" spans="1:9" x14ac:dyDescent="0.25">
      <c r="A48" s="67" t="s">
        <v>110</v>
      </c>
      <c r="B48" s="18"/>
      <c r="C48" s="68" t="s">
        <v>111</v>
      </c>
      <c r="D48" s="68"/>
      <c r="E48" s="68"/>
      <c r="F48" s="48"/>
      <c r="G48" s="58"/>
      <c r="H48" s="49"/>
      <c r="I48" s="6"/>
    </row>
    <row r="49" spans="1:9" x14ac:dyDescent="0.25">
      <c r="A49" s="69"/>
      <c r="B49" s="7"/>
      <c r="C49" s="60" t="s">
        <v>112</v>
      </c>
      <c r="D49" s="60"/>
      <c r="E49" s="60"/>
      <c r="F49" s="51" t="s">
        <v>71</v>
      </c>
      <c r="G49" s="37"/>
      <c r="H49" s="61" t="s">
        <v>71</v>
      </c>
      <c r="I49" s="7" t="s">
        <v>71</v>
      </c>
    </row>
    <row r="50" spans="1:9" x14ac:dyDescent="0.25">
      <c r="A50" s="69" t="s">
        <v>71</v>
      </c>
      <c r="B50" s="70"/>
      <c r="C50" s="60"/>
      <c r="D50" s="60"/>
      <c r="E50" s="60"/>
      <c r="F50" s="51"/>
      <c r="G50" s="37"/>
      <c r="H50" s="61"/>
      <c r="I50" s="7"/>
    </row>
    <row r="51" spans="1:9" x14ac:dyDescent="0.25">
      <c r="A51" s="69"/>
      <c r="B51" s="7"/>
      <c r="C51" s="5" t="s">
        <v>118</v>
      </c>
      <c r="D51" s="60"/>
      <c r="E51" s="60"/>
      <c r="F51" s="21"/>
      <c r="G51" s="20">
        <f>SUM(G50:G50)</f>
        <v>0</v>
      </c>
      <c r="H51" s="71"/>
      <c r="I51" s="18">
        <f>SUM(I50:I50)</f>
        <v>0</v>
      </c>
    </row>
    <row r="52" spans="1:9" x14ac:dyDescent="0.25">
      <c r="A52" s="6"/>
      <c r="B52" s="6"/>
      <c r="C52" s="48"/>
      <c r="D52" s="58"/>
      <c r="E52" s="49"/>
      <c r="F52" s="105"/>
      <c r="G52" s="58"/>
      <c r="H52" s="49"/>
      <c r="I52" s="6"/>
    </row>
    <row r="53" spans="1:9" x14ac:dyDescent="0.25">
      <c r="A53" s="6" t="s">
        <v>48</v>
      </c>
      <c r="B53" s="25" t="s">
        <v>119</v>
      </c>
      <c r="C53" s="57" t="s">
        <v>120</v>
      </c>
      <c r="D53" s="58"/>
      <c r="E53" s="49"/>
      <c r="F53" s="48" t="s">
        <v>121</v>
      </c>
      <c r="G53" s="58"/>
      <c r="H53" s="49"/>
      <c r="I53" s="6"/>
    </row>
    <row r="54" spans="1:9" x14ac:dyDescent="0.25">
      <c r="A54" s="69"/>
      <c r="B54" s="70"/>
      <c r="C54" s="51"/>
      <c r="D54" s="60"/>
      <c r="E54" s="61"/>
      <c r="F54" s="51"/>
      <c r="G54" s="60"/>
      <c r="H54" s="61"/>
      <c r="I54" s="7"/>
    </row>
    <row r="55" spans="1:9" x14ac:dyDescent="0.25">
      <c r="A55" s="73"/>
      <c r="B55" s="62" t="s">
        <v>119</v>
      </c>
      <c r="C55" s="15" t="s">
        <v>118</v>
      </c>
      <c r="D55" s="14"/>
      <c r="E55" s="85"/>
      <c r="F55" s="15" t="s">
        <v>71</v>
      </c>
      <c r="G55" s="78">
        <f>SUM(G54:G54)</f>
        <v>0</v>
      </c>
      <c r="H55" s="85"/>
      <c r="I55" s="12">
        <f>SUM(I54:I54)</f>
        <v>0</v>
      </c>
    </row>
    <row r="56" spans="1:9" x14ac:dyDescent="0.25">
      <c r="A56" s="2" t="s">
        <v>241</v>
      </c>
      <c r="B56" s="2"/>
      <c r="C56" s="2" t="s">
        <v>71</v>
      </c>
      <c r="D56" s="2" t="s">
        <v>123</v>
      </c>
      <c r="E56" s="2"/>
      <c r="F56" s="2" t="s">
        <v>124</v>
      </c>
      <c r="G56" s="2"/>
      <c r="H56" s="2" t="s">
        <v>125</v>
      </c>
      <c r="I56" s="2" t="s">
        <v>288</v>
      </c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110" zoomScaleNormal="110" workbookViewId="0">
      <selection activeCell="B24" sqref="B24"/>
    </sheetView>
  </sheetViews>
  <sheetFormatPr defaultRowHeight="15" x14ac:dyDescent="0.25"/>
  <cols>
    <col min="1" max="1" width="4.7109375" style="3" customWidth="1"/>
    <col min="2" max="2" width="31.42578125" style="3" customWidth="1"/>
    <col min="3" max="3" width="14" style="3" customWidth="1"/>
    <col min="4" max="4" width="10.42578125" style="3" customWidth="1"/>
    <col min="5" max="5" width="9.85546875" style="3" customWidth="1"/>
    <col min="6" max="6" width="11.140625" style="3" customWidth="1"/>
    <col min="7" max="7" width="11.28515625" style="3" customWidth="1"/>
    <col min="8" max="8" width="12" style="3" customWidth="1"/>
    <col min="9" max="9" width="19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289</v>
      </c>
      <c r="B6" s="1"/>
      <c r="C6" s="2"/>
      <c r="D6" s="2"/>
      <c r="E6" s="2"/>
      <c r="F6" s="2"/>
      <c r="G6" s="2"/>
      <c r="H6" s="2"/>
      <c r="I6" s="2"/>
    </row>
    <row r="7" spans="1:9" x14ac:dyDescent="0.25">
      <c r="A7" s="2" t="s">
        <v>290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291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292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293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294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6">
        <v>9</v>
      </c>
    </row>
    <row r="18" spans="1:9" x14ac:dyDescent="0.25">
      <c r="A18" s="57">
        <v>1</v>
      </c>
      <c r="B18" s="25" t="s">
        <v>191</v>
      </c>
      <c r="C18" s="68" t="s">
        <v>71</v>
      </c>
      <c r="D18" s="57"/>
      <c r="E18" s="45" t="s">
        <v>71</v>
      </c>
      <c r="F18" s="25" t="s">
        <v>71</v>
      </c>
      <c r="G18" s="57"/>
      <c r="H18" s="57" t="s">
        <v>71</v>
      </c>
      <c r="I18" s="45" t="s">
        <v>71</v>
      </c>
    </row>
    <row r="19" spans="1:9" x14ac:dyDescent="0.25">
      <c r="A19" s="15"/>
      <c r="B19" s="12" t="s">
        <v>192</v>
      </c>
      <c r="C19" s="78">
        <v>7.56</v>
      </c>
      <c r="D19" s="17">
        <v>-5118.78</v>
      </c>
      <c r="E19" s="17">
        <v>30521.4</v>
      </c>
      <c r="F19" s="17">
        <v>32467.87</v>
      </c>
      <c r="G19" s="16">
        <f t="shared" ref="G19:G25" si="0">E19</f>
        <v>30521.4</v>
      </c>
      <c r="H19" s="16">
        <f>D19+F19-G19</f>
        <v>-3172.3100000000013</v>
      </c>
      <c r="I19" s="17">
        <f>H19</f>
        <v>-3172.3100000000013</v>
      </c>
    </row>
    <row r="20" spans="1:9" x14ac:dyDescent="0.25">
      <c r="A20" s="7" t="s">
        <v>36</v>
      </c>
      <c r="B20" s="18" t="s">
        <v>37</v>
      </c>
      <c r="C20" s="20">
        <v>2.62</v>
      </c>
      <c r="D20" s="44"/>
      <c r="E20" s="44">
        <f>E19*34.5%</f>
        <v>10529.883</v>
      </c>
      <c r="F20" s="44">
        <f>F19*34.5%</f>
        <v>11201.415149999999</v>
      </c>
      <c r="G20" s="43">
        <f t="shared" si="0"/>
        <v>10529.883</v>
      </c>
      <c r="H20" s="38"/>
      <c r="I20" s="22"/>
    </row>
    <row r="21" spans="1:9" x14ac:dyDescent="0.25">
      <c r="A21" s="31" t="s">
        <v>38</v>
      </c>
      <c r="B21" s="25" t="s">
        <v>295</v>
      </c>
      <c r="C21" s="27">
        <v>1.33</v>
      </c>
      <c r="D21" s="45"/>
      <c r="E21" s="45">
        <f>E19*18%</f>
        <v>5493.8519999999999</v>
      </c>
      <c r="F21" s="45">
        <f>F19*18%</f>
        <v>5844.2165999999997</v>
      </c>
      <c r="G21" s="28">
        <f t="shared" si="0"/>
        <v>5493.8519999999999</v>
      </c>
      <c r="H21" s="105"/>
      <c r="I21" s="75"/>
    </row>
    <row r="22" spans="1:9" x14ac:dyDescent="0.25">
      <c r="A22" s="31" t="s">
        <v>40</v>
      </c>
      <c r="B22" s="25" t="s">
        <v>41</v>
      </c>
      <c r="C22" s="27">
        <v>1.22</v>
      </c>
      <c r="D22" s="44"/>
      <c r="E22" s="45">
        <f xml:space="preserve"> E19*16%</f>
        <v>4883.424</v>
      </c>
      <c r="F22" s="45">
        <f>F19*16%</f>
        <v>5194.8591999999999</v>
      </c>
      <c r="G22" s="43">
        <f t="shared" si="0"/>
        <v>4883.424</v>
      </c>
      <c r="H22" s="38"/>
      <c r="I22" s="22"/>
    </row>
    <row r="23" spans="1:9" x14ac:dyDescent="0.25">
      <c r="A23" s="31" t="s">
        <v>42</v>
      </c>
      <c r="B23" s="25" t="s">
        <v>43</v>
      </c>
      <c r="C23" s="27">
        <v>2.39</v>
      </c>
      <c r="D23" s="43"/>
      <c r="E23" s="45">
        <f>E19*31.5%</f>
        <v>9614.241</v>
      </c>
      <c r="F23" s="45">
        <f>F19*31.5%</f>
        <v>10227.37905</v>
      </c>
      <c r="G23" s="28">
        <f t="shared" si="0"/>
        <v>9614.241</v>
      </c>
      <c r="H23" s="105"/>
      <c r="I23" s="29"/>
    </row>
    <row r="24" spans="1:9" x14ac:dyDescent="0.25">
      <c r="A24" s="24" t="s">
        <v>44</v>
      </c>
      <c r="B24" s="25" t="s">
        <v>47</v>
      </c>
      <c r="C24" s="106">
        <v>1.0568599999999999</v>
      </c>
      <c r="D24" s="9"/>
      <c r="E24" s="10">
        <v>3574.53</v>
      </c>
      <c r="F24" s="9">
        <v>2853.66</v>
      </c>
      <c r="G24" s="10">
        <f t="shared" si="0"/>
        <v>3574.53</v>
      </c>
      <c r="H24" s="9">
        <f>D24+F24-G24</f>
        <v>-720.87000000000035</v>
      </c>
      <c r="I24" s="50">
        <f>H24</f>
        <v>-720.87000000000035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4">
        <v>-2524.09</v>
      </c>
      <c r="E25" s="12">
        <v>17524.41</v>
      </c>
      <c r="F25" s="12">
        <v>18010.099999999999</v>
      </c>
      <c r="G25" s="14">
        <f t="shared" si="0"/>
        <v>17524.41</v>
      </c>
      <c r="H25" s="15">
        <f>D25+F25-G25</f>
        <v>-2038.4000000000015</v>
      </c>
      <c r="I25" s="44">
        <f>H25</f>
        <v>-2038.4000000000015</v>
      </c>
    </row>
    <row r="26" spans="1:9" x14ac:dyDescent="0.25">
      <c r="A26" s="25" t="s">
        <v>51</v>
      </c>
      <c r="B26" s="25" t="s">
        <v>216</v>
      </c>
      <c r="C26" s="25"/>
      <c r="D26" s="28"/>
      <c r="E26" s="45"/>
      <c r="F26" s="45"/>
      <c r="G26" s="45"/>
      <c r="H26" s="28"/>
      <c r="I26" s="45"/>
    </row>
    <row r="27" spans="1:9" x14ac:dyDescent="0.25">
      <c r="A27" s="18"/>
      <c r="B27" s="12" t="s">
        <v>275</v>
      </c>
      <c r="C27" s="12">
        <v>1.65</v>
      </c>
      <c r="D27" s="15">
        <v>-1055.1400000000001</v>
      </c>
      <c r="E27" s="18">
        <v>6607.08</v>
      </c>
      <c r="F27" s="12">
        <f>F28+F29</f>
        <v>8120.07</v>
      </c>
      <c r="G27" s="12">
        <f>I48</f>
        <v>0</v>
      </c>
      <c r="H27" s="15">
        <f>D27+F27-G27</f>
        <v>7064.9299999999994</v>
      </c>
      <c r="I27" s="17"/>
    </row>
    <row r="28" spans="1:9" x14ac:dyDescent="0.25">
      <c r="A28" s="11"/>
      <c r="B28" s="9" t="s">
        <v>53</v>
      </c>
      <c r="C28" s="14"/>
      <c r="D28" s="15"/>
      <c r="E28" s="11"/>
      <c r="F28" s="12">
        <v>7111.08</v>
      </c>
      <c r="G28" s="12"/>
      <c r="H28" s="15"/>
      <c r="I28" s="17"/>
    </row>
    <row r="29" spans="1:9" x14ac:dyDescent="0.25">
      <c r="A29" s="11"/>
      <c r="B29" s="9" t="s">
        <v>54</v>
      </c>
      <c r="C29" s="41"/>
      <c r="D29" s="42"/>
      <c r="E29" s="11"/>
      <c r="F29" s="11">
        <v>1008.99</v>
      </c>
      <c r="G29" s="11"/>
      <c r="H29" s="15"/>
      <c r="I29" s="17"/>
    </row>
    <row r="30" spans="1:9" x14ac:dyDescent="0.25">
      <c r="A30" s="1" t="s">
        <v>58</v>
      </c>
      <c r="B30" s="2"/>
      <c r="C30" s="2"/>
      <c r="E30" s="2"/>
      <c r="F30" s="2"/>
      <c r="G30" s="2"/>
      <c r="H30" s="2"/>
      <c r="I30" s="2"/>
    </row>
    <row r="31" spans="1:9" x14ac:dyDescent="0.25">
      <c r="A31" s="5" t="s">
        <v>69</v>
      </c>
    </row>
    <row r="32" spans="1:9" x14ac:dyDescent="0.25">
      <c r="A32" s="1" t="s">
        <v>70</v>
      </c>
      <c r="B32" s="5"/>
      <c r="C32" s="5"/>
      <c r="D32" s="56"/>
      <c r="E32" s="5"/>
      <c r="F32" s="5"/>
      <c r="G32" s="5"/>
      <c r="H32" s="5"/>
      <c r="I32" s="5"/>
    </row>
    <row r="33" spans="1:9" x14ac:dyDescent="0.25">
      <c r="A33" s="6" t="s">
        <v>71</v>
      </c>
      <c r="B33" s="68" t="s">
        <v>72</v>
      </c>
      <c r="C33" s="6" t="s">
        <v>73</v>
      </c>
      <c r="D33" s="58" t="s">
        <v>74</v>
      </c>
      <c r="E33" s="6" t="s">
        <v>75</v>
      </c>
      <c r="F33" s="58" t="s">
        <v>76</v>
      </c>
      <c r="G33" s="48" t="s">
        <v>77</v>
      </c>
      <c r="H33" s="75" t="s">
        <v>15</v>
      </c>
      <c r="I33" s="49" t="s">
        <v>19</v>
      </c>
    </row>
    <row r="34" spans="1:9" x14ac:dyDescent="0.25">
      <c r="A34" s="7"/>
      <c r="B34" s="5" t="s">
        <v>79</v>
      </c>
      <c r="C34" s="7" t="s">
        <v>80</v>
      </c>
      <c r="D34" s="60" t="s">
        <v>81</v>
      </c>
      <c r="E34" s="7" t="s">
        <v>82</v>
      </c>
      <c r="F34" s="60" t="s">
        <v>83</v>
      </c>
      <c r="G34" s="51" t="s">
        <v>84</v>
      </c>
      <c r="H34" s="22" t="s">
        <v>25</v>
      </c>
      <c r="I34" s="61" t="s">
        <v>86</v>
      </c>
    </row>
    <row r="35" spans="1:9" x14ac:dyDescent="0.25">
      <c r="A35" s="7"/>
      <c r="B35" s="60"/>
      <c r="C35" s="7"/>
      <c r="D35" s="60"/>
      <c r="E35" s="7"/>
      <c r="F35" s="60" t="s">
        <v>87</v>
      </c>
      <c r="G35" s="51" t="s">
        <v>88</v>
      </c>
      <c r="H35" s="22" t="s">
        <v>30</v>
      </c>
      <c r="I35" s="61" t="s">
        <v>239</v>
      </c>
    </row>
    <row r="36" spans="1:9" x14ac:dyDescent="0.25">
      <c r="A36" s="62"/>
      <c r="B36" s="74"/>
      <c r="C36" s="62"/>
      <c r="D36" s="60"/>
      <c r="E36" s="62"/>
      <c r="F36" s="74"/>
      <c r="G36" s="52"/>
      <c r="H36" s="54"/>
      <c r="I36" s="53"/>
    </row>
    <row r="37" spans="1:9" x14ac:dyDescent="0.25">
      <c r="A37" s="9">
        <v>2</v>
      </c>
      <c r="B37" s="9" t="s">
        <v>90</v>
      </c>
      <c r="C37" s="41" t="s">
        <v>91</v>
      </c>
      <c r="D37" s="9">
        <v>-16516.05</v>
      </c>
      <c r="E37" s="65">
        <v>43629.45</v>
      </c>
      <c r="F37" s="9">
        <v>43583.25</v>
      </c>
      <c r="G37" s="65">
        <f>E37</f>
        <v>43629.45</v>
      </c>
      <c r="H37" s="9">
        <f>D37+F37-G37</f>
        <v>-16562.249999999996</v>
      </c>
      <c r="I37" s="9">
        <f>H37</f>
        <v>-16562.249999999996</v>
      </c>
    </row>
    <row r="38" spans="1:9" x14ac:dyDescent="0.25">
      <c r="A38" s="9"/>
      <c r="B38" s="10" t="s">
        <v>92</v>
      </c>
      <c r="C38" s="8" t="s">
        <v>93</v>
      </c>
      <c r="D38" s="8"/>
      <c r="E38" s="9"/>
      <c r="F38" s="10"/>
      <c r="G38" s="9"/>
      <c r="H38" s="50"/>
      <c r="I38" s="50"/>
    </row>
    <row r="39" spans="1:9" x14ac:dyDescent="0.25">
      <c r="A39" s="2"/>
      <c r="B39" s="2" t="s">
        <v>71</v>
      </c>
      <c r="C39" s="2"/>
      <c r="D39" s="2"/>
      <c r="E39" s="2"/>
      <c r="F39" s="2" t="s">
        <v>71</v>
      </c>
      <c r="G39" s="2"/>
      <c r="H39" s="2"/>
      <c r="I39" s="2"/>
    </row>
    <row r="40" spans="1:9" x14ac:dyDescent="0.25">
      <c r="A40" s="1" t="s">
        <v>219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5" t="s">
        <v>220</v>
      </c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48" t="s">
        <v>12</v>
      </c>
      <c r="B42" s="6" t="s">
        <v>221</v>
      </c>
      <c r="C42" s="58" t="s">
        <v>103</v>
      </c>
      <c r="D42" s="58"/>
      <c r="E42" s="58"/>
      <c r="F42" s="48" t="s">
        <v>222</v>
      </c>
      <c r="G42" s="58"/>
      <c r="H42" s="49"/>
      <c r="I42" s="6" t="s">
        <v>105</v>
      </c>
    </row>
    <row r="43" spans="1:9" x14ac:dyDescent="0.25">
      <c r="A43" s="51" t="s">
        <v>106</v>
      </c>
      <c r="B43" s="7" t="s">
        <v>223</v>
      </c>
      <c r="C43" s="60"/>
      <c r="D43" s="60"/>
      <c r="E43" s="60"/>
      <c r="F43" s="51" t="s">
        <v>224</v>
      </c>
      <c r="G43" s="60"/>
      <c r="H43" s="61"/>
      <c r="I43" s="7" t="s">
        <v>108</v>
      </c>
    </row>
    <row r="44" spans="1:9" x14ac:dyDescent="0.25">
      <c r="A44" s="51"/>
      <c r="B44" s="7"/>
      <c r="C44" s="60"/>
      <c r="D44" s="60"/>
      <c r="E44" s="60"/>
      <c r="F44" s="51" t="s">
        <v>225</v>
      </c>
      <c r="G44" s="60"/>
      <c r="H44" s="61"/>
      <c r="I44" s="7"/>
    </row>
    <row r="45" spans="1:9" x14ac:dyDescent="0.25">
      <c r="A45" s="51"/>
      <c r="B45" s="62"/>
      <c r="C45" s="60"/>
      <c r="D45" s="60"/>
      <c r="E45" s="60"/>
      <c r="F45" s="51" t="s">
        <v>226</v>
      </c>
      <c r="G45" s="60"/>
      <c r="H45" s="61"/>
      <c r="I45" s="7"/>
    </row>
    <row r="46" spans="1:9" x14ac:dyDescent="0.25">
      <c r="A46" s="67" t="s">
        <v>110</v>
      </c>
      <c r="B46" s="25"/>
      <c r="C46" s="68" t="s">
        <v>111</v>
      </c>
      <c r="D46" s="68"/>
      <c r="E46" s="68"/>
      <c r="F46" s="48"/>
      <c r="G46" s="58"/>
      <c r="H46" s="49"/>
      <c r="I46" s="6"/>
    </row>
    <row r="47" spans="1:9" x14ac:dyDescent="0.25">
      <c r="A47" s="69"/>
      <c r="B47" s="7"/>
      <c r="C47" s="60" t="s">
        <v>112</v>
      </c>
      <c r="D47" s="60"/>
      <c r="E47" s="60"/>
      <c r="F47" s="51" t="s">
        <v>71</v>
      </c>
      <c r="G47" s="37"/>
      <c r="H47" s="61" t="s">
        <v>71</v>
      </c>
      <c r="I47" s="7" t="s">
        <v>71</v>
      </c>
    </row>
    <row r="48" spans="1:9" x14ac:dyDescent="0.25">
      <c r="A48" s="73"/>
      <c r="B48" s="62"/>
      <c r="C48" s="14" t="s">
        <v>118</v>
      </c>
      <c r="D48" s="14"/>
      <c r="E48" s="14"/>
      <c r="F48" s="55"/>
      <c r="G48" s="78">
        <v>0</v>
      </c>
      <c r="H48" s="85"/>
      <c r="I48" s="12">
        <v>0</v>
      </c>
    </row>
    <row r="49" spans="1:10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</row>
    <row r="50" spans="1:10" x14ac:dyDescent="0.25">
      <c r="A50" s="60" t="s">
        <v>241</v>
      </c>
      <c r="B50" s="60"/>
      <c r="C50" s="60" t="s">
        <v>71</v>
      </c>
      <c r="D50" s="60" t="s">
        <v>123</v>
      </c>
      <c r="E50" s="60"/>
      <c r="F50" s="60" t="s">
        <v>124</v>
      </c>
      <c r="G50" s="60"/>
      <c r="H50" s="60" t="s">
        <v>125</v>
      </c>
      <c r="I50" s="60" t="s">
        <v>296</v>
      </c>
      <c r="J50" s="118"/>
    </row>
    <row r="51" spans="1:10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</row>
    <row r="52" spans="1:10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110" zoomScaleNormal="110" workbookViewId="0">
      <selection activeCell="E23" sqref="E23:F23"/>
    </sheetView>
  </sheetViews>
  <sheetFormatPr defaultRowHeight="15" x14ac:dyDescent="0.25"/>
  <cols>
    <col min="1" max="1" width="4.42578125" style="3" customWidth="1"/>
    <col min="2" max="2" width="32.42578125" style="3" customWidth="1"/>
    <col min="3" max="3" width="12.5703125" style="3" customWidth="1"/>
    <col min="4" max="4" width="11.85546875" style="3" customWidth="1"/>
    <col min="5" max="5" width="11.28515625" style="3" customWidth="1"/>
    <col min="6" max="6" width="12.85546875" style="3" customWidth="1"/>
    <col min="7" max="7" width="12.140625" style="3" customWidth="1"/>
    <col min="8" max="8" width="11.42578125" style="3" customWidth="1"/>
    <col min="9" max="9" width="17.85546875" style="3" customWidth="1"/>
    <col min="10" max="16384" width="9.140625" style="3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K1" s="118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  <c r="K2" s="118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K3" s="118"/>
    </row>
    <row r="4" spans="1:11" x14ac:dyDescent="0.25">
      <c r="A4" s="1" t="s">
        <v>186</v>
      </c>
      <c r="B4" s="1"/>
      <c r="C4" s="1"/>
      <c r="D4" s="1"/>
      <c r="E4" s="1"/>
      <c r="F4" s="1"/>
      <c r="G4" s="1"/>
      <c r="H4" s="1"/>
      <c r="I4" s="1"/>
      <c r="K4" s="118"/>
    </row>
    <row r="5" spans="1:11" x14ac:dyDescent="0.25">
      <c r="A5" s="1"/>
      <c r="B5" s="1"/>
      <c r="C5" s="1"/>
      <c r="D5" s="1"/>
      <c r="E5" s="1"/>
      <c r="F5" s="1"/>
      <c r="G5" s="1"/>
      <c r="H5" s="1"/>
      <c r="I5" s="2"/>
      <c r="K5" s="118"/>
    </row>
    <row r="6" spans="1:11" x14ac:dyDescent="0.25">
      <c r="A6" s="1" t="s">
        <v>4</v>
      </c>
      <c r="B6" s="2"/>
      <c r="C6" s="2"/>
      <c r="D6" s="2"/>
      <c r="E6" s="2"/>
      <c r="F6" s="2"/>
      <c r="G6" s="2"/>
      <c r="H6" s="2"/>
      <c r="I6" s="2"/>
      <c r="K6" s="118"/>
    </row>
    <row r="7" spans="1:11" x14ac:dyDescent="0.25">
      <c r="A7" s="1" t="s">
        <v>297</v>
      </c>
      <c r="B7" s="2"/>
      <c r="C7" s="2"/>
      <c r="D7" s="2"/>
      <c r="E7" s="2"/>
      <c r="F7" s="2"/>
      <c r="G7" s="2"/>
      <c r="H7" s="2"/>
      <c r="I7" s="2"/>
      <c r="K7" s="118"/>
    </row>
    <row r="8" spans="1:11" x14ac:dyDescent="0.25">
      <c r="A8" s="2" t="s">
        <v>298</v>
      </c>
      <c r="B8" s="2"/>
      <c r="C8" s="2"/>
      <c r="D8" s="2"/>
      <c r="E8" s="2"/>
      <c r="F8" s="2"/>
      <c r="G8" s="2"/>
      <c r="H8" s="2"/>
      <c r="I8" s="2"/>
      <c r="K8" s="118"/>
    </row>
    <row r="9" spans="1:11" x14ac:dyDescent="0.25">
      <c r="A9" s="2" t="s">
        <v>299</v>
      </c>
      <c r="B9" s="2"/>
      <c r="C9" s="2"/>
      <c r="D9" s="2"/>
      <c r="E9" s="2"/>
      <c r="F9" s="2"/>
      <c r="G9" s="2"/>
      <c r="H9" s="2"/>
      <c r="I9" s="2"/>
      <c r="K9" s="118"/>
    </row>
    <row r="10" spans="1:11" x14ac:dyDescent="0.25">
      <c r="A10" s="2" t="s">
        <v>300</v>
      </c>
      <c r="B10" s="2"/>
      <c r="C10" s="2"/>
      <c r="D10" s="2"/>
      <c r="E10" s="2"/>
      <c r="F10" s="2"/>
      <c r="G10" s="2"/>
      <c r="H10" s="2"/>
      <c r="I10" s="2"/>
      <c r="K10" s="118"/>
    </row>
    <row r="11" spans="1:11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  <c r="K11" s="118"/>
    </row>
    <row r="12" spans="1:11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  <c r="K12" s="118"/>
    </row>
    <row r="13" spans="1:11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  <c r="K13" s="118"/>
    </row>
    <row r="14" spans="1:11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  <c r="K14" s="118"/>
    </row>
    <row r="15" spans="1:11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136</v>
      </c>
      <c r="K15" s="118"/>
    </row>
    <row r="16" spans="1:11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138</v>
      </c>
      <c r="K16" s="118"/>
    </row>
    <row r="17" spans="1:11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  <c r="K17" s="118"/>
    </row>
    <row r="18" spans="1:11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6">
        <v>9</v>
      </c>
      <c r="K18" s="118"/>
    </row>
    <row r="19" spans="1:11" x14ac:dyDescent="0.25">
      <c r="A19" s="57">
        <v>1</v>
      </c>
      <c r="B19" s="25" t="s">
        <v>191</v>
      </c>
      <c r="C19" s="68" t="s">
        <v>71</v>
      </c>
      <c r="D19" s="57"/>
      <c r="E19" s="45" t="s">
        <v>71</v>
      </c>
      <c r="F19" s="25" t="s">
        <v>71</v>
      </c>
      <c r="G19" s="57"/>
      <c r="H19" s="57" t="s">
        <v>71</v>
      </c>
      <c r="I19" s="45" t="s">
        <v>71</v>
      </c>
      <c r="K19" s="118"/>
    </row>
    <row r="20" spans="1:11" x14ac:dyDescent="0.25">
      <c r="A20" s="15"/>
      <c r="B20" s="12" t="s">
        <v>192</v>
      </c>
      <c r="C20" s="78">
        <v>7.56</v>
      </c>
      <c r="D20" s="17">
        <v>-33607.730000000003</v>
      </c>
      <c r="E20" s="17">
        <v>49803.72</v>
      </c>
      <c r="F20" s="17">
        <v>39293.300000000003</v>
      </c>
      <c r="G20" s="16">
        <f>E20</f>
        <v>49803.72</v>
      </c>
      <c r="H20" s="16">
        <f>D20+F20-G20</f>
        <v>-44118.15</v>
      </c>
      <c r="I20" s="17">
        <f>H20</f>
        <v>-44118.15</v>
      </c>
      <c r="K20" s="118"/>
    </row>
    <row r="21" spans="1:11" x14ac:dyDescent="0.25">
      <c r="A21" s="7" t="s">
        <v>36</v>
      </c>
      <c r="B21" s="11" t="s">
        <v>37</v>
      </c>
      <c r="C21" s="33">
        <v>2.62</v>
      </c>
      <c r="D21" s="43"/>
      <c r="E21" s="43">
        <f>E20*34.5%</f>
        <v>17182.2834</v>
      </c>
      <c r="F21" s="43">
        <f>F20*34.5%</f>
        <v>13556.1885</v>
      </c>
      <c r="G21" s="32">
        <f>E21</f>
        <v>17182.2834</v>
      </c>
      <c r="H21" s="38"/>
      <c r="I21" s="22"/>
      <c r="K21" s="118"/>
    </row>
    <row r="22" spans="1:11" x14ac:dyDescent="0.25">
      <c r="A22" s="24" t="s">
        <v>38</v>
      </c>
      <c r="B22" s="25" t="s">
        <v>39</v>
      </c>
      <c r="C22" s="27">
        <v>1.33</v>
      </c>
      <c r="D22" s="43"/>
      <c r="E22" s="45">
        <f>E20*18%</f>
        <v>8964.6695999999993</v>
      </c>
      <c r="F22" s="45">
        <f>F20*18%</f>
        <v>7072.7939999999999</v>
      </c>
      <c r="G22" s="34">
        <f>E22</f>
        <v>8964.6695999999993</v>
      </c>
      <c r="H22" s="40"/>
      <c r="I22" s="29"/>
      <c r="K22" s="118"/>
    </row>
    <row r="23" spans="1:11" x14ac:dyDescent="0.25">
      <c r="A23" s="24" t="s">
        <v>40</v>
      </c>
      <c r="B23" s="25" t="s">
        <v>41</v>
      </c>
      <c r="C23" s="27">
        <v>1.22</v>
      </c>
      <c r="D23" s="44"/>
      <c r="E23" s="44">
        <f xml:space="preserve"> E20*16%</f>
        <v>7968.5952000000007</v>
      </c>
      <c r="F23" s="44">
        <f>F20*16%</f>
        <v>6286.9280000000008</v>
      </c>
      <c r="G23" s="20">
        <f>E23</f>
        <v>7968.5952000000007</v>
      </c>
      <c r="H23" s="38"/>
      <c r="I23" s="22"/>
      <c r="K23" s="118"/>
    </row>
    <row r="24" spans="1:11" x14ac:dyDescent="0.25">
      <c r="A24" s="24" t="s">
        <v>42</v>
      </c>
      <c r="B24" s="25" t="s">
        <v>301</v>
      </c>
      <c r="C24" s="27">
        <v>2.39</v>
      </c>
      <c r="D24" s="45"/>
      <c r="E24" s="45">
        <f>E20*31.5%</f>
        <v>15688.1718</v>
      </c>
      <c r="F24" s="45">
        <f>F20*31.5%</f>
        <v>12377.389500000001</v>
      </c>
      <c r="G24" s="28">
        <f>E24</f>
        <v>15688.1718</v>
      </c>
      <c r="H24" s="105"/>
      <c r="I24" s="75"/>
      <c r="K24" s="118"/>
    </row>
    <row r="25" spans="1:11" x14ac:dyDescent="0.25">
      <c r="A25" s="62"/>
      <c r="B25" s="12" t="s">
        <v>302</v>
      </c>
      <c r="C25" s="78"/>
      <c r="D25" s="17"/>
      <c r="E25" s="17"/>
      <c r="F25" s="17"/>
      <c r="G25" s="16"/>
      <c r="H25" s="55"/>
      <c r="I25" s="54"/>
      <c r="K25" s="118"/>
    </row>
    <row r="26" spans="1:11" x14ac:dyDescent="0.25">
      <c r="A26" s="36" t="s">
        <v>44</v>
      </c>
      <c r="B26" s="9" t="s">
        <v>47</v>
      </c>
      <c r="C26" s="119">
        <v>1.1766300000000001</v>
      </c>
      <c r="D26" s="9"/>
      <c r="E26" s="10">
        <v>7219.93</v>
      </c>
      <c r="F26" s="9">
        <v>4267.03</v>
      </c>
      <c r="G26" s="10">
        <f>E26</f>
        <v>7219.93</v>
      </c>
      <c r="H26" s="9">
        <f>D26+F26-G26</f>
        <v>-2952.9000000000005</v>
      </c>
      <c r="I26" s="50">
        <f>H26</f>
        <v>-2952.9000000000005</v>
      </c>
      <c r="K26" s="118"/>
    </row>
    <row r="27" spans="1:11" x14ac:dyDescent="0.25">
      <c r="A27" s="25" t="s">
        <v>48</v>
      </c>
      <c r="B27" s="25" t="s">
        <v>49</v>
      </c>
      <c r="C27" s="25" t="s">
        <v>50</v>
      </c>
      <c r="D27" s="44">
        <v>-11618.75</v>
      </c>
      <c r="E27" s="18">
        <v>23076.15</v>
      </c>
      <c r="F27" s="18">
        <v>18072.27</v>
      </c>
      <c r="G27" s="5">
        <f>E27</f>
        <v>23076.15</v>
      </c>
      <c r="H27" s="21">
        <f>D27+F27-G27</f>
        <v>-16622.63</v>
      </c>
      <c r="I27" s="44">
        <f>H27</f>
        <v>-16622.63</v>
      </c>
      <c r="K27" s="118"/>
    </row>
    <row r="28" spans="1:11" x14ac:dyDescent="0.25">
      <c r="A28" s="11" t="s">
        <v>51</v>
      </c>
      <c r="B28" s="11" t="s">
        <v>195</v>
      </c>
      <c r="C28" s="11">
        <v>1.65</v>
      </c>
      <c r="D28" s="43">
        <v>-41299.339999999997</v>
      </c>
      <c r="E28" s="11">
        <v>10870.2</v>
      </c>
      <c r="F28" s="11">
        <f>F29+F30</f>
        <v>9167.51</v>
      </c>
      <c r="G28" s="11">
        <f>I52</f>
        <v>0</v>
      </c>
      <c r="H28" s="34">
        <f>D28+F28-G28</f>
        <v>-32131.829999999994</v>
      </c>
      <c r="I28" s="43">
        <f>H28</f>
        <v>-32131.829999999994</v>
      </c>
      <c r="K28" s="118"/>
    </row>
    <row r="29" spans="1:11" x14ac:dyDescent="0.25">
      <c r="A29" s="11"/>
      <c r="B29" s="9" t="s">
        <v>53</v>
      </c>
      <c r="C29" s="11"/>
      <c r="D29" s="42"/>
      <c r="E29" s="11">
        <v>0</v>
      </c>
      <c r="F29" s="11">
        <v>9167.51</v>
      </c>
      <c r="G29" s="11">
        <v>0</v>
      </c>
      <c r="H29" s="42"/>
      <c r="I29" s="43"/>
      <c r="K29" s="118"/>
    </row>
    <row r="30" spans="1:11" x14ac:dyDescent="0.25">
      <c r="A30" s="18"/>
      <c r="B30" s="9" t="s">
        <v>54</v>
      </c>
      <c r="C30" s="18"/>
      <c r="D30" s="59"/>
      <c r="E30" s="11">
        <v>0</v>
      </c>
      <c r="F30" s="11">
        <v>0</v>
      </c>
      <c r="G30" s="18">
        <v>0</v>
      </c>
      <c r="H30" s="59"/>
      <c r="I30" s="44"/>
      <c r="K30" s="118"/>
    </row>
    <row r="31" spans="1:11" x14ac:dyDescent="0.25">
      <c r="A31" s="11" t="s">
        <v>55</v>
      </c>
      <c r="B31" s="11" t="s">
        <v>146</v>
      </c>
      <c r="C31" s="41"/>
      <c r="D31" s="42" t="s">
        <v>71</v>
      </c>
      <c r="E31" s="11"/>
      <c r="F31" s="11"/>
      <c r="G31" s="11"/>
      <c r="H31" s="42" t="s">
        <v>71</v>
      </c>
      <c r="I31" s="43"/>
      <c r="K31" s="118"/>
    </row>
    <row r="32" spans="1:11" x14ac:dyDescent="0.25">
      <c r="A32" s="12"/>
      <c r="B32" s="12" t="s">
        <v>303</v>
      </c>
      <c r="C32" s="14">
        <v>0</v>
      </c>
      <c r="D32" s="15">
        <v>349.68</v>
      </c>
      <c r="E32" s="12">
        <v>0</v>
      </c>
      <c r="F32" s="12">
        <f>F33</f>
        <v>5.37</v>
      </c>
      <c r="G32" s="12">
        <v>0</v>
      </c>
      <c r="H32" s="15">
        <f>D32+F32-G32</f>
        <v>355.05</v>
      </c>
      <c r="I32" s="44"/>
      <c r="K32" s="118"/>
    </row>
    <row r="33" spans="1:11" x14ac:dyDescent="0.25">
      <c r="A33" s="9"/>
      <c r="B33" s="9" t="s">
        <v>53</v>
      </c>
      <c r="C33" s="10">
        <v>0</v>
      </c>
      <c r="D33" s="8"/>
      <c r="E33" s="9">
        <v>0</v>
      </c>
      <c r="F33" s="9">
        <v>5.37</v>
      </c>
      <c r="G33" s="9">
        <v>0</v>
      </c>
      <c r="H33" s="8"/>
      <c r="I33" s="29"/>
      <c r="K33" s="118"/>
    </row>
    <row r="34" spans="1:11" x14ac:dyDescent="0.25">
      <c r="A34" s="1" t="s">
        <v>58</v>
      </c>
      <c r="B34" s="2"/>
      <c r="C34" s="2"/>
      <c r="E34" s="2"/>
      <c r="F34" s="2"/>
      <c r="G34" s="2"/>
      <c r="H34" s="2"/>
      <c r="I34" s="2"/>
      <c r="K34" s="118"/>
    </row>
    <row r="35" spans="1:11" x14ac:dyDescent="0.25">
      <c r="A35" s="5" t="s">
        <v>69</v>
      </c>
      <c r="K35" s="118"/>
    </row>
    <row r="36" spans="1:11" x14ac:dyDescent="0.25">
      <c r="A36" s="1" t="s">
        <v>70</v>
      </c>
      <c r="B36" s="5"/>
      <c r="C36" s="5"/>
      <c r="D36" s="56"/>
      <c r="E36" s="5"/>
      <c r="F36" s="5"/>
      <c r="G36" s="5"/>
      <c r="H36" s="5"/>
      <c r="I36" s="5"/>
      <c r="K36" s="118"/>
    </row>
    <row r="37" spans="1:11" x14ac:dyDescent="0.25">
      <c r="A37" s="6" t="s">
        <v>71</v>
      </c>
      <c r="B37" s="68" t="s">
        <v>72</v>
      </c>
      <c r="C37" s="6" t="s">
        <v>73</v>
      </c>
      <c r="D37" s="58" t="s">
        <v>74</v>
      </c>
      <c r="E37" s="6" t="s">
        <v>75</v>
      </c>
      <c r="F37" s="58" t="s">
        <v>76</v>
      </c>
      <c r="G37" s="48" t="s">
        <v>77</v>
      </c>
      <c r="H37" s="75" t="s">
        <v>15</v>
      </c>
      <c r="I37" s="49" t="s">
        <v>19</v>
      </c>
      <c r="K37" s="118"/>
    </row>
    <row r="38" spans="1:11" x14ac:dyDescent="0.25">
      <c r="A38" s="7"/>
      <c r="B38" s="5" t="s">
        <v>79</v>
      </c>
      <c r="C38" s="7" t="s">
        <v>80</v>
      </c>
      <c r="D38" s="60" t="s">
        <v>81</v>
      </c>
      <c r="E38" s="7" t="s">
        <v>82</v>
      </c>
      <c r="F38" s="60" t="s">
        <v>83</v>
      </c>
      <c r="G38" s="51" t="s">
        <v>84</v>
      </c>
      <c r="H38" s="22" t="s">
        <v>25</v>
      </c>
      <c r="I38" s="61" t="s">
        <v>86</v>
      </c>
      <c r="K38" s="118"/>
    </row>
    <row r="39" spans="1:11" x14ac:dyDescent="0.25">
      <c r="A39" s="7"/>
      <c r="B39" s="60"/>
      <c r="C39" s="7"/>
      <c r="D39" s="60"/>
      <c r="E39" s="7"/>
      <c r="F39" s="60" t="s">
        <v>87</v>
      </c>
      <c r="G39" s="51" t="s">
        <v>88</v>
      </c>
      <c r="H39" s="22" t="s">
        <v>30</v>
      </c>
      <c r="I39" s="61" t="s">
        <v>239</v>
      </c>
      <c r="K39" s="118"/>
    </row>
    <row r="40" spans="1:11" x14ac:dyDescent="0.25">
      <c r="A40" s="62"/>
      <c r="B40" s="74"/>
      <c r="C40" s="62"/>
      <c r="D40" s="74"/>
      <c r="E40" s="62"/>
      <c r="F40" s="74"/>
      <c r="G40" s="52"/>
      <c r="H40" s="54"/>
      <c r="I40" s="53"/>
      <c r="K40" s="118"/>
    </row>
    <row r="41" spans="1:11" x14ac:dyDescent="0.25">
      <c r="A41" s="9">
        <v>1</v>
      </c>
      <c r="B41" s="9" t="s">
        <v>90</v>
      </c>
      <c r="C41" s="41" t="s">
        <v>91</v>
      </c>
      <c r="D41" s="9">
        <v>-53516.12</v>
      </c>
      <c r="E41" s="65">
        <v>48796.58</v>
      </c>
      <c r="F41" s="9">
        <v>58706.83</v>
      </c>
      <c r="G41" s="65">
        <f>E41</f>
        <v>48796.58</v>
      </c>
      <c r="H41" s="9">
        <f>D41+F41-G41</f>
        <v>-43605.87</v>
      </c>
      <c r="I41" s="9">
        <f>H41</f>
        <v>-43605.87</v>
      </c>
      <c r="K41" s="118"/>
    </row>
    <row r="42" spans="1:11" x14ac:dyDescent="0.25">
      <c r="A42" s="8"/>
      <c r="B42" s="8" t="s">
        <v>218</v>
      </c>
      <c r="C42" s="8" t="s">
        <v>93</v>
      </c>
      <c r="D42" s="8"/>
      <c r="E42" s="9"/>
      <c r="F42" s="50"/>
      <c r="G42" s="50"/>
      <c r="H42" s="50"/>
      <c r="I42" s="50"/>
      <c r="K42" s="118"/>
    </row>
    <row r="43" spans="1:11" x14ac:dyDescent="0.25">
      <c r="A43" s="2"/>
      <c r="B43" s="2" t="s">
        <v>71</v>
      </c>
      <c r="C43" s="2"/>
      <c r="D43" s="2"/>
      <c r="E43" s="2"/>
      <c r="F43" s="2" t="s">
        <v>71</v>
      </c>
      <c r="G43" s="2"/>
      <c r="H43" s="2"/>
      <c r="I43" s="2"/>
      <c r="K43" s="118"/>
    </row>
    <row r="44" spans="1:11" x14ac:dyDescent="0.25">
      <c r="A44" s="1" t="s">
        <v>219</v>
      </c>
      <c r="B44" s="2"/>
      <c r="C44" s="2"/>
      <c r="D44" s="2"/>
      <c r="E44" s="2"/>
      <c r="F44" s="2"/>
      <c r="G44" s="2"/>
      <c r="H44" s="2"/>
      <c r="I44" s="2"/>
      <c r="K44" s="118"/>
    </row>
    <row r="45" spans="1:11" x14ac:dyDescent="0.25">
      <c r="A45" s="5" t="s">
        <v>220</v>
      </c>
      <c r="B45" s="2"/>
      <c r="C45" s="2"/>
      <c r="D45" s="2"/>
      <c r="E45" s="2"/>
      <c r="F45" s="2"/>
      <c r="G45" s="2"/>
      <c r="H45" s="2"/>
      <c r="I45" s="2"/>
      <c r="K45" s="118"/>
    </row>
    <row r="46" spans="1:11" x14ac:dyDescent="0.25">
      <c r="A46" s="48" t="s">
        <v>12</v>
      </c>
      <c r="B46" s="6" t="s">
        <v>221</v>
      </c>
      <c r="C46" s="58" t="s">
        <v>103</v>
      </c>
      <c r="D46" s="58"/>
      <c r="E46" s="58"/>
      <c r="F46" s="48" t="s">
        <v>222</v>
      </c>
      <c r="G46" s="58"/>
      <c r="H46" s="49"/>
      <c r="I46" s="6" t="s">
        <v>105</v>
      </c>
      <c r="K46" s="118"/>
    </row>
    <row r="47" spans="1:11" x14ac:dyDescent="0.25">
      <c r="A47" s="51" t="s">
        <v>106</v>
      </c>
      <c r="B47" s="7" t="s">
        <v>223</v>
      </c>
      <c r="C47" s="60"/>
      <c r="D47" s="60"/>
      <c r="E47" s="60"/>
      <c r="F47" s="51" t="s">
        <v>224</v>
      </c>
      <c r="G47" s="60"/>
      <c r="H47" s="61"/>
      <c r="I47" s="7" t="s">
        <v>108</v>
      </c>
      <c r="K47" s="118"/>
    </row>
    <row r="48" spans="1:11" x14ac:dyDescent="0.25">
      <c r="A48" s="51"/>
      <c r="B48" s="7"/>
      <c r="C48" s="60"/>
      <c r="D48" s="60"/>
      <c r="E48" s="60"/>
      <c r="F48" s="51" t="s">
        <v>225</v>
      </c>
      <c r="G48" s="60"/>
      <c r="H48" s="61"/>
      <c r="I48" s="7"/>
      <c r="K48" s="118"/>
    </row>
    <row r="49" spans="1:11" x14ac:dyDescent="0.25">
      <c r="A49" s="51"/>
      <c r="B49" s="62"/>
      <c r="C49" s="60"/>
      <c r="D49" s="60"/>
      <c r="E49" s="60"/>
      <c r="F49" s="51" t="s">
        <v>226</v>
      </c>
      <c r="G49" s="60"/>
      <c r="H49" s="61"/>
      <c r="I49" s="7"/>
      <c r="K49" s="118"/>
    </row>
    <row r="50" spans="1:11" x14ac:dyDescent="0.25">
      <c r="A50" s="67" t="s">
        <v>110</v>
      </c>
      <c r="B50" s="18"/>
      <c r="C50" s="68" t="s">
        <v>111</v>
      </c>
      <c r="D50" s="68"/>
      <c r="E50" s="68"/>
      <c r="F50" s="48"/>
      <c r="G50" s="58"/>
      <c r="H50" s="49"/>
      <c r="I50" s="6"/>
      <c r="K50" s="118"/>
    </row>
    <row r="51" spans="1:11" x14ac:dyDescent="0.25">
      <c r="A51" s="120"/>
      <c r="B51" s="70"/>
      <c r="C51" s="60"/>
      <c r="D51" s="60"/>
      <c r="E51" s="5"/>
      <c r="F51" s="51"/>
      <c r="G51" s="37"/>
      <c r="H51" s="61"/>
      <c r="I51" s="7"/>
      <c r="K51" s="118"/>
    </row>
    <row r="52" spans="1:11" x14ac:dyDescent="0.25">
      <c r="A52" s="69"/>
      <c r="B52" s="7"/>
      <c r="C52" s="5" t="s">
        <v>118</v>
      </c>
      <c r="D52" s="5"/>
      <c r="E52" s="5"/>
      <c r="F52" s="59"/>
      <c r="G52" s="37">
        <f>SUM(G51:G51)</f>
        <v>0</v>
      </c>
      <c r="H52" s="71"/>
      <c r="I52" s="18">
        <f>SUM(I51:I51)</f>
        <v>0</v>
      </c>
      <c r="K52" s="118"/>
    </row>
    <row r="53" spans="1:11" x14ac:dyDescent="0.25">
      <c r="A53" s="6"/>
      <c r="B53" s="6"/>
      <c r="C53" s="48"/>
      <c r="D53" s="58"/>
      <c r="E53" s="49"/>
      <c r="F53" s="48"/>
      <c r="G53" s="86"/>
      <c r="H53" s="49"/>
      <c r="I53" s="6"/>
      <c r="K53" s="118"/>
    </row>
    <row r="54" spans="1:11" x14ac:dyDescent="0.25">
      <c r="A54" s="25" t="s">
        <v>48</v>
      </c>
      <c r="B54" s="25" t="s">
        <v>119</v>
      </c>
      <c r="C54" s="57" t="s">
        <v>120</v>
      </c>
      <c r="D54" s="58"/>
      <c r="E54" s="49"/>
      <c r="F54" s="48" t="s">
        <v>121</v>
      </c>
      <c r="G54" s="58"/>
      <c r="H54" s="49"/>
      <c r="I54" s="6">
        <v>0</v>
      </c>
      <c r="K54" s="118"/>
    </row>
    <row r="55" spans="1:11" x14ac:dyDescent="0.25">
      <c r="A55" s="73"/>
      <c r="B55" s="62" t="s">
        <v>119</v>
      </c>
      <c r="C55" s="15" t="s">
        <v>118</v>
      </c>
      <c r="D55" s="14"/>
      <c r="E55" s="85"/>
      <c r="F55" s="15" t="s">
        <v>71</v>
      </c>
      <c r="G55" s="14">
        <v>0</v>
      </c>
      <c r="H55" s="85"/>
      <c r="I55" s="12">
        <v>0</v>
      </c>
      <c r="K55" s="118"/>
    </row>
    <row r="56" spans="1:11" x14ac:dyDescent="0.25">
      <c r="A56" s="2" t="s">
        <v>304</v>
      </c>
      <c r="B56" s="2"/>
      <c r="C56" s="2" t="s">
        <v>71</v>
      </c>
      <c r="D56" s="2" t="s">
        <v>123</v>
      </c>
      <c r="E56" s="2"/>
      <c r="F56" s="2" t="s">
        <v>124</v>
      </c>
      <c r="G56" s="2"/>
      <c r="H56" s="2" t="s">
        <v>125</v>
      </c>
      <c r="I56" s="2" t="s">
        <v>126</v>
      </c>
      <c r="K56" s="118"/>
    </row>
    <row r="57" spans="1:11" x14ac:dyDescent="0.25">
      <c r="K57" s="118"/>
    </row>
    <row r="58" spans="1:11" x14ac:dyDescent="0.25">
      <c r="K58" s="118"/>
    </row>
    <row r="59" spans="1:11" x14ac:dyDescent="0.25">
      <c r="K59" s="118"/>
    </row>
    <row r="60" spans="1:11" x14ac:dyDescent="0.25">
      <c r="K60" s="118"/>
    </row>
    <row r="61" spans="1:11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x14ac:dyDescent="0.2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</row>
    <row r="63" spans="1:11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x14ac:dyDescent="0.2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1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10" zoomScaleNormal="110" workbookViewId="0">
      <selection activeCell="B23" sqref="B23:B24"/>
    </sheetView>
  </sheetViews>
  <sheetFormatPr defaultRowHeight="15" x14ac:dyDescent="0.25"/>
  <cols>
    <col min="1" max="1" width="3.28515625" style="3" customWidth="1"/>
    <col min="2" max="2" width="32.7109375" style="3" customWidth="1"/>
    <col min="3" max="3" width="13.5703125" style="3" customWidth="1"/>
    <col min="4" max="4" width="11.5703125" style="3" customWidth="1"/>
    <col min="5" max="5" width="11.28515625" style="3" customWidth="1"/>
    <col min="6" max="6" width="10.85546875" style="3" customWidth="1"/>
    <col min="7" max="7" width="11.140625" style="3" customWidth="1"/>
    <col min="8" max="8" width="12.28515625" style="3" customWidth="1"/>
    <col min="9" max="9" width="17.5703125" style="3" customWidth="1"/>
    <col min="10" max="16384" width="9.140625" style="3"/>
  </cols>
  <sheetData>
    <row r="1" spans="1:9" x14ac:dyDescent="0.25">
      <c r="A1" s="1" t="s">
        <v>305</v>
      </c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306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307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308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309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310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68" t="s">
        <v>71</v>
      </c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78">
        <v>4434.2299999999996</v>
      </c>
      <c r="E19" s="12">
        <v>167073.81</v>
      </c>
      <c r="F19" s="12">
        <v>166592.01999999999</v>
      </c>
      <c r="G19" s="18">
        <f>E19</f>
        <v>167073.81</v>
      </c>
      <c r="H19" s="16">
        <f>D19+F19-G19</f>
        <v>3952.4400000000023</v>
      </c>
      <c r="I19" s="17"/>
    </row>
    <row r="20" spans="1:9" x14ac:dyDescent="0.25">
      <c r="A20" s="7" t="s">
        <v>36</v>
      </c>
      <c r="B20" s="12" t="s">
        <v>37</v>
      </c>
      <c r="C20" s="12">
        <v>2.62</v>
      </c>
      <c r="D20" s="78"/>
      <c r="E20" s="108">
        <f>E19*33%</f>
        <v>55134.357300000003</v>
      </c>
      <c r="F20" s="16">
        <f>F19*33%</f>
        <v>54975.366600000001</v>
      </c>
      <c r="G20" s="11">
        <f>E20</f>
        <v>55134.357300000003</v>
      </c>
      <c r="H20" s="79"/>
      <c r="I20" s="54"/>
    </row>
    <row r="21" spans="1:9" x14ac:dyDescent="0.25">
      <c r="A21" s="36" t="s">
        <v>38</v>
      </c>
      <c r="B21" s="11" t="s">
        <v>295</v>
      </c>
      <c r="C21" s="11">
        <v>1.33</v>
      </c>
      <c r="D21" s="33"/>
      <c r="E21" s="43">
        <f>E19*17%</f>
        <v>28402.547700000003</v>
      </c>
      <c r="F21" s="34">
        <f>F19*17%</f>
        <v>28320.643400000001</v>
      </c>
      <c r="G21" s="43">
        <f>E21</f>
        <v>28402.547700000003</v>
      </c>
      <c r="H21" s="39"/>
      <c r="I21" s="29"/>
    </row>
    <row r="22" spans="1:9" x14ac:dyDescent="0.25">
      <c r="A22" s="24" t="s">
        <v>40</v>
      </c>
      <c r="B22" s="11" t="s">
        <v>41</v>
      </c>
      <c r="C22" s="11">
        <v>1.63</v>
      </c>
      <c r="D22" s="34"/>
      <c r="E22" s="43">
        <f>E19*20%</f>
        <v>33414.762000000002</v>
      </c>
      <c r="F22" s="34">
        <f>F19*20%</f>
        <v>33318.404000000002</v>
      </c>
      <c r="G22" s="43">
        <f>E22</f>
        <v>33414.762000000002</v>
      </c>
      <c r="H22" s="35"/>
      <c r="I22" s="29"/>
    </row>
    <row r="23" spans="1:9" x14ac:dyDescent="0.25">
      <c r="A23" s="24" t="s">
        <v>42</v>
      </c>
      <c r="B23" s="25" t="s">
        <v>301</v>
      </c>
      <c r="C23" s="25">
        <v>2.39</v>
      </c>
      <c r="D23" s="27"/>
      <c r="E23" s="45">
        <f>E19*30%</f>
        <v>50122.142999999996</v>
      </c>
      <c r="F23" s="43">
        <f>F19*30/100</f>
        <v>49977.606</v>
      </c>
      <c r="G23" s="28">
        <f>E23</f>
        <v>50122.142999999996</v>
      </c>
      <c r="H23" s="75"/>
      <c r="I23" s="23"/>
    </row>
    <row r="24" spans="1:9" x14ac:dyDescent="0.25">
      <c r="A24" s="9"/>
      <c r="B24" s="11" t="s">
        <v>302</v>
      </c>
      <c r="C24" s="9"/>
      <c r="D24" s="33"/>
      <c r="E24" s="121"/>
      <c r="F24" s="34"/>
      <c r="G24" s="42"/>
      <c r="H24" s="43"/>
      <c r="I24" s="29"/>
    </row>
    <row r="25" spans="1:9" x14ac:dyDescent="0.25">
      <c r="A25" s="36" t="s">
        <v>44</v>
      </c>
      <c r="B25" s="9" t="s">
        <v>274</v>
      </c>
      <c r="C25" s="8">
        <v>0.61560000000000004</v>
      </c>
      <c r="D25" s="43"/>
      <c r="E25" s="62">
        <v>12226.48</v>
      </c>
      <c r="F25" s="62">
        <v>10976.83</v>
      </c>
      <c r="G25" s="52">
        <f>E25</f>
        <v>12226.48</v>
      </c>
      <c r="H25" s="52">
        <f>F25-E25</f>
        <v>-1249.6499999999996</v>
      </c>
      <c r="I25" s="62">
        <f>H25</f>
        <v>-1249.6499999999996</v>
      </c>
    </row>
    <row r="26" spans="1:9" x14ac:dyDescent="0.25">
      <c r="A26" s="11" t="s">
        <v>48</v>
      </c>
      <c r="B26" s="11" t="s">
        <v>49</v>
      </c>
      <c r="C26" s="42" t="s">
        <v>50</v>
      </c>
      <c r="D26" s="15">
        <v>-4589.33</v>
      </c>
      <c r="E26" s="11">
        <v>70958.67</v>
      </c>
      <c r="F26" s="11">
        <v>67656.899999999994</v>
      </c>
      <c r="G26" s="14">
        <f>E26</f>
        <v>70958.67</v>
      </c>
      <c r="H26" s="15">
        <f>D26+F26-G26</f>
        <v>-7891.1000000000058</v>
      </c>
      <c r="I26" s="43">
        <f>H26</f>
        <v>-7891.1000000000058</v>
      </c>
    </row>
    <row r="27" spans="1:9" x14ac:dyDescent="0.25">
      <c r="A27" s="25" t="s">
        <v>51</v>
      </c>
      <c r="B27" s="25" t="s">
        <v>216</v>
      </c>
      <c r="C27" s="68"/>
      <c r="D27" s="57"/>
      <c r="E27" s="25"/>
      <c r="F27" s="25"/>
      <c r="G27" s="25"/>
      <c r="H27" s="57"/>
      <c r="I27" s="44"/>
    </row>
    <row r="28" spans="1:9" x14ac:dyDescent="0.25">
      <c r="A28" s="12"/>
      <c r="B28" s="12" t="s">
        <v>217</v>
      </c>
      <c r="C28" s="14">
        <v>1.82</v>
      </c>
      <c r="D28" s="15">
        <v>102128.29</v>
      </c>
      <c r="E28" s="12">
        <v>38152.199999999997</v>
      </c>
      <c r="F28" s="12">
        <v>38035.31</v>
      </c>
      <c r="G28" s="12">
        <f>I58</f>
        <v>97203.98</v>
      </c>
      <c r="H28" s="15">
        <f>D28+F28-G28</f>
        <v>42959.619999999981</v>
      </c>
      <c r="I28" s="44"/>
    </row>
    <row r="29" spans="1:9" x14ac:dyDescent="0.25">
      <c r="A29" s="11" t="s">
        <v>55</v>
      </c>
      <c r="B29" s="11" t="s">
        <v>311</v>
      </c>
      <c r="C29" s="41"/>
      <c r="D29" s="15"/>
      <c r="E29" s="18"/>
      <c r="F29" s="18"/>
      <c r="G29" s="5" t="s">
        <v>147</v>
      </c>
      <c r="H29" s="59" t="s">
        <v>71</v>
      </c>
      <c r="I29" s="45" t="s">
        <v>71</v>
      </c>
    </row>
    <row r="30" spans="1:9" x14ac:dyDescent="0.25">
      <c r="A30" s="12"/>
      <c r="B30" s="12" t="s">
        <v>276</v>
      </c>
      <c r="C30" s="14">
        <v>0</v>
      </c>
      <c r="D30" s="42">
        <v>-963.49</v>
      </c>
      <c r="E30" s="11">
        <v>0</v>
      </c>
      <c r="F30" s="11">
        <v>0</v>
      </c>
      <c r="G30" s="41">
        <f>G31</f>
        <v>0</v>
      </c>
      <c r="H30" s="42">
        <f>D30-G30</f>
        <v>-963.49</v>
      </c>
      <c r="I30" s="43">
        <f>H30</f>
        <v>-963.49</v>
      </c>
    </row>
    <row r="31" spans="1:9" x14ac:dyDescent="0.25">
      <c r="A31" s="9"/>
      <c r="B31" s="9" t="s">
        <v>53</v>
      </c>
      <c r="C31" s="10">
        <v>0</v>
      </c>
      <c r="D31" s="8">
        <v>0</v>
      </c>
      <c r="E31" s="9">
        <v>0</v>
      </c>
      <c r="F31" s="9">
        <v>0</v>
      </c>
      <c r="G31" s="10">
        <f>I61</f>
        <v>0</v>
      </c>
      <c r="H31" s="8">
        <v>0</v>
      </c>
      <c r="I31" s="29"/>
    </row>
    <row r="32" spans="1:9" x14ac:dyDescent="0.25">
      <c r="A32" s="1" t="s">
        <v>58</v>
      </c>
      <c r="B32" s="2"/>
      <c r="C32" s="2"/>
      <c r="E32" s="2"/>
      <c r="F32" s="2"/>
      <c r="G32" s="2"/>
      <c r="H32" s="2"/>
      <c r="I32" s="2"/>
    </row>
    <row r="33" spans="1:9" x14ac:dyDescent="0.25">
      <c r="A33" s="25" t="s">
        <v>59</v>
      </c>
      <c r="B33" s="58" t="s">
        <v>60</v>
      </c>
      <c r="C33" s="6" t="s">
        <v>64</v>
      </c>
      <c r="D33" s="49" t="s">
        <v>62</v>
      </c>
      <c r="E33" s="58" t="s">
        <v>63</v>
      </c>
      <c r="F33" s="6" t="s">
        <v>64</v>
      </c>
      <c r="G33" s="6"/>
      <c r="H33" s="58" t="s">
        <v>199</v>
      </c>
      <c r="I33" s="49"/>
    </row>
    <row r="34" spans="1:9" x14ac:dyDescent="0.25">
      <c r="A34" s="7"/>
      <c r="B34" s="60"/>
      <c r="C34" s="62" t="s">
        <v>66</v>
      </c>
      <c r="D34" s="53" t="s">
        <v>23</v>
      </c>
      <c r="E34" s="74" t="s">
        <v>312</v>
      </c>
      <c r="F34" s="62" t="s">
        <v>30</v>
      </c>
      <c r="G34" s="62"/>
      <c r="H34" s="74"/>
      <c r="I34" s="53"/>
    </row>
    <row r="35" spans="1:9" x14ac:dyDescent="0.25">
      <c r="A35" s="12"/>
      <c r="B35" s="74" t="s">
        <v>68</v>
      </c>
      <c r="C35" s="29">
        <v>15772.91</v>
      </c>
      <c r="D35" s="9">
        <v>5553</v>
      </c>
      <c r="E35" s="79">
        <f>D35*15%</f>
        <v>832.94999999999993</v>
      </c>
      <c r="F35" s="54">
        <f>C35+D35-D35*15%</f>
        <v>20492.96</v>
      </c>
      <c r="G35" s="54"/>
      <c r="H35" s="79">
        <f>F35</f>
        <v>20492.96</v>
      </c>
      <c r="I35" s="53"/>
    </row>
    <row r="36" spans="1:9" x14ac:dyDescent="0.25">
      <c r="A36" s="1" t="s">
        <v>252</v>
      </c>
      <c r="B36" s="1"/>
      <c r="C36" s="1"/>
      <c r="D36" s="47"/>
      <c r="E36" s="1"/>
      <c r="F36" s="1"/>
      <c r="G36" s="1"/>
      <c r="H36" s="1"/>
      <c r="I36" s="1"/>
    </row>
    <row r="37" spans="1:9" x14ac:dyDescent="0.25">
      <c r="A37" s="2"/>
      <c r="B37" s="2"/>
      <c r="C37" s="2"/>
      <c r="E37" s="2"/>
      <c r="F37" s="2"/>
      <c r="G37" s="2"/>
      <c r="H37" s="2"/>
      <c r="I37" s="2"/>
    </row>
    <row r="38" spans="1:9" x14ac:dyDescent="0.25">
      <c r="A38" s="25" t="s">
        <v>71</v>
      </c>
      <c r="B38" s="57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253</v>
      </c>
      <c r="H38" s="58" t="s">
        <v>78</v>
      </c>
      <c r="I38" s="6" t="s">
        <v>19</v>
      </c>
    </row>
    <row r="39" spans="1:9" x14ac:dyDescent="0.25">
      <c r="A39" s="18"/>
      <c r="B39" s="59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60" t="s">
        <v>85</v>
      </c>
      <c r="I39" s="7" t="s">
        <v>86</v>
      </c>
    </row>
    <row r="40" spans="1:9" x14ac:dyDescent="0.25">
      <c r="A40" s="18"/>
      <c r="B40" s="59"/>
      <c r="C40" s="7"/>
      <c r="D40" s="60"/>
      <c r="E40" s="7"/>
      <c r="F40" s="60" t="s">
        <v>87</v>
      </c>
      <c r="G40" s="7" t="s">
        <v>88</v>
      </c>
      <c r="H40" s="60"/>
      <c r="I40" s="7" t="s">
        <v>30</v>
      </c>
    </row>
    <row r="41" spans="1:9" x14ac:dyDescent="0.25">
      <c r="A41" s="62"/>
      <c r="B41" s="62"/>
      <c r="C41" s="14"/>
      <c r="D41" s="52"/>
      <c r="E41" s="62"/>
      <c r="F41" s="62"/>
      <c r="G41" s="52"/>
      <c r="H41" s="52"/>
      <c r="I41" s="62"/>
    </row>
    <row r="42" spans="1:9" x14ac:dyDescent="0.25">
      <c r="A42" s="6">
        <v>1</v>
      </c>
      <c r="B42" s="6" t="s">
        <v>90</v>
      </c>
      <c r="C42" s="68" t="s">
        <v>91</v>
      </c>
      <c r="D42" s="7">
        <v>-12493.94</v>
      </c>
      <c r="E42" s="122">
        <v>111839.1</v>
      </c>
      <c r="F42" s="6">
        <v>111165.07</v>
      </c>
      <c r="G42" s="60">
        <f>E42</f>
        <v>111839.1</v>
      </c>
      <c r="H42" s="7">
        <f>D42+F42-G42</f>
        <v>-13167.970000000001</v>
      </c>
      <c r="I42" s="61">
        <f>H42</f>
        <v>-13167.970000000001</v>
      </c>
    </row>
    <row r="43" spans="1:9" x14ac:dyDescent="0.25">
      <c r="A43" s="9"/>
      <c r="B43" s="9" t="s">
        <v>92</v>
      </c>
      <c r="C43" s="41" t="s">
        <v>93</v>
      </c>
      <c r="D43" s="9"/>
      <c r="E43" s="65"/>
      <c r="F43" s="9"/>
      <c r="G43" s="10"/>
      <c r="H43" s="9"/>
      <c r="I43" s="50"/>
    </row>
    <row r="44" spans="1:9" x14ac:dyDescent="0.25">
      <c r="A44" s="7">
        <v>2</v>
      </c>
      <c r="B44" s="7" t="s">
        <v>94</v>
      </c>
      <c r="C44" s="1" t="s">
        <v>95</v>
      </c>
      <c r="D44" s="7">
        <v>-49320.89</v>
      </c>
      <c r="E44" s="2">
        <v>208212.53</v>
      </c>
      <c r="F44" s="7">
        <v>210763.08</v>
      </c>
      <c r="G44" s="62">
        <f>E44</f>
        <v>208212.53</v>
      </c>
      <c r="H44" s="7">
        <f>D44+F44-G44</f>
        <v>-46770.34</v>
      </c>
      <c r="I44" s="61">
        <f>H44</f>
        <v>-46770.34</v>
      </c>
    </row>
    <row r="45" spans="1:9" x14ac:dyDescent="0.25">
      <c r="A45" s="9"/>
      <c r="B45" s="9" t="s">
        <v>96</v>
      </c>
      <c r="C45" s="41"/>
      <c r="D45" s="6"/>
      <c r="E45" s="10"/>
      <c r="F45" s="9"/>
      <c r="G45" s="9"/>
      <c r="H45" s="6"/>
      <c r="I45" s="49"/>
    </row>
    <row r="46" spans="1:9" x14ac:dyDescent="0.25">
      <c r="A46" s="9"/>
      <c r="B46" s="9" t="s">
        <v>313</v>
      </c>
      <c r="C46" s="41" t="s">
        <v>93</v>
      </c>
      <c r="D46" s="6"/>
      <c r="E46" s="10"/>
      <c r="F46" s="9"/>
      <c r="G46" s="60"/>
      <c r="H46" s="6"/>
      <c r="I46" s="49"/>
    </row>
    <row r="47" spans="1:9" x14ac:dyDescent="0.25">
      <c r="A47" s="9">
        <v>3</v>
      </c>
      <c r="B47" s="9" t="s">
        <v>98</v>
      </c>
      <c r="C47" s="41" t="s">
        <v>203</v>
      </c>
      <c r="D47" s="9">
        <v>-147974.41</v>
      </c>
      <c r="E47" s="10">
        <v>613083.78</v>
      </c>
      <c r="F47" s="9">
        <v>616179.66</v>
      </c>
      <c r="G47" s="9">
        <f>E47</f>
        <v>613083.78</v>
      </c>
      <c r="H47" s="9">
        <f>D47+F47-G47</f>
        <v>-144878.53000000003</v>
      </c>
      <c r="I47" s="9">
        <f>H47</f>
        <v>-144878.53000000003</v>
      </c>
    </row>
    <row r="48" spans="1:9" x14ac:dyDescent="0.25">
      <c r="A48" s="1" t="s">
        <v>255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256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222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224</v>
      </c>
      <c r="G51" s="60"/>
      <c r="H51" s="61"/>
      <c r="I51" s="7" t="s">
        <v>108</v>
      </c>
    </row>
    <row r="52" spans="1:9" x14ac:dyDescent="0.25">
      <c r="A52" s="51"/>
      <c r="B52" s="7"/>
      <c r="C52" s="60"/>
      <c r="D52" s="60"/>
      <c r="E52" s="60"/>
      <c r="F52" s="51" t="s">
        <v>257</v>
      </c>
      <c r="G52" s="60"/>
      <c r="H52" s="61"/>
      <c r="I52" s="7"/>
    </row>
    <row r="53" spans="1:9" x14ac:dyDescent="0.25">
      <c r="A53" s="51"/>
      <c r="B53" s="62"/>
      <c r="C53" s="60"/>
      <c r="D53" s="60"/>
      <c r="E53" s="60"/>
      <c r="F53" s="51" t="s">
        <v>258</v>
      </c>
      <c r="G53" s="60"/>
      <c r="H53" s="61"/>
      <c r="I53" s="62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7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/>
      <c r="H55" s="61" t="s">
        <v>71</v>
      </c>
      <c r="I55" s="7" t="s">
        <v>71</v>
      </c>
    </row>
    <row r="56" spans="1:9" x14ac:dyDescent="0.25">
      <c r="A56" s="69" t="s">
        <v>113</v>
      </c>
      <c r="B56" s="70" t="s">
        <v>314</v>
      </c>
      <c r="C56" s="60" t="s">
        <v>315</v>
      </c>
      <c r="D56" s="60"/>
      <c r="E56" s="60"/>
      <c r="F56" s="51"/>
      <c r="G56" s="37">
        <f>I56/1746.8</f>
        <v>25.460384703457752</v>
      </c>
      <c r="H56" s="61"/>
      <c r="I56" s="7">
        <v>44474.2</v>
      </c>
    </row>
    <row r="57" spans="1:9" x14ac:dyDescent="0.25">
      <c r="A57" s="123" t="s">
        <v>38</v>
      </c>
      <c r="B57" s="70" t="s">
        <v>314</v>
      </c>
      <c r="C57" s="60" t="s">
        <v>316</v>
      </c>
      <c r="D57" s="60"/>
      <c r="E57" s="60"/>
      <c r="F57" s="51"/>
      <c r="G57" s="37">
        <f>I57/1746.8</f>
        <v>30.186501030455691</v>
      </c>
      <c r="H57" s="61"/>
      <c r="I57" s="7">
        <v>52729.78</v>
      </c>
    </row>
    <row r="58" spans="1:9" x14ac:dyDescent="0.25">
      <c r="A58" s="69"/>
      <c r="B58" s="7"/>
      <c r="C58" s="5" t="s">
        <v>118</v>
      </c>
      <c r="D58" s="5"/>
      <c r="E58" s="5"/>
      <c r="F58" s="59"/>
      <c r="G58" s="20">
        <f>SUM(G56:G57)</f>
        <v>55.646885733913443</v>
      </c>
      <c r="H58" s="71"/>
      <c r="I58" s="18">
        <f>SUM(I56:I57)</f>
        <v>97203.98</v>
      </c>
    </row>
    <row r="59" spans="1:9" x14ac:dyDescent="0.25">
      <c r="A59" s="6"/>
      <c r="B59" s="6"/>
      <c r="C59" s="48"/>
      <c r="D59" s="58"/>
      <c r="E59" s="49"/>
      <c r="F59" s="48"/>
      <c r="G59" s="86"/>
      <c r="H59" s="49"/>
      <c r="I59" s="6"/>
    </row>
    <row r="60" spans="1:9" x14ac:dyDescent="0.25">
      <c r="A60" s="6" t="s">
        <v>48</v>
      </c>
      <c r="B60" s="25" t="s">
        <v>119</v>
      </c>
      <c r="C60" s="57" t="s">
        <v>120</v>
      </c>
      <c r="D60" s="58"/>
      <c r="E60" s="49"/>
      <c r="F60" s="48" t="s">
        <v>121</v>
      </c>
      <c r="G60" s="58"/>
      <c r="H60" s="49"/>
      <c r="I60" s="6"/>
    </row>
    <row r="61" spans="1:9" x14ac:dyDescent="0.25">
      <c r="A61" s="69" t="s">
        <v>182</v>
      </c>
      <c r="B61" s="7"/>
      <c r="C61" s="51"/>
      <c r="D61" s="60"/>
      <c r="E61" s="61"/>
      <c r="F61" s="51"/>
      <c r="G61" s="37">
        <f>I61/1746.8</f>
        <v>0</v>
      </c>
      <c r="H61" s="61"/>
      <c r="I61" s="7">
        <v>0</v>
      </c>
    </row>
    <row r="62" spans="1:9" x14ac:dyDescent="0.25">
      <c r="A62" s="73"/>
      <c r="B62" s="62" t="s">
        <v>119</v>
      </c>
      <c r="C62" s="15" t="s">
        <v>118</v>
      </c>
      <c r="D62" s="14"/>
      <c r="E62" s="85"/>
      <c r="F62" s="15" t="s">
        <v>71</v>
      </c>
      <c r="G62" s="78">
        <f>SUM(G61)</f>
        <v>0</v>
      </c>
      <c r="H62" s="85"/>
      <c r="I62" s="12">
        <f>SUM(I61)</f>
        <v>0</v>
      </c>
    </row>
    <row r="63" spans="1:9" x14ac:dyDescent="0.25">
      <c r="A63" s="103"/>
      <c r="B63" s="60"/>
      <c r="C63" s="60"/>
      <c r="D63" s="60"/>
      <c r="E63" s="60"/>
      <c r="F63" s="60"/>
      <c r="G63" s="60"/>
      <c r="H63" s="60"/>
      <c r="I63" s="60"/>
    </row>
    <row r="64" spans="1:9" x14ac:dyDescent="0.25">
      <c r="A64" s="2" t="s">
        <v>317</v>
      </c>
      <c r="B64" s="2"/>
      <c r="C64" s="114" t="s">
        <v>123</v>
      </c>
      <c r="E64" s="2" t="s">
        <v>124</v>
      </c>
      <c r="G64" s="2" t="s">
        <v>262</v>
      </c>
      <c r="H64" s="2"/>
      <c r="I64" s="2" t="s">
        <v>263</v>
      </c>
    </row>
    <row r="65" spans="1:9" x14ac:dyDescent="0.25">
      <c r="A65" s="2"/>
      <c r="B65" s="2"/>
    </row>
    <row r="66" spans="1:9" x14ac:dyDescent="0.25">
      <c r="A66" s="60"/>
      <c r="B66" s="60"/>
      <c r="C66" s="60"/>
      <c r="D66" s="60"/>
      <c r="E66" s="60"/>
      <c r="F66" s="60"/>
      <c r="G66" s="60"/>
      <c r="H66" s="60"/>
      <c r="I66" s="60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" zoomScale="110" zoomScaleNormal="110" workbookViewId="0">
      <selection activeCell="B22" sqref="B22:B23"/>
    </sheetView>
  </sheetViews>
  <sheetFormatPr defaultRowHeight="15" x14ac:dyDescent="0.25"/>
  <cols>
    <col min="1" max="1" width="4.85546875" style="3" customWidth="1"/>
    <col min="2" max="2" width="32.85546875" style="3" customWidth="1"/>
    <col min="3" max="3" width="15.42578125" style="3" customWidth="1"/>
    <col min="4" max="4" width="12" style="3" customWidth="1"/>
    <col min="5" max="5" width="11.42578125" style="3" customWidth="1"/>
    <col min="6" max="6" width="11.7109375" style="3" customWidth="1"/>
    <col min="7" max="7" width="10.7109375" style="3" customWidth="1"/>
    <col min="8" max="8" width="12.85546875" style="3" customWidth="1"/>
    <col min="9" max="9" width="17.570312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318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319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320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321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9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61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61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61"/>
      <c r="B16" s="7"/>
      <c r="C16" s="7" t="s">
        <v>322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50">
        <v>1</v>
      </c>
      <c r="B17" s="9">
        <v>2</v>
      </c>
      <c r="C17" s="10">
        <v>3</v>
      </c>
      <c r="D17" s="9">
        <v>4</v>
      </c>
      <c r="E17" s="9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4">
        <v>1</v>
      </c>
      <c r="B18" s="12" t="s">
        <v>323</v>
      </c>
      <c r="C18" s="14">
        <v>7.97</v>
      </c>
      <c r="D18" s="17">
        <v>-13424.11</v>
      </c>
      <c r="E18" s="12">
        <v>543723.24</v>
      </c>
      <c r="F18" s="85">
        <v>543510.91</v>
      </c>
      <c r="G18" s="79">
        <f t="shared" ref="G18:G27" si="0">E18</f>
        <v>543723.24</v>
      </c>
      <c r="H18" s="17">
        <f>D18+F18-G18</f>
        <v>-13636.439999999944</v>
      </c>
      <c r="I18" s="17">
        <f>H18</f>
        <v>-13636.439999999944</v>
      </c>
    </row>
    <row r="19" spans="1:9" x14ac:dyDescent="0.25">
      <c r="A19" s="50" t="s">
        <v>36</v>
      </c>
      <c r="B19" s="11" t="s">
        <v>37</v>
      </c>
      <c r="C19" s="41">
        <v>2.62</v>
      </c>
      <c r="D19" s="43" t="s">
        <v>71</v>
      </c>
      <c r="E19" s="33">
        <f>E18*33%</f>
        <v>179428.6692</v>
      </c>
      <c r="F19" s="43">
        <f>F18*33%</f>
        <v>179358.60030000002</v>
      </c>
      <c r="G19" s="33">
        <f t="shared" si="0"/>
        <v>179428.6692</v>
      </c>
      <c r="H19" s="29" t="s">
        <v>71</v>
      </c>
      <c r="I19" s="54" t="s">
        <v>71</v>
      </c>
    </row>
    <row r="20" spans="1:9" x14ac:dyDescent="0.25">
      <c r="A20" s="91" t="s">
        <v>38</v>
      </c>
      <c r="B20" s="25" t="s">
        <v>39</v>
      </c>
      <c r="C20" s="68">
        <v>1.33</v>
      </c>
      <c r="D20" s="45"/>
      <c r="E20" s="27">
        <f>E18*17%</f>
        <v>92432.950800000006</v>
      </c>
      <c r="F20" s="45">
        <f>F18*17%</f>
        <v>92396.854700000011</v>
      </c>
      <c r="G20" s="78">
        <f t="shared" si="0"/>
        <v>92432.950800000006</v>
      </c>
      <c r="H20" s="29"/>
      <c r="I20" s="75"/>
    </row>
    <row r="21" spans="1:9" x14ac:dyDescent="0.25">
      <c r="A21" s="91" t="s">
        <v>40</v>
      </c>
      <c r="B21" s="25" t="s">
        <v>41</v>
      </c>
      <c r="C21" s="68">
        <v>1.63</v>
      </c>
      <c r="D21" s="45"/>
      <c r="E21" s="27">
        <f>E18*20%</f>
        <v>108744.648</v>
      </c>
      <c r="F21" s="45">
        <f>F18*20%</f>
        <v>108702.18200000002</v>
      </c>
      <c r="G21" s="78">
        <f t="shared" si="0"/>
        <v>108744.648</v>
      </c>
      <c r="H21" s="22"/>
      <c r="I21" s="75"/>
    </row>
    <row r="22" spans="1:9" x14ac:dyDescent="0.25">
      <c r="A22" s="124" t="s">
        <v>42</v>
      </c>
      <c r="B22" s="11" t="s">
        <v>43</v>
      </c>
      <c r="C22" s="41">
        <v>2.39</v>
      </c>
      <c r="D22" s="43"/>
      <c r="E22" s="33">
        <f>E18*30%</f>
        <v>163116.97199999998</v>
      </c>
      <c r="F22" s="43">
        <f>F18*30%</f>
        <v>163053.27300000002</v>
      </c>
      <c r="G22" s="78">
        <f t="shared" si="0"/>
        <v>163116.97199999998</v>
      </c>
      <c r="H22" s="29"/>
      <c r="I22" s="29"/>
    </row>
    <row r="23" spans="1:9" x14ac:dyDescent="0.25">
      <c r="A23" s="99" t="s">
        <v>44</v>
      </c>
      <c r="B23" s="62" t="s">
        <v>45</v>
      </c>
      <c r="C23" s="74">
        <v>0.26790999999999998</v>
      </c>
      <c r="D23" s="54"/>
      <c r="E23" s="79">
        <v>11048.91</v>
      </c>
      <c r="F23" s="54">
        <v>12208.74</v>
      </c>
      <c r="G23" s="79">
        <f>E23</f>
        <v>11048.91</v>
      </c>
      <c r="H23" s="54">
        <f>F23-E23</f>
        <v>1159.83</v>
      </c>
      <c r="I23" s="54"/>
    </row>
    <row r="24" spans="1:9" x14ac:dyDescent="0.25">
      <c r="A24" s="99" t="s">
        <v>46</v>
      </c>
      <c r="B24" s="62" t="s">
        <v>47</v>
      </c>
      <c r="C24" s="74">
        <v>1.741681</v>
      </c>
      <c r="D24" s="54"/>
      <c r="E24" s="9">
        <v>110595.19</v>
      </c>
      <c r="F24" s="10">
        <v>97693.62</v>
      </c>
      <c r="G24" s="8">
        <f>E24</f>
        <v>110595.19</v>
      </c>
      <c r="H24" s="9">
        <f>F24-E24</f>
        <v>-12901.570000000007</v>
      </c>
      <c r="I24" s="50">
        <f>H24</f>
        <v>-12901.570000000007</v>
      </c>
    </row>
    <row r="25" spans="1:9" x14ac:dyDescent="0.25">
      <c r="A25" s="85" t="s">
        <v>48</v>
      </c>
      <c r="B25" s="12" t="s">
        <v>143</v>
      </c>
      <c r="C25" s="14">
        <v>3.15</v>
      </c>
      <c r="D25" s="12">
        <v>-28320.15</v>
      </c>
      <c r="E25" s="12">
        <v>207313.93</v>
      </c>
      <c r="F25" s="12">
        <v>194489.47</v>
      </c>
      <c r="G25" s="14">
        <f t="shared" si="0"/>
        <v>207313.93</v>
      </c>
      <c r="H25" s="12">
        <f>D25+F25-G25</f>
        <v>-41144.609999999986</v>
      </c>
      <c r="I25" s="12">
        <f>H25</f>
        <v>-41144.609999999986</v>
      </c>
    </row>
    <row r="26" spans="1:9" x14ac:dyDescent="0.25">
      <c r="A26" s="46" t="s">
        <v>51</v>
      </c>
      <c r="B26" s="11" t="s">
        <v>49</v>
      </c>
      <c r="C26" s="41" t="s">
        <v>50</v>
      </c>
      <c r="D26" s="12">
        <v>-26878.63</v>
      </c>
      <c r="E26" s="41">
        <v>230928.69</v>
      </c>
      <c r="F26" s="11">
        <v>220540.04</v>
      </c>
      <c r="G26" s="41">
        <f t="shared" si="0"/>
        <v>230928.69</v>
      </c>
      <c r="H26" s="25">
        <f>D26+F26-G26</f>
        <v>-37267.279999999999</v>
      </c>
      <c r="I26" s="12">
        <f>H26</f>
        <v>-37267.279999999999</v>
      </c>
    </row>
    <row r="27" spans="1:9" x14ac:dyDescent="0.25">
      <c r="A27" s="46" t="s">
        <v>55</v>
      </c>
      <c r="B27" s="11" t="s">
        <v>194</v>
      </c>
      <c r="C27" s="41">
        <v>0.92</v>
      </c>
      <c r="D27" s="12">
        <v>3265.4</v>
      </c>
      <c r="E27" s="41">
        <v>41952</v>
      </c>
      <c r="F27" s="11">
        <v>42192.18</v>
      </c>
      <c r="G27" s="41">
        <f t="shared" si="0"/>
        <v>41952</v>
      </c>
      <c r="H27" s="11">
        <f>D27+F27-G27</f>
        <v>3505.5800000000017</v>
      </c>
      <c r="I27" s="12"/>
    </row>
    <row r="28" spans="1:9" x14ac:dyDescent="0.25">
      <c r="A28" s="71" t="s">
        <v>59</v>
      </c>
      <c r="B28" s="12" t="s">
        <v>195</v>
      </c>
      <c r="C28" s="12">
        <v>1.82</v>
      </c>
      <c r="D28" s="12">
        <v>-43244.95</v>
      </c>
      <c r="E28" s="12">
        <v>124162.68</v>
      </c>
      <c r="F28" s="12">
        <f>F29+F30</f>
        <v>127335.24</v>
      </c>
      <c r="G28" s="15">
        <f>G29</f>
        <v>89257.91</v>
      </c>
      <c r="H28" s="12">
        <f>D28+F28-G28</f>
        <v>-5167.6199999999953</v>
      </c>
      <c r="I28" s="12">
        <f>H28</f>
        <v>-5167.6199999999953</v>
      </c>
    </row>
    <row r="29" spans="1:9" x14ac:dyDescent="0.25">
      <c r="A29" s="11"/>
      <c r="B29" s="9" t="s">
        <v>53</v>
      </c>
      <c r="C29" s="14"/>
      <c r="D29" s="12"/>
      <c r="E29" s="14"/>
      <c r="F29" s="12">
        <v>124118.3</v>
      </c>
      <c r="G29" s="14">
        <f>I57</f>
        <v>89257.91</v>
      </c>
      <c r="H29" s="12"/>
      <c r="I29" s="12"/>
    </row>
    <row r="30" spans="1:9" x14ac:dyDescent="0.25">
      <c r="A30" s="11"/>
      <c r="B30" s="9" t="s">
        <v>324</v>
      </c>
      <c r="C30" s="41"/>
      <c r="D30" s="11"/>
      <c r="E30" s="41"/>
      <c r="F30" s="11">
        <v>3216.94</v>
      </c>
      <c r="G30" s="41"/>
      <c r="H30" s="11"/>
      <c r="I30" s="11"/>
    </row>
    <row r="31" spans="1:9" x14ac:dyDescent="0.25">
      <c r="A31" s="72" t="s">
        <v>197</v>
      </c>
      <c r="B31" s="58" t="s">
        <v>60</v>
      </c>
      <c r="C31" s="6" t="s">
        <v>64</v>
      </c>
      <c r="D31" s="49" t="s">
        <v>62</v>
      </c>
      <c r="E31" s="58" t="s">
        <v>63</v>
      </c>
      <c r="F31" s="6" t="s">
        <v>64</v>
      </c>
      <c r="G31" s="6"/>
      <c r="H31" s="58" t="s">
        <v>199</v>
      </c>
      <c r="I31" s="49"/>
    </row>
    <row r="32" spans="1:9" x14ac:dyDescent="0.25">
      <c r="A32" s="61"/>
      <c r="B32" s="60"/>
      <c r="C32" s="62" t="s">
        <v>66</v>
      </c>
      <c r="D32" s="53" t="s">
        <v>23</v>
      </c>
      <c r="E32" s="74" t="s">
        <v>312</v>
      </c>
      <c r="F32" s="62" t="s">
        <v>30</v>
      </c>
      <c r="G32" s="62"/>
      <c r="H32" s="74"/>
      <c r="I32" s="53"/>
    </row>
    <row r="33" spans="1:9" x14ac:dyDescent="0.25">
      <c r="A33" s="85"/>
      <c r="B33" s="74" t="s">
        <v>68</v>
      </c>
      <c r="C33" s="29">
        <v>10900.5</v>
      </c>
      <c r="D33" s="9">
        <v>5553</v>
      </c>
      <c r="E33" s="79">
        <f>D33*15%</f>
        <v>832.94999999999993</v>
      </c>
      <c r="F33" s="54">
        <f>C33+D33-E33</f>
        <v>15620.55</v>
      </c>
      <c r="G33" s="54">
        <v>0</v>
      </c>
      <c r="H33" s="79">
        <f>F33</f>
        <v>15620.55</v>
      </c>
      <c r="I33" s="53"/>
    </row>
    <row r="34" spans="1:9" x14ac:dyDescent="0.25">
      <c r="A34" s="5" t="s">
        <v>69</v>
      </c>
      <c r="B34" s="5"/>
      <c r="C34" s="5"/>
      <c r="D34" s="56"/>
      <c r="E34" s="5"/>
      <c r="F34" s="5"/>
      <c r="G34" s="5"/>
      <c r="H34" s="5"/>
      <c r="I34" s="5"/>
    </row>
    <row r="35" spans="1:9" x14ac:dyDescent="0.25">
      <c r="A35" s="1" t="s">
        <v>70</v>
      </c>
      <c r="C35" s="1"/>
      <c r="D35" s="1"/>
      <c r="E35" s="5"/>
      <c r="F35" s="5"/>
      <c r="G35" s="5"/>
      <c r="H35" s="5"/>
      <c r="I35" s="5"/>
    </row>
    <row r="36" spans="1:9" x14ac:dyDescent="0.25">
      <c r="A36" s="49" t="s">
        <v>71</v>
      </c>
      <c r="B36" s="57" t="s">
        <v>72</v>
      </c>
      <c r="C36" s="6" t="s">
        <v>73</v>
      </c>
      <c r="D36" s="58" t="s">
        <v>74</v>
      </c>
      <c r="E36" s="6" t="s">
        <v>75</v>
      </c>
      <c r="F36" s="58" t="s">
        <v>76</v>
      </c>
      <c r="G36" s="48" t="s">
        <v>77</v>
      </c>
      <c r="H36" s="6" t="s">
        <v>78</v>
      </c>
      <c r="I36" s="49" t="s">
        <v>19</v>
      </c>
    </row>
    <row r="37" spans="1:9" x14ac:dyDescent="0.25">
      <c r="A37" s="61"/>
      <c r="B37" s="59" t="s">
        <v>79</v>
      </c>
      <c r="C37" s="7" t="s">
        <v>80</v>
      </c>
      <c r="D37" s="60" t="s">
        <v>81</v>
      </c>
      <c r="E37" s="7" t="s">
        <v>82</v>
      </c>
      <c r="F37" s="60" t="s">
        <v>83</v>
      </c>
      <c r="G37" s="51" t="s">
        <v>84</v>
      </c>
      <c r="H37" s="7" t="s">
        <v>85</v>
      </c>
      <c r="I37" s="61" t="s">
        <v>86</v>
      </c>
    </row>
    <row r="38" spans="1:9" x14ac:dyDescent="0.25">
      <c r="A38" s="61"/>
      <c r="B38" s="51"/>
      <c r="C38" s="7"/>
      <c r="D38" s="60"/>
      <c r="E38" s="7"/>
      <c r="F38" s="60" t="s">
        <v>87</v>
      </c>
      <c r="G38" s="51" t="s">
        <v>88</v>
      </c>
      <c r="H38" s="7"/>
      <c r="I38" s="61" t="s">
        <v>325</v>
      </c>
    </row>
    <row r="39" spans="1:9" x14ac:dyDescent="0.25">
      <c r="A39" s="9"/>
      <c r="B39" s="10"/>
      <c r="C39" s="9"/>
      <c r="D39" s="10"/>
      <c r="E39" s="9"/>
      <c r="F39" s="10"/>
      <c r="G39" s="8"/>
      <c r="H39" s="9"/>
      <c r="I39" s="50"/>
    </row>
    <row r="40" spans="1:9" x14ac:dyDescent="0.25">
      <c r="A40" s="50">
        <v>1</v>
      </c>
      <c r="B40" s="10" t="s">
        <v>90</v>
      </c>
      <c r="C40" s="11" t="s">
        <v>91</v>
      </c>
      <c r="D40" s="9">
        <v>-66334.44</v>
      </c>
      <c r="E40" s="95">
        <v>434551.33</v>
      </c>
      <c r="F40" s="9">
        <v>442857.02</v>
      </c>
      <c r="G40" s="8">
        <f>E40</f>
        <v>434551.33</v>
      </c>
      <c r="H40" s="9">
        <f>D40-E40+F40</f>
        <v>-58028.75</v>
      </c>
      <c r="I40" s="9">
        <f>H40</f>
        <v>-58028.75</v>
      </c>
    </row>
    <row r="41" spans="1:9" x14ac:dyDescent="0.25">
      <c r="A41" s="9"/>
      <c r="B41" s="10" t="s">
        <v>92</v>
      </c>
      <c r="C41" s="11" t="s">
        <v>93</v>
      </c>
      <c r="D41" s="9"/>
      <c r="E41" s="65"/>
      <c r="F41" s="9"/>
      <c r="G41" s="10"/>
      <c r="H41" s="9"/>
      <c r="I41" s="50"/>
    </row>
    <row r="42" spans="1:9" x14ac:dyDescent="0.25">
      <c r="A42" s="61">
        <v>2</v>
      </c>
      <c r="B42" s="7" t="s">
        <v>168</v>
      </c>
      <c r="C42" s="1" t="s">
        <v>95</v>
      </c>
      <c r="D42" s="7">
        <v>-183320.69</v>
      </c>
      <c r="E42" s="2">
        <v>681342.56</v>
      </c>
      <c r="F42" s="7">
        <v>690948.48</v>
      </c>
      <c r="G42" s="60">
        <f>E42</f>
        <v>681342.56</v>
      </c>
      <c r="H42" s="7">
        <f>D42-E42+F42</f>
        <v>-173714.77000000002</v>
      </c>
      <c r="I42" s="61">
        <f>H42</f>
        <v>-173714.77000000002</v>
      </c>
    </row>
    <row r="43" spans="1:9" x14ac:dyDescent="0.25">
      <c r="A43" s="9"/>
      <c r="B43" s="9" t="s">
        <v>202</v>
      </c>
      <c r="C43" s="11" t="s">
        <v>93</v>
      </c>
      <c r="D43" s="9"/>
      <c r="E43" s="10"/>
      <c r="F43" s="9"/>
      <c r="G43" s="10"/>
      <c r="H43" s="9"/>
      <c r="I43" s="50"/>
    </row>
    <row r="44" spans="1:9" x14ac:dyDescent="0.25">
      <c r="A44" s="50">
        <v>3</v>
      </c>
      <c r="B44" s="9" t="s">
        <v>98</v>
      </c>
      <c r="C44" s="41" t="s">
        <v>99</v>
      </c>
      <c r="D44" s="9">
        <v>-612947.02</v>
      </c>
      <c r="E44" s="10">
        <v>1515875.93</v>
      </c>
      <c r="F44" s="9">
        <v>1581710.69</v>
      </c>
      <c r="G44" s="8">
        <f>E44</f>
        <v>1515875.93</v>
      </c>
      <c r="H44" s="62">
        <f>D44-E44+F44</f>
        <v>-547112.26000000024</v>
      </c>
      <c r="I44" s="50">
        <f>H44</f>
        <v>-547112.26000000024</v>
      </c>
    </row>
    <row r="45" spans="1:9" x14ac:dyDescent="0.25">
      <c r="A45" s="1" t="s">
        <v>326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5" t="s">
        <v>327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58" t="s">
        <v>12</v>
      </c>
      <c r="B47" s="6" t="s">
        <v>102</v>
      </c>
      <c r="C47" s="58" t="s">
        <v>103</v>
      </c>
      <c r="D47" s="58"/>
      <c r="E47" s="58"/>
      <c r="F47" s="48" t="s">
        <v>222</v>
      </c>
      <c r="G47" s="58"/>
      <c r="H47" s="49" t="s">
        <v>328</v>
      </c>
      <c r="I47" s="49" t="s">
        <v>105</v>
      </c>
    </row>
    <row r="48" spans="1:9" x14ac:dyDescent="0.25">
      <c r="A48" s="60" t="s">
        <v>106</v>
      </c>
      <c r="B48" s="7"/>
      <c r="C48" s="60"/>
      <c r="D48" s="60"/>
      <c r="E48" s="60"/>
      <c r="F48" s="51" t="s">
        <v>329</v>
      </c>
      <c r="G48" s="60"/>
      <c r="H48" s="61"/>
      <c r="I48" s="61" t="s">
        <v>108</v>
      </c>
    </row>
    <row r="49" spans="1:9" x14ac:dyDescent="0.25">
      <c r="A49" s="60"/>
      <c r="B49" s="62"/>
      <c r="C49" s="60"/>
      <c r="D49" s="60"/>
      <c r="E49" s="60"/>
      <c r="F49" s="52" t="s">
        <v>205</v>
      </c>
      <c r="G49" s="74"/>
      <c r="H49" s="53"/>
      <c r="I49" s="61"/>
    </row>
    <row r="50" spans="1:9" x14ac:dyDescent="0.25">
      <c r="A50" s="96" t="s">
        <v>110</v>
      </c>
      <c r="B50" s="18"/>
      <c r="C50" s="68" t="s">
        <v>111</v>
      </c>
      <c r="D50" s="68"/>
      <c r="E50" s="68"/>
      <c r="F50" s="51"/>
      <c r="G50" s="60"/>
      <c r="H50" s="61"/>
      <c r="I50" s="49"/>
    </row>
    <row r="51" spans="1:9" x14ac:dyDescent="0.25">
      <c r="A51" s="89"/>
      <c r="B51" s="7"/>
      <c r="C51" s="60" t="s">
        <v>112</v>
      </c>
      <c r="D51" s="60"/>
      <c r="E51" s="60"/>
      <c r="F51" s="51" t="s">
        <v>71</v>
      </c>
      <c r="G51" s="60"/>
      <c r="H51" s="61" t="s">
        <v>71</v>
      </c>
      <c r="I51" s="61" t="s">
        <v>71</v>
      </c>
    </row>
    <row r="52" spans="1:9" x14ac:dyDescent="0.25">
      <c r="A52" s="89" t="s">
        <v>113</v>
      </c>
      <c r="B52" s="70">
        <v>42815</v>
      </c>
      <c r="C52" s="60" t="s">
        <v>330</v>
      </c>
      <c r="D52" s="60"/>
      <c r="E52" s="60"/>
      <c r="F52" s="51"/>
      <c r="G52" s="37">
        <f>I52/5975.7</f>
        <v>1.1464765634151648</v>
      </c>
      <c r="H52" s="61"/>
      <c r="I52" s="61">
        <v>6851</v>
      </c>
    </row>
    <row r="53" spans="1:9" x14ac:dyDescent="0.25">
      <c r="A53" s="89" t="s">
        <v>331</v>
      </c>
      <c r="B53" s="70">
        <v>42855</v>
      </c>
      <c r="C53" s="60" t="s">
        <v>332</v>
      </c>
      <c r="D53" s="60"/>
      <c r="E53" s="60"/>
      <c r="F53" s="51"/>
      <c r="G53" s="37">
        <f>I53/5975.7</f>
        <v>1.9791472128788261</v>
      </c>
      <c r="H53" s="61"/>
      <c r="I53" s="61">
        <v>11826.79</v>
      </c>
    </row>
    <row r="54" spans="1:9" x14ac:dyDescent="0.25">
      <c r="A54" s="89" t="s">
        <v>40</v>
      </c>
      <c r="B54" s="70">
        <v>42851</v>
      </c>
      <c r="C54" s="60" t="s">
        <v>333</v>
      </c>
      <c r="D54" s="60"/>
      <c r="E54" s="60"/>
      <c r="F54" s="51"/>
      <c r="G54" s="125">
        <f>I54/5975.7</f>
        <v>4.016265876801044</v>
      </c>
      <c r="H54" s="61"/>
      <c r="I54" s="61">
        <v>24000</v>
      </c>
    </row>
    <row r="55" spans="1:9" x14ac:dyDescent="0.25">
      <c r="A55" s="89" t="s">
        <v>42</v>
      </c>
      <c r="B55" s="70">
        <v>43008</v>
      </c>
      <c r="C55" s="60" t="s">
        <v>334</v>
      </c>
      <c r="D55" s="60"/>
      <c r="E55" s="60"/>
      <c r="F55" s="51"/>
      <c r="G55" s="125">
        <f>I55/5975.7</f>
        <v>6.6886088659069234</v>
      </c>
      <c r="H55" s="61"/>
      <c r="I55" s="61">
        <v>39969.120000000003</v>
      </c>
    </row>
    <row r="56" spans="1:9" x14ac:dyDescent="0.25">
      <c r="A56" s="89" t="s">
        <v>44</v>
      </c>
      <c r="B56" s="70">
        <v>43069</v>
      </c>
      <c r="C56" s="60" t="s">
        <v>335</v>
      </c>
      <c r="D56" s="60"/>
      <c r="E56" s="60"/>
      <c r="F56" s="51"/>
      <c r="G56" s="125">
        <f>I56/5975.7</f>
        <v>1.1063139046471544</v>
      </c>
      <c r="H56" s="61"/>
      <c r="I56" s="61">
        <v>6611</v>
      </c>
    </row>
    <row r="57" spans="1:9" x14ac:dyDescent="0.25">
      <c r="A57" s="99"/>
      <c r="B57" s="62"/>
      <c r="C57" s="14" t="s">
        <v>118</v>
      </c>
      <c r="D57" s="14"/>
      <c r="E57" s="14"/>
      <c r="F57" s="15"/>
      <c r="G57" s="78">
        <f>SUM(G51:G56)</f>
        <v>14.936812423649112</v>
      </c>
      <c r="H57" s="53"/>
      <c r="I57" s="85">
        <f>SUM(I52:I56)</f>
        <v>89257.91</v>
      </c>
    </row>
    <row r="58" spans="1:9" x14ac:dyDescent="0.25">
      <c r="A58" s="2" t="s">
        <v>336</v>
      </c>
      <c r="B58" s="2"/>
      <c r="C58" s="2"/>
      <c r="D58" s="2"/>
      <c r="E58" s="2"/>
      <c r="F58" s="2"/>
      <c r="G58" s="10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118"/>
      <c r="B61" s="118"/>
      <c r="C61" s="118"/>
      <c r="D61" s="118"/>
      <c r="E61" s="118"/>
      <c r="F61" s="118"/>
      <c r="G61" s="118"/>
      <c r="H61" s="118"/>
    </row>
    <row r="62" spans="1:9" x14ac:dyDescent="0.25">
      <c r="A62" s="118"/>
      <c r="B62" s="118"/>
      <c r="C62" s="118"/>
      <c r="D62" s="118"/>
      <c r="E62" s="118"/>
      <c r="F62" s="118"/>
      <c r="G62" s="118"/>
      <c r="H62" s="118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="110" zoomScaleNormal="110" workbookViewId="0">
      <selection activeCell="A8" sqref="A8"/>
    </sheetView>
  </sheetViews>
  <sheetFormatPr defaultRowHeight="15" x14ac:dyDescent="0.25"/>
  <cols>
    <col min="1" max="1" width="5" style="3" customWidth="1"/>
    <col min="2" max="2" width="31.85546875" style="3" customWidth="1"/>
    <col min="3" max="3" width="12.28515625" style="3" customWidth="1"/>
    <col min="4" max="4" width="12.140625" style="3" customWidth="1"/>
    <col min="5" max="5" width="10.42578125" style="3" customWidth="1"/>
    <col min="6" max="6" width="11.28515625" style="3" customWidth="1"/>
    <col min="7" max="7" width="10.28515625" style="3" customWidth="1"/>
    <col min="8" max="8" width="12.42578125" style="3" customWidth="1"/>
    <col min="9" max="9" width="17.570312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337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338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339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340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58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57" t="s">
        <v>191</v>
      </c>
      <c r="C18" s="126"/>
      <c r="D18" s="72"/>
      <c r="E18" s="27" t="s">
        <v>71</v>
      </c>
      <c r="F18" s="25" t="s">
        <v>71</v>
      </c>
      <c r="G18" s="68"/>
      <c r="H18" s="25" t="s">
        <v>71</v>
      </c>
      <c r="I18" s="45" t="s">
        <v>71</v>
      </c>
    </row>
    <row r="19" spans="1:9" x14ac:dyDescent="0.25">
      <c r="A19" s="15"/>
      <c r="B19" s="15" t="s">
        <v>192</v>
      </c>
      <c r="C19" s="12">
        <v>7.97</v>
      </c>
      <c r="D19" s="17">
        <v>-41816.61</v>
      </c>
      <c r="E19" s="14">
        <v>321218.71999999997</v>
      </c>
      <c r="F19" s="17">
        <v>321956.15999999997</v>
      </c>
      <c r="G19" s="14">
        <f t="shared" ref="G19:G25" si="0">E19</f>
        <v>321218.71999999997</v>
      </c>
      <c r="H19" s="108">
        <f>D19+F19-G19</f>
        <v>-41079.169999999984</v>
      </c>
      <c r="I19" s="17">
        <f>H19</f>
        <v>-41079.169999999984</v>
      </c>
    </row>
    <row r="20" spans="1:9" x14ac:dyDescent="0.25">
      <c r="A20" s="7" t="s">
        <v>36</v>
      </c>
      <c r="B20" s="18" t="s">
        <v>37</v>
      </c>
      <c r="C20" s="5">
        <v>2.62</v>
      </c>
      <c r="D20" s="127"/>
      <c r="E20" s="20">
        <f>E19*33%</f>
        <v>106002.1776</v>
      </c>
      <c r="F20" s="44">
        <f>F19*33/100</f>
        <v>106245.53279999999</v>
      </c>
      <c r="G20" s="5">
        <f t="shared" si="0"/>
        <v>106002.1776</v>
      </c>
      <c r="H20" s="128"/>
      <c r="I20" s="22"/>
    </row>
    <row r="21" spans="1:9" x14ac:dyDescent="0.25">
      <c r="A21" s="24" t="s">
        <v>38</v>
      </c>
      <c r="B21" s="25" t="s">
        <v>39</v>
      </c>
      <c r="C21" s="68">
        <v>1.33</v>
      </c>
      <c r="D21" s="129"/>
      <c r="E21" s="27">
        <f>E19*17%</f>
        <v>54607.182399999998</v>
      </c>
      <c r="F21" s="45">
        <f>F19*17%</f>
        <v>54732.547200000001</v>
      </c>
      <c r="G21" s="68">
        <f t="shared" si="0"/>
        <v>54607.182399999998</v>
      </c>
      <c r="H21" s="130"/>
      <c r="I21" s="29"/>
    </row>
    <row r="22" spans="1:9" x14ac:dyDescent="0.25">
      <c r="A22" s="24" t="s">
        <v>40</v>
      </c>
      <c r="B22" s="25" t="s">
        <v>41</v>
      </c>
      <c r="C22" s="68">
        <v>1.63</v>
      </c>
      <c r="D22" s="129"/>
      <c r="E22" s="27">
        <f>E19*20%</f>
        <v>64243.743999999999</v>
      </c>
      <c r="F22" s="45">
        <f>F19*20%</f>
        <v>64391.231999999996</v>
      </c>
      <c r="G22" s="131">
        <f t="shared" si="0"/>
        <v>64243.743999999999</v>
      </c>
      <c r="H22" s="130"/>
      <c r="I22" s="22"/>
    </row>
    <row r="23" spans="1:9" x14ac:dyDescent="0.25">
      <c r="A23" s="24" t="s">
        <v>42</v>
      </c>
      <c r="B23" s="25" t="s">
        <v>43</v>
      </c>
      <c r="C23" s="68">
        <v>2.39</v>
      </c>
      <c r="D23" s="127"/>
      <c r="E23" s="27">
        <f>E19*30%</f>
        <v>96365.615999999995</v>
      </c>
      <c r="F23" s="45">
        <f>F19*30%</f>
        <v>96586.847999999984</v>
      </c>
      <c r="G23" s="68">
        <f t="shared" si="0"/>
        <v>96365.615999999995</v>
      </c>
      <c r="H23" s="128"/>
      <c r="I23" s="75"/>
    </row>
    <row r="24" spans="1:9" x14ac:dyDescent="0.25">
      <c r="A24" s="24" t="s">
        <v>44</v>
      </c>
      <c r="B24" s="6" t="s">
        <v>47</v>
      </c>
      <c r="C24" s="58">
        <v>0.61770999999999998</v>
      </c>
      <c r="D24" s="132"/>
      <c r="E24" s="10">
        <v>24487.01</v>
      </c>
      <c r="F24" s="9">
        <v>20313.2</v>
      </c>
      <c r="G24" s="9">
        <f>E24</f>
        <v>24487.01</v>
      </c>
      <c r="H24" s="10">
        <f>F24-E24</f>
        <v>-4173.8099999999977</v>
      </c>
      <c r="I24" s="9">
        <f>H24</f>
        <v>-4173.8099999999977</v>
      </c>
    </row>
    <row r="25" spans="1:9" x14ac:dyDescent="0.25">
      <c r="A25" s="11" t="s">
        <v>48</v>
      </c>
      <c r="B25" s="11" t="s">
        <v>49</v>
      </c>
      <c r="C25" s="41" t="s">
        <v>50</v>
      </c>
      <c r="D25" s="11">
        <v>-25433.439999999999</v>
      </c>
      <c r="E25" s="46">
        <v>136425.74</v>
      </c>
      <c r="F25" s="11">
        <v>129345.97</v>
      </c>
      <c r="G25" s="41">
        <f t="shared" si="0"/>
        <v>136425.74</v>
      </c>
      <c r="H25" s="11">
        <f>D25+F25-G25</f>
        <v>-32513.209999999992</v>
      </c>
      <c r="I25" s="11">
        <f>H25</f>
        <v>-32513.209999999992</v>
      </c>
    </row>
    <row r="26" spans="1:9" x14ac:dyDescent="0.25">
      <c r="A26" s="25" t="s">
        <v>51</v>
      </c>
      <c r="B26" s="25" t="s">
        <v>195</v>
      </c>
      <c r="C26" s="14">
        <v>1.82</v>
      </c>
      <c r="D26" s="12">
        <v>404451.05</v>
      </c>
      <c r="E26" s="14">
        <v>73352.28</v>
      </c>
      <c r="F26" s="12">
        <f>F27+F28</f>
        <v>75370.48</v>
      </c>
      <c r="G26" s="15">
        <f>G27</f>
        <v>440955.70999999996</v>
      </c>
      <c r="H26" s="12">
        <f>D26+F26-G26</f>
        <v>38865.820000000007</v>
      </c>
      <c r="I26" s="25"/>
    </row>
    <row r="27" spans="1:9" x14ac:dyDescent="0.25">
      <c r="A27" s="11"/>
      <c r="B27" s="9" t="s">
        <v>53</v>
      </c>
      <c r="C27" s="14"/>
      <c r="D27" s="62"/>
      <c r="E27" s="14">
        <v>0</v>
      </c>
      <c r="F27" s="12">
        <v>73594.89</v>
      </c>
      <c r="G27" s="15">
        <f>I66</f>
        <v>440955.70999999996</v>
      </c>
      <c r="H27" s="62"/>
      <c r="I27" s="11"/>
    </row>
    <row r="28" spans="1:9" x14ac:dyDescent="0.25">
      <c r="A28" s="12"/>
      <c r="B28" s="9" t="s">
        <v>54</v>
      </c>
      <c r="C28" s="14"/>
      <c r="D28" s="9"/>
      <c r="E28" s="9">
        <v>0</v>
      </c>
      <c r="F28" s="41">
        <v>1775.59</v>
      </c>
      <c r="G28" s="9">
        <v>0</v>
      </c>
      <c r="H28" s="50"/>
      <c r="I28" s="11"/>
    </row>
    <row r="29" spans="1:9" x14ac:dyDescent="0.25">
      <c r="A29" s="11" t="s">
        <v>55</v>
      </c>
      <c r="B29" s="11" t="s">
        <v>146</v>
      </c>
      <c r="C29" s="46"/>
      <c r="D29" s="18" t="s">
        <v>71</v>
      </c>
      <c r="E29" s="5"/>
      <c r="F29" s="18"/>
      <c r="G29" s="5" t="s">
        <v>147</v>
      </c>
      <c r="H29" s="18" t="s">
        <v>71</v>
      </c>
      <c r="I29" s="18"/>
    </row>
    <row r="30" spans="1:9" x14ac:dyDescent="0.25">
      <c r="A30" s="12"/>
      <c r="B30" s="12" t="s">
        <v>303</v>
      </c>
      <c r="C30" s="14"/>
      <c r="D30" s="11">
        <v>114263.45</v>
      </c>
      <c r="E30" s="41">
        <v>0</v>
      </c>
      <c r="F30" s="11">
        <f>F31</f>
        <v>1.0900000000000001</v>
      </c>
      <c r="G30" s="41">
        <f>G31</f>
        <v>101074</v>
      </c>
      <c r="H30" s="11">
        <f>D30+F30-G30</f>
        <v>13190.539999999994</v>
      </c>
      <c r="I30" s="9"/>
    </row>
    <row r="31" spans="1:9" x14ac:dyDescent="0.25">
      <c r="A31" s="9"/>
      <c r="B31" s="9" t="s">
        <v>53</v>
      </c>
      <c r="C31" s="10"/>
      <c r="D31" s="9"/>
      <c r="E31" s="133"/>
      <c r="F31" s="10">
        <v>1.0900000000000001</v>
      </c>
      <c r="G31" s="9">
        <f>I70</f>
        <v>101074</v>
      </c>
      <c r="H31" s="9"/>
      <c r="I31" s="133"/>
    </row>
    <row r="32" spans="1:9" x14ac:dyDescent="0.25">
      <c r="A32" s="1" t="s">
        <v>58</v>
      </c>
      <c r="B32" s="2"/>
      <c r="C32" s="2"/>
      <c r="D32" s="107"/>
      <c r="E32" s="102"/>
      <c r="F32" s="102"/>
      <c r="G32" s="2"/>
      <c r="H32" s="134"/>
      <c r="I32" s="2"/>
    </row>
    <row r="33" spans="1:9" x14ac:dyDescent="0.25">
      <c r="A33" s="1"/>
      <c r="B33" s="2"/>
      <c r="C33" s="2"/>
      <c r="D33" s="107"/>
      <c r="E33" s="2"/>
      <c r="F33" s="102"/>
      <c r="G33" s="2"/>
      <c r="H33" s="134"/>
      <c r="I33" s="2"/>
    </row>
    <row r="34" spans="1:9" x14ac:dyDescent="0.25">
      <c r="A34" s="25" t="s">
        <v>59</v>
      </c>
      <c r="B34" s="58" t="s">
        <v>60</v>
      </c>
      <c r="C34" s="6" t="s">
        <v>64</v>
      </c>
      <c r="D34" s="49" t="s">
        <v>62</v>
      </c>
      <c r="E34" s="58" t="s">
        <v>63</v>
      </c>
      <c r="F34" s="6" t="s">
        <v>64</v>
      </c>
      <c r="G34" s="6"/>
      <c r="H34" s="58" t="s">
        <v>199</v>
      </c>
      <c r="I34" s="49"/>
    </row>
    <row r="35" spans="1:9" x14ac:dyDescent="0.25">
      <c r="A35" s="7"/>
      <c r="B35" s="60"/>
      <c r="C35" s="62" t="s">
        <v>66</v>
      </c>
      <c r="D35" s="53" t="s">
        <v>23</v>
      </c>
      <c r="E35" s="74" t="s">
        <v>312</v>
      </c>
      <c r="F35" s="62" t="s">
        <v>30</v>
      </c>
      <c r="G35" s="62"/>
      <c r="H35" s="74"/>
      <c r="I35" s="53"/>
    </row>
    <row r="36" spans="1:9" x14ac:dyDescent="0.25">
      <c r="A36" s="12"/>
      <c r="B36" s="74" t="s">
        <v>68</v>
      </c>
      <c r="C36" s="9">
        <v>10900.5</v>
      </c>
      <c r="D36" s="9">
        <v>5553</v>
      </c>
      <c r="E36" s="79">
        <f>D36*15%</f>
        <v>832.94999999999993</v>
      </c>
      <c r="F36" s="54">
        <f>C36+D36-E36</f>
        <v>15620.55</v>
      </c>
      <c r="G36" s="54">
        <v>0</v>
      </c>
      <c r="H36" s="79">
        <f>F36</f>
        <v>15620.55</v>
      </c>
      <c r="I36" s="53"/>
    </row>
    <row r="37" spans="1:9" x14ac:dyDescent="0.25">
      <c r="A37" s="5" t="s">
        <v>69</v>
      </c>
      <c r="B37" s="2"/>
      <c r="C37" s="2"/>
      <c r="D37" s="107"/>
      <c r="E37" s="2"/>
      <c r="F37" s="102"/>
      <c r="G37" s="2"/>
      <c r="H37" s="134"/>
      <c r="I37" s="2"/>
    </row>
    <row r="38" spans="1:9" x14ac:dyDescent="0.25">
      <c r="A38" s="1" t="s">
        <v>70</v>
      </c>
      <c r="B38" s="2"/>
      <c r="C38" s="2"/>
      <c r="E38" s="2"/>
      <c r="F38" s="2"/>
      <c r="G38" s="2"/>
      <c r="H38" s="2"/>
      <c r="I38" s="2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201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341</v>
      </c>
    </row>
    <row r="42" spans="1:9" x14ac:dyDescent="0.25">
      <c r="A42" s="9"/>
      <c r="B42" s="8"/>
      <c r="C42" s="9"/>
      <c r="D42" s="9"/>
      <c r="E42" s="10"/>
      <c r="F42" s="9"/>
      <c r="G42" s="9"/>
      <c r="H42" s="10"/>
      <c r="I42" s="9"/>
    </row>
    <row r="43" spans="1:9" x14ac:dyDescent="0.25">
      <c r="A43" s="9">
        <v>1</v>
      </c>
      <c r="B43" s="9" t="s">
        <v>342</v>
      </c>
      <c r="C43" s="41" t="s">
        <v>91</v>
      </c>
      <c r="D43" s="9">
        <v>-53732.56</v>
      </c>
      <c r="E43" s="65">
        <v>290818.42</v>
      </c>
      <c r="F43" s="9">
        <v>284764.87</v>
      </c>
      <c r="G43" s="6">
        <f>E43</f>
        <v>290818.42</v>
      </c>
      <c r="H43" s="6">
        <f>D43+F43-G43</f>
        <v>-59786.109999999986</v>
      </c>
      <c r="I43" s="9">
        <f>H43</f>
        <v>-59786.109999999986</v>
      </c>
    </row>
    <row r="44" spans="1:9" x14ac:dyDescent="0.25">
      <c r="A44" s="9"/>
      <c r="B44" s="9" t="s">
        <v>343</v>
      </c>
      <c r="C44" s="41" t="s">
        <v>93</v>
      </c>
      <c r="D44" s="9"/>
      <c r="E44" s="65"/>
      <c r="F44" s="8"/>
      <c r="G44" s="8"/>
      <c r="H44" s="9"/>
      <c r="I44" s="50"/>
    </row>
    <row r="45" spans="1:9" x14ac:dyDescent="0.25">
      <c r="A45" s="7">
        <v>2</v>
      </c>
      <c r="B45" s="7" t="s">
        <v>94</v>
      </c>
      <c r="C45" s="1" t="s">
        <v>95</v>
      </c>
      <c r="D45" s="7">
        <v>-150055.74</v>
      </c>
      <c r="E45" s="2">
        <v>502366.71</v>
      </c>
      <c r="F45" s="51">
        <v>471336.6</v>
      </c>
      <c r="G45" s="52">
        <f>E45</f>
        <v>502366.71</v>
      </c>
      <c r="H45" s="62">
        <f>D45+F45-G45</f>
        <v>-181085.85000000003</v>
      </c>
      <c r="I45" s="61">
        <f>H45</f>
        <v>-181085.85000000003</v>
      </c>
    </row>
    <row r="46" spans="1:9" x14ac:dyDescent="0.25">
      <c r="A46" s="9"/>
      <c r="B46" s="9" t="s">
        <v>96</v>
      </c>
      <c r="C46" s="41"/>
      <c r="D46" s="6" t="s">
        <v>71</v>
      </c>
      <c r="E46" s="10"/>
      <c r="F46" s="9"/>
      <c r="G46" s="60" t="s">
        <v>71</v>
      </c>
      <c r="H46" s="62" t="s">
        <v>71</v>
      </c>
      <c r="I46" s="6" t="s">
        <v>71</v>
      </c>
    </row>
    <row r="47" spans="1:9" x14ac:dyDescent="0.25">
      <c r="A47" s="9">
        <v>3</v>
      </c>
      <c r="B47" s="9" t="s">
        <v>98</v>
      </c>
      <c r="C47" s="41" t="s">
        <v>203</v>
      </c>
      <c r="D47" s="9">
        <v>-463630.33</v>
      </c>
      <c r="E47" s="10">
        <v>1178697.6599999999</v>
      </c>
      <c r="F47" s="9">
        <v>1132004.31</v>
      </c>
      <c r="G47" s="9">
        <f>E47</f>
        <v>1178697.6599999999</v>
      </c>
      <c r="H47" s="9">
        <f>D47+F47-G47</f>
        <v>-510323.67999999993</v>
      </c>
      <c r="I47" s="9">
        <f>H47</f>
        <v>-510323.67999999993</v>
      </c>
    </row>
    <row r="48" spans="1:9" x14ac:dyDescent="0.25">
      <c r="A48" s="1"/>
      <c r="B48" s="1"/>
      <c r="C48" s="1"/>
      <c r="D48" s="1"/>
      <c r="E48" s="1"/>
      <c r="F48" s="1"/>
      <c r="G48" s="1"/>
      <c r="H48" s="2"/>
      <c r="I48" s="2"/>
    </row>
    <row r="49" spans="1:9" x14ac:dyDescent="0.25">
      <c r="A49" s="1"/>
      <c r="B49" s="1"/>
      <c r="C49" s="1" t="s">
        <v>344</v>
      </c>
      <c r="D49" s="1"/>
      <c r="E49" s="1"/>
      <c r="F49" s="1"/>
      <c r="G49" s="47"/>
    </row>
    <row r="50" spans="1:9" x14ac:dyDescent="0.25">
      <c r="A50" s="5" t="s">
        <v>345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222</v>
      </c>
      <c r="G51" s="58"/>
      <c r="H51" s="49" t="s">
        <v>346</v>
      </c>
      <c r="I51" s="6" t="s">
        <v>105</v>
      </c>
    </row>
    <row r="52" spans="1:9" x14ac:dyDescent="0.25">
      <c r="A52" s="51" t="s">
        <v>106</v>
      </c>
      <c r="B52" s="7" t="s">
        <v>71</v>
      </c>
      <c r="C52" s="60"/>
      <c r="D52" s="60"/>
      <c r="E52" s="60"/>
      <c r="F52" s="51" t="s">
        <v>347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348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6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60"/>
      <c r="H55" s="61" t="s">
        <v>71</v>
      </c>
      <c r="I55" s="7" t="s">
        <v>71</v>
      </c>
    </row>
    <row r="56" spans="1:9" x14ac:dyDescent="0.25">
      <c r="A56" s="69" t="s">
        <v>113</v>
      </c>
      <c r="B56" s="70" t="s">
        <v>180</v>
      </c>
      <c r="C56" s="60" t="s">
        <v>349</v>
      </c>
      <c r="D56" s="60"/>
      <c r="E56" s="60"/>
      <c r="F56" s="51"/>
      <c r="G56" s="37">
        <f t="shared" ref="G56:G65" si="1">I56/3464.6</f>
        <v>49.624776308953415</v>
      </c>
      <c r="H56" s="61"/>
      <c r="I56" s="7">
        <v>171930</v>
      </c>
    </row>
    <row r="57" spans="1:9" x14ac:dyDescent="0.25">
      <c r="A57" s="69" t="s">
        <v>38</v>
      </c>
      <c r="B57" s="70" t="s">
        <v>314</v>
      </c>
      <c r="C57" s="60" t="s">
        <v>350</v>
      </c>
      <c r="D57" s="60"/>
      <c r="E57" s="60"/>
      <c r="F57" s="51"/>
      <c r="G57" s="37">
        <f t="shared" si="1"/>
        <v>2.0879322288287248</v>
      </c>
      <c r="H57" s="61"/>
      <c r="I57" s="7">
        <v>7233.85</v>
      </c>
    </row>
    <row r="58" spans="1:9" x14ac:dyDescent="0.25">
      <c r="A58" s="69" t="s">
        <v>40</v>
      </c>
      <c r="B58" s="70" t="s">
        <v>351</v>
      </c>
      <c r="C58" s="60" t="s">
        <v>352</v>
      </c>
      <c r="D58" s="60"/>
      <c r="E58" s="60"/>
      <c r="F58" s="51"/>
      <c r="G58" s="37">
        <f t="shared" si="1"/>
        <v>30.08918778502569</v>
      </c>
      <c r="H58" s="61"/>
      <c r="I58" s="7">
        <v>104247</v>
      </c>
    </row>
    <row r="59" spans="1:9" x14ac:dyDescent="0.25">
      <c r="A59" s="69" t="s">
        <v>42</v>
      </c>
      <c r="B59" s="70">
        <v>42937</v>
      </c>
      <c r="C59" s="60" t="s">
        <v>353</v>
      </c>
      <c r="D59" s="60"/>
      <c r="E59" s="60"/>
      <c r="F59" s="51"/>
      <c r="G59" s="37">
        <f t="shared" si="1"/>
        <v>2.6259395023956591</v>
      </c>
      <c r="H59" s="61"/>
      <c r="I59" s="7">
        <v>9097.83</v>
      </c>
    </row>
    <row r="60" spans="1:9" x14ac:dyDescent="0.25">
      <c r="A60" s="69" t="s">
        <v>44</v>
      </c>
      <c r="B60" s="70">
        <v>42954</v>
      </c>
      <c r="C60" s="60" t="s">
        <v>354</v>
      </c>
      <c r="D60" s="60"/>
      <c r="E60" s="60"/>
      <c r="F60" s="51"/>
      <c r="G60" s="37">
        <f t="shared" si="1"/>
        <v>5.6729636898920512</v>
      </c>
      <c r="H60" s="61"/>
      <c r="I60" s="7">
        <v>19654.55</v>
      </c>
    </row>
    <row r="61" spans="1:9" x14ac:dyDescent="0.25">
      <c r="A61" s="69" t="s">
        <v>46</v>
      </c>
      <c r="B61" s="70">
        <v>42962</v>
      </c>
      <c r="C61" s="60" t="s">
        <v>355</v>
      </c>
      <c r="D61" s="60"/>
      <c r="E61" s="60"/>
      <c r="F61" s="51"/>
      <c r="G61" s="37">
        <f t="shared" si="1"/>
        <v>4.2270391964440339</v>
      </c>
      <c r="H61" s="61"/>
      <c r="I61" s="7">
        <v>14645</v>
      </c>
    </row>
    <row r="62" spans="1:9" x14ac:dyDescent="0.25">
      <c r="A62" s="69" t="s">
        <v>356</v>
      </c>
      <c r="B62" s="70">
        <v>42962</v>
      </c>
      <c r="C62" s="60" t="s">
        <v>357</v>
      </c>
      <c r="D62" s="60"/>
      <c r="E62" s="60"/>
      <c r="F62" s="51"/>
      <c r="G62" s="37">
        <f t="shared" si="1"/>
        <v>12.309646135195983</v>
      </c>
      <c r="H62" s="61"/>
      <c r="I62" s="7">
        <v>42648</v>
      </c>
    </row>
    <row r="63" spans="1:9" x14ac:dyDescent="0.25">
      <c r="A63" s="69" t="s">
        <v>358</v>
      </c>
      <c r="B63" s="70">
        <v>43039</v>
      </c>
      <c r="C63" s="60" t="s">
        <v>359</v>
      </c>
      <c r="D63" s="60"/>
      <c r="E63" s="60"/>
      <c r="F63" s="51"/>
      <c r="G63" s="37">
        <f t="shared" si="1"/>
        <v>0.97505051088148698</v>
      </c>
      <c r="H63" s="61"/>
      <c r="I63" s="7">
        <v>3378.16</v>
      </c>
    </row>
    <row r="64" spans="1:9" x14ac:dyDescent="0.25">
      <c r="A64" s="69" t="s">
        <v>360</v>
      </c>
      <c r="B64" s="70" t="s">
        <v>314</v>
      </c>
      <c r="C64" s="60" t="s">
        <v>361</v>
      </c>
      <c r="D64" s="60"/>
      <c r="E64" s="60"/>
      <c r="F64" s="51"/>
      <c r="G64" s="37">
        <f t="shared" si="1"/>
        <v>17.210994054147665</v>
      </c>
      <c r="H64" s="61"/>
      <c r="I64" s="7">
        <v>59629.21</v>
      </c>
    </row>
    <row r="65" spans="1:9" x14ac:dyDescent="0.25">
      <c r="A65" s="69" t="s">
        <v>362</v>
      </c>
      <c r="B65" s="70" t="s">
        <v>363</v>
      </c>
      <c r="C65" s="60" t="s">
        <v>364</v>
      </c>
      <c r="D65" s="60"/>
      <c r="E65" s="60"/>
      <c r="F65" s="51"/>
      <c r="G65" s="37">
        <f t="shared" si="1"/>
        <v>2.4511083530566302</v>
      </c>
      <c r="H65" s="61"/>
      <c r="I65" s="7">
        <v>8492.11</v>
      </c>
    </row>
    <row r="66" spans="1:9" x14ac:dyDescent="0.25">
      <c r="A66" s="69"/>
      <c r="B66" s="7"/>
      <c r="C66" s="5" t="s">
        <v>118</v>
      </c>
      <c r="D66" s="5"/>
      <c r="E66" s="5"/>
      <c r="F66" s="59"/>
      <c r="G66" s="20">
        <f>SUM(G55:G65)</f>
        <v>127.27463776482134</v>
      </c>
      <c r="H66" s="61"/>
      <c r="I66" s="18">
        <f>SUM(I56:I65)</f>
        <v>440955.70999999996</v>
      </c>
    </row>
    <row r="67" spans="1:9" x14ac:dyDescent="0.25">
      <c r="A67" s="6"/>
      <c r="B67" s="6"/>
      <c r="C67" s="48"/>
      <c r="D67" s="58"/>
      <c r="E67" s="49"/>
      <c r="F67" s="48"/>
      <c r="G67" s="58"/>
      <c r="H67" s="49"/>
      <c r="I67" s="6"/>
    </row>
    <row r="68" spans="1:9" x14ac:dyDescent="0.25">
      <c r="A68" s="6" t="s">
        <v>48</v>
      </c>
      <c r="B68" s="25" t="s">
        <v>119</v>
      </c>
      <c r="C68" s="57" t="s">
        <v>120</v>
      </c>
      <c r="D68" s="58"/>
      <c r="E68" s="49"/>
      <c r="F68" s="48" t="s">
        <v>121</v>
      </c>
      <c r="G68" s="58"/>
      <c r="H68" s="49"/>
      <c r="I68" s="6"/>
    </row>
    <row r="69" spans="1:9" x14ac:dyDescent="0.25">
      <c r="A69" s="69" t="s">
        <v>182</v>
      </c>
      <c r="B69" s="70" t="s">
        <v>314</v>
      </c>
      <c r="C69" s="60" t="s">
        <v>365</v>
      </c>
      <c r="D69" s="60"/>
      <c r="E69" s="60"/>
      <c r="F69" s="51"/>
      <c r="G69" s="37">
        <f>I69/3361.6</f>
        <v>30.067229890528321</v>
      </c>
      <c r="H69" s="61"/>
      <c r="I69" s="7">
        <v>101074</v>
      </c>
    </row>
    <row r="70" spans="1:9" x14ac:dyDescent="0.25">
      <c r="A70" s="73"/>
      <c r="B70" s="62" t="s">
        <v>119</v>
      </c>
      <c r="C70" s="15" t="s">
        <v>118</v>
      </c>
      <c r="D70" s="74"/>
      <c r="E70" s="53"/>
      <c r="F70" s="52" t="s">
        <v>71</v>
      </c>
      <c r="G70" s="78">
        <f>SUM(G69)</f>
        <v>30.067229890528321</v>
      </c>
      <c r="H70" s="85"/>
      <c r="I70" s="12">
        <f>SUM(I69)</f>
        <v>101074</v>
      </c>
    </row>
    <row r="71" spans="1:9" x14ac:dyDescent="0.25">
      <c r="A71" s="2"/>
      <c r="B71" s="2"/>
      <c r="C71" s="2"/>
      <c r="D71" s="2"/>
      <c r="E71" s="2"/>
      <c r="F71" s="2"/>
      <c r="G71" s="102"/>
      <c r="H71" s="2"/>
      <c r="I71" s="2"/>
    </row>
    <row r="72" spans="1:9" x14ac:dyDescent="0.25">
      <c r="A72" s="2" t="s">
        <v>366</v>
      </c>
      <c r="B72" s="2"/>
      <c r="C72" s="2"/>
      <c r="D72" s="2" t="s">
        <v>367</v>
      </c>
      <c r="E72" s="2"/>
      <c r="F72" s="2"/>
      <c r="G72" s="2"/>
      <c r="H72" s="2"/>
      <c r="I72" s="2"/>
    </row>
    <row r="73" spans="1:9" x14ac:dyDescent="0.25">
      <c r="A73" s="2"/>
      <c r="B73" s="2"/>
      <c r="C73" s="2" t="s">
        <v>71</v>
      </c>
      <c r="D73" s="2"/>
      <c r="E73" s="2"/>
      <c r="F73" s="2"/>
      <c r="G73" s="2"/>
      <c r="H73" s="2"/>
      <c r="I73" s="2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8" zoomScale="110" zoomScaleNormal="110" workbookViewId="0">
      <selection activeCell="M32" sqref="M32"/>
    </sheetView>
  </sheetViews>
  <sheetFormatPr defaultRowHeight="15" x14ac:dyDescent="0.25"/>
  <cols>
    <col min="1" max="1" width="4.42578125" style="3" customWidth="1"/>
    <col min="2" max="2" width="32.28515625" style="3" customWidth="1"/>
    <col min="3" max="3" width="13.28515625" style="3" customWidth="1"/>
    <col min="4" max="4" width="11.140625" style="3" customWidth="1"/>
    <col min="5" max="6" width="9.140625" style="3"/>
    <col min="7" max="7" width="10.42578125" style="3" customWidth="1"/>
    <col min="8" max="8" width="13" style="3" customWidth="1"/>
    <col min="9" max="9" width="21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368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369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370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8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>
        <v>1</v>
      </c>
      <c r="B18" s="15" t="s">
        <v>323</v>
      </c>
      <c r="C18" s="12">
        <v>7.97</v>
      </c>
      <c r="D18" s="17">
        <v>-60408.74</v>
      </c>
      <c r="E18" s="12">
        <v>373340.64</v>
      </c>
      <c r="F18" s="85">
        <v>368855.59</v>
      </c>
      <c r="G18" s="14">
        <f t="shared" ref="G18:G27" si="0">E18</f>
        <v>373340.64</v>
      </c>
      <c r="H18" s="17">
        <f>D18+F18-G18</f>
        <v>-64893.789999999979</v>
      </c>
      <c r="I18" s="17">
        <f>H18</f>
        <v>-64893.789999999979</v>
      </c>
    </row>
    <row r="19" spans="1:9" x14ac:dyDescent="0.25">
      <c r="A19" s="73" t="s">
        <v>113</v>
      </c>
      <c r="B19" s="12" t="s">
        <v>371</v>
      </c>
      <c r="C19" s="14">
        <v>2.62</v>
      </c>
      <c r="D19" s="17"/>
      <c r="E19" s="78">
        <f>E18*33%</f>
        <v>123202.41120000002</v>
      </c>
      <c r="F19" s="17">
        <f>F18*33%</f>
        <v>121722.34470000002</v>
      </c>
      <c r="G19" s="78">
        <f t="shared" si="0"/>
        <v>123202.41120000002</v>
      </c>
      <c r="H19" s="54"/>
      <c r="I19" s="54"/>
    </row>
    <row r="20" spans="1:9" x14ac:dyDescent="0.25">
      <c r="A20" s="24" t="s">
        <v>38</v>
      </c>
      <c r="B20" s="25" t="s">
        <v>372</v>
      </c>
      <c r="C20" s="68">
        <v>1.33</v>
      </c>
      <c r="D20" s="45"/>
      <c r="E20" s="27">
        <f>E18*17%</f>
        <v>63467.908800000005</v>
      </c>
      <c r="F20" s="45">
        <f>F18*17%</f>
        <v>62705.450300000011</v>
      </c>
      <c r="G20" s="27">
        <f t="shared" si="0"/>
        <v>63467.908800000005</v>
      </c>
      <c r="H20" s="75"/>
      <c r="I20" s="75"/>
    </row>
    <row r="21" spans="1:9" x14ac:dyDescent="0.25">
      <c r="A21" s="24" t="s">
        <v>40</v>
      </c>
      <c r="B21" s="25" t="s">
        <v>41</v>
      </c>
      <c r="C21" s="68">
        <v>1.63</v>
      </c>
      <c r="D21" s="45"/>
      <c r="E21" s="33">
        <f>E18*20%</f>
        <v>74668.128000000012</v>
      </c>
      <c r="F21" s="43">
        <f>F18*20%</f>
        <v>73771.118000000002</v>
      </c>
      <c r="G21" s="135">
        <f t="shared" si="0"/>
        <v>74668.128000000012</v>
      </c>
      <c r="H21" s="29"/>
      <c r="I21" s="75"/>
    </row>
    <row r="22" spans="1:9" x14ac:dyDescent="0.25">
      <c r="A22" s="36" t="s">
        <v>42</v>
      </c>
      <c r="B22" s="11" t="s">
        <v>43</v>
      </c>
      <c r="C22" s="41">
        <v>2.39</v>
      </c>
      <c r="D22" s="43"/>
      <c r="E22" s="33">
        <f>E18*30%</f>
        <v>112002.192</v>
      </c>
      <c r="F22" s="43">
        <f>F18*30%</f>
        <v>110656.67700000001</v>
      </c>
      <c r="G22" s="33">
        <f t="shared" si="0"/>
        <v>112002.192</v>
      </c>
      <c r="H22" s="29"/>
      <c r="I22" s="29"/>
    </row>
    <row r="23" spans="1:9" x14ac:dyDescent="0.25">
      <c r="A23" s="73" t="s">
        <v>44</v>
      </c>
      <c r="B23" s="62" t="s">
        <v>45</v>
      </c>
      <c r="C23" s="74">
        <v>0.44964999999999999</v>
      </c>
      <c r="D23" s="54"/>
      <c r="E23" s="79">
        <v>12403.26</v>
      </c>
      <c r="F23" s="54">
        <v>13642.96</v>
      </c>
      <c r="G23" s="79">
        <f t="shared" si="0"/>
        <v>12403.26</v>
      </c>
      <c r="H23" s="17">
        <f>F23-E23</f>
        <v>1239.6999999999989</v>
      </c>
      <c r="I23" s="54"/>
    </row>
    <row r="24" spans="1:9" x14ac:dyDescent="0.25">
      <c r="A24" s="73" t="s">
        <v>46</v>
      </c>
      <c r="B24" s="62" t="s">
        <v>47</v>
      </c>
      <c r="C24" s="74">
        <v>3.47363</v>
      </c>
      <c r="D24" s="54"/>
      <c r="E24" s="9">
        <v>169223.17</v>
      </c>
      <c r="F24" s="10">
        <v>148370.63</v>
      </c>
      <c r="G24" s="9">
        <f>E24</f>
        <v>169223.17</v>
      </c>
      <c r="H24" s="41">
        <f>F24-E24</f>
        <v>-20852.540000000008</v>
      </c>
      <c r="I24" s="11">
        <f>H24</f>
        <v>-20852.540000000008</v>
      </c>
    </row>
    <row r="25" spans="1:9" x14ac:dyDescent="0.25">
      <c r="A25" s="12" t="s">
        <v>48</v>
      </c>
      <c r="B25" s="12" t="s">
        <v>143</v>
      </c>
      <c r="C25" s="14">
        <v>3.15</v>
      </c>
      <c r="D25" s="17">
        <v>-32081.45</v>
      </c>
      <c r="E25" s="14">
        <v>146582.35</v>
      </c>
      <c r="F25" s="12">
        <v>146572.49</v>
      </c>
      <c r="G25" s="14">
        <f t="shared" si="0"/>
        <v>146582.35</v>
      </c>
      <c r="H25" s="17">
        <f>D25+F25-G25</f>
        <v>-32091.310000000012</v>
      </c>
      <c r="I25" s="17">
        <f>H25</f>
        <v>-32091.310000000012</v>
      </c>
    </row>
    <row r="26" spans="1:9" x14ac:dyDescent="0.25">
      <c r="A26" s="11" t="s">
        <v>51</v>
      </c>
      <c r="B26" s="11" t="s">
        <v>49</v>
      </c>
      <c r="C26" s="41" t="s">
        <v>50</v>
      </c>
      <c r="D26" s="17">
        <v>-24396.57</v>
      </c>
      <c r="E26" s="41">
        <v>158564.07</v>
      </c>
      <c r="F26" s="11">
        <v>151430.14000000001</v>
      </c>
      <c r="G26" s="41">
        <f t="shared" si="0"/>
        <v>158564.07</v>
      </c>
      <c r="H26" s="43">
        <f>+D26+F26-G26</f>
        <v>-31530.5</v>
      </c>
      <c r="I26" s="17">
        <f>H26</f>
        <v>-31530.5</v>
      </c>
    </row>
    <row r="27" spans="1:9" x14ac:dyDescent="0.25">
      <c r="A27" s="11" t="s">
        <v>55</v>
      </c>
      <c r="B27" s="11" t="s">
        <v>194</v>
      </c>
      <c r="C27" s="41">
        <v>0.92</v>
      </c>
      <c r="D27" s="17">
        <v>64.19</v>
      </c>
      <c r="E27" s="41">
        <v>43095.96</v>
      </c>
      <c r="F27" s="11">
        <v>43001.440000000002</v>
      </c>
      <c r="G27" s="41">
        <f t="shared" si="0"/>
        <v>43095.96</v>
      </c>
      <c r="H27" s="11">
        <f>D27+F27-G27</f>
        <v>-30.32999999999447</v>
      </c>
      <c r="I27" s="17">
        <f>H27</f>
        <v>-30.32999999999447</v>
      </c>
    </row>
    <row r="28" spans="1:9" x14ac:dyDescent="0.25">
      <c r="A28" s="11" t="s">
        <v>59</v>
      </c>
      <c r="B28" s="12" t="s">
        <v>373</v>
      </c>
      <c r="C28" s="12">
        <v>1.82</v>
      </c>
      <c r="D28" s="12">
        <v>59656.7</v>
      </c>
      <c r="E28" s="12">
        <v>85254.84</v>
      </c>
      <c r="F28" s="12">
        <f>F29+F30</f>
        <v>86111.07</v>
      </c>
      <c r="G28" s="15">
        <f>G30+I63</f>
        <v>27755.52</v>
      </c>
      <c r="H28" s="12">
        <f>D28-D30+F28-G28</f>
        <v>118012.25000000001</v>
      </c>
      <c r="I28" s="12"/>
    </row>
    <row r="29" spans="1:9" x14ac:dyDescent="0.25">
      <c r="A29" s="11"/>
      <c r="B29" s="9" t="s">
        <v>374</v>
      </c>
      <c r="C29" s="14"/>
      <c r="D29" s="12">
        <v>0</v>
      </c>
      <c r="E29" s="14"/>
      <c r="F29" s="12">
        <v>86111.07</v>
      </c>
      <c r="G29" s="14"/>
      <c r="H29" s="12"/>
      <c r="I29" s="12"/>
    </row>
    <row r="30" spans="1:9" x14ac:dyDescent="0.25">
      <c r="A30" s="18"/>
      <c r="B30" s="12"/>
      <c r="C30" s="14"/>
      <c r="D30" s="12"/>
      <c r="E30" s="14"/>
      <c r="F30" s="12">
        <v>0</v>
      </c>
      <c r="G30" s="14"/>
      <c r="H30" s="12"/>
      <c r="I30" s="12"/>
    </row>
    <row r="31" spans="1:9" x14ac:dyDescent="0.25">
      <c r="A31" s="11" t="s">
        <v>196</v>
      </c>
      <c r="B31" s="11" t="s">
        <v>146</v>
      </c>
      <c r="C31" s="41"/>
      <c r="D31" s="11" t="s">
        <v>71</v>
      </c>
      <c r="E31" s="41"/>
      <c r="F31" s="11"/>
      <c r="G31" s="41" t="s">
        <v>147</v>
      </c>
      <c r="H31" s="11" t="s">
        <v>71</v>
      </c>
      <c r="I31" s="11"/>
    </row>
    <row r="32" spans="1:9" x14ac:dyDescent="0.25">
      <c r="A32" s="12"/>
      <c r="B32" s="12" t="s">
        <v>148</v>
      </c>
      <c r="C32" s="14"/>
      <c r="D32" s="11">
        <v>2531.66</v>
      </c>
      <c r="E32" s="41">
        <v>0</v>
      </c>
      <c r="F32" s="11">
        <f>F33</f>
        <v>275.55</v>
      </c>
      <c r="G32" s="41">
        <f>G33</f>
        <v>0</v>
      </c>
      <c r="H32" s="11">
        <f>D32+F32-G32</f>
        <v>2807.21</v>
      </c>
      <c r="I32" s="12" t="s">
        <v>71</v>
      </c>
    </row>
    <row r="33" spans="1:9" x14ac:dyDescent="0.25">
      <c r="A33" s="9"/>
      <c r="B33" s="9" t="s">
        <v>374</v>
      </c>
      <c r="C33" s="10"/>
      <c r="D33" s="9">
        <v>0</v>
      </c>
      <c r="E33" s="10">
        <v>0</v>
      </c>
      <c r="F33" s="9">
        <v>275.55</v>
      </c>
      <c r="G33" s="10">
        <v>0</v>
      </c>
      <c r="H33" s="9"/>
      <c r="I33" s="9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25" t="s">
        <v>197</v>
      </c>
      <c r="B35" s="58" t="s">
        <v>60</v>
      </c>
      <c r="C35" s="6" t="s">
        <v>375</v>
      </c>
      <c r="D35" s="6" t="s">
        <v>62</v>
      </c>
      <c r="E35" s="58" t="s">
        <v>63</v>
      </c>
      <c r="F35" s="6" t="s">
        <v>61</v>
      </c>
      <c r="G35" s="6"/>
      <c r="H35" s="58" t="s">
        <v>199</v>
      </c>
      <c r="I35" s="49"/>
    </row>
    <row r="36" spans="1:9" x14ac:dyDescent="0.25">
      <c r="A36" s="7"/>
      <c r="B36" s="60"/>
      <c r="C36" s="7" t="s">
        <v>66</v>
      </c>
      <c r="D36" s="62" t="s">
        <v>376</v>
      </c>
      <c r="E36" s="74" t="s">
        <v>312</v>
      </c>
      <c r="F36" s="7" t="s">
        <v>30</v>
      </c>
      <c r="G36" s="7"/>
      <c r="H36" s="74"/>
      <c r="I36" s="53"/>
    </row>
    <row r="37" spans="1:9" x14ac:dyDescent="0.25">
      <c r="A37" s="12"/>
      <c r="B37" s="74" t="s">
        <v>68</v>
      </c>
      <c r="C37" s="9">
        <v>10900.5</v>
      </c>
      <c r="D37" s="53">
        <v>5553</v>
      </c>
      <c r="E37" s="79">
        <f>D37*15%</f>
        <v>832.94999999999993</v>
      </c>
      <c r="F37" s="40">
        <f>C37+(D37-E37)</f>
        <v>15620.55</v>
      </c>
      <c r="G37" s="35"/>
      <c r="H37" s="79">
        <f>F37</f>
        <v>15620.55</v>
      </c>
      <c r="I37" s="53"/>
    </row>
    <row r="38" spans="1:9" x14ac:dyDescent="0.25">
      <c r="A38" s="5" t="s">
        <v>69</v>
      </c>
      <c r="B38" s="5"/>
      <c r="C38" s="5"/>
      <c r="D38" s="56"/>
      <c r="E38" s="5"/>
      <c r="F38" s="5"/>
      <c r="G38" s="5"/>
      <c r="H38" s="5"/>
      <c r="I38" s="60"/>
    </row>
    <row r="39" spans="1:9" x14ac:dyDescent="0.25">
      <c r="A39" s="1" t="s">
        <v>70</v>
      </c>
      <c r="B39" s="1"/>
      <c r="C39" s="1"/>
      <c r="D39" s="1"/>
      <c r="E39" s="1"/>
      <c r="F39" s="1"/>
      <c r="G39" s="1"/>
      <c r="H39" s="1"/>
      <c r="I39" s="2"/>
    </row>
    <row r="40" spans="1:9" x14ac:dyDescent="0.25">
      <c r="A40" s="6" t="s">
        <v>71</v>
      </c>
      <c r="B40" s="57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77</v>
      </c>
      <c r="H40" s="58" t="s">
        <v>78</v>
      </c>
      <c r="I40" s="6" t="s">
        <v>19</v>
      </c>
    </row>
    <row r="41" spans="1:9" x14ac:dyDescent="0.25">
      <c r="A41" s="7"/>
      <c r="B41" s="59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7" t="s">
        <v>84</v>
      </c>
      <c r="H41" s="60" t="s">
        <v>85</v>
      </c>
      <c r="I41" s="7" t="s">
        <v>86</v>
      </c>
    </row>
    <row r="42" spans="1:9" x14ac:dyDescent="0.25">
      <c r="A42" s="7"/>
      <c r="B42" s="51"/>
      <c r="C42" s="7"/>
      <c r="D42" s="60"/>
      <c r="E42" s="7"/>
      <c r="F42" s="60" t="s">
        <v>87</v>
      </c>
      <c r="G42" s="7" t="s">
        <v>88</v>
      </c>
      <c r="H42" s="60"/>
      <c r="I42" s="7" t="s">
        <v>239</v>
      </c>
    </row>
    <row r="43" spans="1:9" x14ac:dyDescent="0.25">
      <c r="A43" s="7"/>
      <c r="B43" s="51"/>
      <c r="C43" s="7"/>
      <c r="D43" s="60"/>
      <c r="E43" s="7"/>
      <c r="F43" s="60"/>
      <c r="G43" s="7"/>
      <c r="H43" s="60"/>
      <c r="I43" s="7"/>
    </row>
    <row r="44" spans="1:9" x14ac:dyDescent="0.25">
      <c r="A44" s="9"/>
      <c r="B44" s="8"/>
      <c r="C44" s="9"/>
      <c r="D44" s="10"/>
      <c r="E44" s="9"/>
      <c r="F44" s="10"/>
      <c r="G44" s="9"/>
      <c r="H44" s="10"/>
      <c r="I44" s="9"/>
    </row>
    <row r="45" spans="1:9" x14ac:dyDescent="0.25">
      <c r="A45" s="7">
        <v>1</v>
      </c>
      <c r="B45" s="7" t="s">
        <v>90</v>
      </c>
      <c r="C45" s="5" t="s">
        <v>91</v>
      </c>
      <c r="D45" s="7">
        <v>-84148.160000000003</v>
      </c>
      <c r="E45" s="112">
        <v>297328.25</v>
      </c>
      <c r="F45" s="7">
        <v>287345.17</v>
      </c>
      <c r="G45" s="60">
        <f>E45</f>
        <v>297328.25</v>
      </c>
      <c r="H45" s="7">
        <f>F45-G45+D45</f>
        <v>-94131.24000000002</v>
      </c>
      <c r="I45" s="7">
        <f>H45</f>
        <v>-94131.24000000002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10"/>
      <c r="H46" s="9"/>
      <c r="I46" s="9"/>
    </row>
    <row r="47" spans="1:9" x14ac:dyDescent="0.25">
      <c r="A47" s="7">
        <v>2</v>
      </c>
      <c r="B47" s="7" t="s">
        <v>168</v>
      </c>
      <c r="C47" s="1" t="s">
        <v>95</v>
      </c>
      <c r="D47" s="7">
        <v>-106550.02</v>
      </c>
      <c r="E47" s="2">
        <v>486937.5</v>
      </c>
      <c r="F47" s="7">
        <v>443022.95</v>
      </c>
      <c r="G47" s="7">
        <f>E47</f>
        <v>486937.5</v>
      </c>
      <c r="H47" s="7">
        <f>F47-G47+D47</f>
        <v>-150464.57</v>
      </c>
      <c r="I47" s="62">
        <f>D47+F47-G47</f>
        <v>-150464.57</v>
      </c>
    </row>
    <row r="48" spans="1:9" x14ac:dyDescent="0.25">
      <c r="A48" s="9"/>
      <c r="B48" s="9" t="s">
        <v>313</v>
      </c>
      <c r="C48" s="41" t="s">
        <v>93</v>
      </c>
      <c r="D48" s="9"/>
      <c r="E48" s="10"/>
      <c r="F48" s="9"/>
      <c r="G48" s="9"/>
      <c r="H48" s="9"/>
      <c r="I48" s="9"/>
    </row>
    <row r="49" spans="1:9" x14ac:dyDescent="0.25">
      <c r="A49" s="9">
        <v>3</v>
      </c>
      <c r="B49" s="9" t="s">
        <v>98</v>
      </c>
      <c r="C49" s="41" t="s">
        <v>99</v>
      </c>
      <c r="D49" s="9">
        <v>-429127.37</v>
      </c>
      <c r="E49" s="10">
        <v>1064712.02</v>
      </c>
      <c r="F49" s="9">
        <v>1093631.05</v>
      </c>
      <c r="G49" s="9">
        <f>E49</f>
        <v>1064712.02</v>
      </c>
      <c r="H49" s="9">
        <f>F49-G49+D49</f>
        <v>-400208.33999999997</v>
      </c>
      <c r="I49" s="9">
        <f>H49</f>
        <v>-400208.33999999997</v>
      </c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1" t="s">
        <v>377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101</v>
      </c>
      <c r="B52" s="1"/>
      <c r="C52" s="1"/>
      <c r="D52" s="1"/>
      <c r="E52" s="1"/>
      <c r="F52" s="1"/>
      <c r="G52" s="1"/>
      <c r="H52" s="2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378</v>
      </c>
      <c r="G55" s="60"/>
      <c r="H55" s="61"/>
      <c r="I55" s="7"/>
    </row>
    <row r="56" spans="1:9" x14ac:dyDescent="0.25">
      <c r="A56" s="51"/>
      <c r="B56" s="62"/>
      <c r="C56" s="60"/>
      <c r="D56" s="60"/>
      <c r="E56" s="60"/>
      <c r="F56" s="51" t="s">
        <v>226</v>
      </c>
      <c r="G56" s="60"/>
      <c r="H56" s="61"/>
      <c r="I56" s="62"/>
    </row>
    <row r="57" spans="1:9" x14ac:dyDescent="0.25">
      <c r="A57" s="67" t="s">
        <v>110</v>
      </c>
      <c r="B57" s="18"/>
      <c r="C57" s="68" t="s">
        <v>111</v>
      </c>
      <c r="D57" s="68"/>
      <c r="E57" s="68"/>
      <c r="F57" s="48"/>
      <c r="G57" s="58"/>
      <c r="H57" s="49"/>
      <c r="I57" s="6"/>
    </row>
    <row r="58" spans="1:9" x14ac:dyDescent="0.25">
      <c r="A58" s="69"/>
      <c r="B58" s="7"/>
      <c r="C58" s="60" t="s">
        <v>112</v>
      </c>
      <c r="D58" s="60"/>
      <c r="E58" s="60"/>
      <c r="F58" s="51" t="s">
        <v>71</v>
      </c>
      <c r="G58" s="60" t="s">
        <v>71</v>
      </c>
      <c r="H58" s="61" t="s">
        <v>71</v>
      </c>
      <c r="I58" s="7" t="s">
        <v>71</v>
      </c>
    </row>
    <row r="59" spans="1:9" x14ac:dyDescent="0.25">
      <c r="A59" s="69" t="s">
        <v>113</v>
      </c>
      <c r="B59" s="70">
        <v>42926</v>
      </c>
      <c r="C59" s="60" t="s">
        <v>379</v>
      </c>
      <c r="D59" s="60"/>
      <c r="E59" s="60"/>
      <c r="F59" s="51"/>
      <c r="G59" s="37">
        <f>I59/3903.6</f>
        <v>0.81975612255354036</v>
      </c>
      <c r="H59" s="61"/>
      <c r="I59" s="7">
        <v>3200</v>
      </c>
    </row>
    <row r="60" spans="1:9" x14ac:dyDescent="0.25">
      <c r="A60" s="69" t="s">
        <v>71</v>
      </c>
      <c r="B60" s="70"/>
      <c r="C60" s="60" t="s">
        <v>380</v>
      </c>
      <c r="D60" s="60"/>
      <c r="E60" s="60"/>
      <c r="F60" s="51"/>
      <c r="G60" s="60"/>
      <c r="H60" s="61"/>
      <c r="I60" s="7"/>
    </row>
    <row r="61" spans="1:9" x14ac:dyDescent="0.25">
      <c r="A61" s="69" t="s">
        <v>38</v>
      </c>
      <c r="B61" s="70" t="s">
        <v>180</v>
      </c>
      <c r="C61" s="60" t="s">
        <v>381</v>
      </c>
      <c r="D61" s="60"/>
      <c r="E61" s="60"/>
      <c r="F61" s="51"/>
      <c r="G61" s="37">
        <f>I61/3903.6</f>
        <v>4.7694410287939339</v>
      </c>
      <c r="H61" s="61"/>
      <c r="I61" s="7">
        <v>18617.990000000002</v>
      </c>
    </row>
    <row r="62" spans="1:9" x14ac:dyDescent="0.25">
      <c r="A62" s="69" t="s">
        <v>382</v>
      </c>
      <c r="B62" s="70" t="s">
        <v>207</v>
      </c>
      <c r="C62" s="60" t="s">
        <v>383</v>
      </c>
      <c r="D62" s="60"/>
      <c r="E62" s="60"/>
      <c r="F62" s="51"/>
      <c r="G62" s="37">
        <f>I62/393.6</f>
        <v>15.08518800813008</v>
      </c>
      <c r="H62" s="61"/>
      <c r="I62" s="7">
        <v>5937.53</v>
      </c>
    </row>
    <row r="63" spans="1:9" x14ac:dyDescent="0.25">
      <c r="A63" s="69"/>
      <c r="B63" s="7"/>
      <c r="C63" s="5" t="s">
        <v>118</v>
      </c>
      <c r="D63" s="5"/>
      <c r="E63" s="5"/>
      <c r="F63" s="59"/>
      <c r="G63" s="20">
        <f>SUM(G59:G62)</f>
        <v>20.674385159477556</v>
      </c>
      <c r="H63" s="71"/>
      <c r="I63" s="18">
        <f>SUM(I59:I62)</f>
        <v>27755.52</v>
      </c>
    </row>
    <row r="64" spans="1:9" x14ac:dyDescent="0.25">
      <c r="A64" s="6"/>
      <c r="B64" s="6"/>
      <c r="C64" s="48"/>
      <c r="D64" s="58"/>
      <c r="E64" s="49"/>
      <c r="F64" s="48"/>
      <c r="G64" s="86"/>
      <c r="H64" s="49"/>
      <c r="I64" s="6"/>
    </row>
    <row r="65" spans="1:9" x14ac:dyDescent="0.25">
      <c r="A65" s="6" t="s">
        <v>48</v>
      </c>
      <c r="B65" s="57" t="s">
        <v>119</v>
      </c>
      <c r="C65" s="57" t="s">
        <v>120</v>
      </c>
      <c r="D65" s="58"/>
      <c r="E65" s="49"/>
      <c r="F65" s="48" t="s">
        <v>121</v>
      </c>
      <c r="G65" s="58" t="s">
        <v>71</v>
      </c>
      <c r="H65" s="49"/>
      <c r="I65" s="49"/>
    </row>
    <row r="66" spans="1:9" x14ac:dyDescent="0.25">
      <c r="A66" s="62" t="s">
        <v>119</v>
      </c>
      <c r="B66" s="52" t="s">
        <v>119</v>
      </c>
      <c r="C66" s="15" t="s">
        <v>118</v>
      </c>
      <c r="D66" s="14"/>
      <c r="E66" s="85"/>
      <c r="F66" s="15" t="s">
        <v>71</v>
      </c>
      <c r="G66" s="78">
        <v>0</v>
      </c>
      <c r="H66" s="85"/>
      <c r="I66" s="85">
        <v>0</v>
      </c>
    </row>
    <row r="67" spans="1:9" x14ac:dyDescent="0.25">
      <c r="A67" s="2" t="s">
        <v>304</v>
      </c>
      <c r="B67" s="2"/>
      <c r="C67" s="2" t="s">
        <v>384</v>
      </c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7" zoomScale="110" zoomScaleNormal="110" workbookViewId="0">
      <selection activeCell="A8" sqref="A8"/>
    </sheetView>
  </sheetViews>
  <sheetFormatPr defaultRowHeight="15" x14ac:dyDescent="0.25"/>
  <cols>
    <col min="1" max="1" width="4.140625" style="3" customWidth="1"/>
    <col min="2" max="2" width="31.5703125" style="3" customWidth="1"/>
    <col min="3" max="3" width="13.140625" style="3" customWidth="1"/>
    <col min="4" max="4" width="12.28515625" style="3" customWidth="1"/>
    <col min="5" max="5" width="11.85546875" style="3" customWidth="1"/>
    <col min="6" max="6" width="11.28515625" style="3" customWidth="1"/>
    <col min="7" max="7" width="11" style="3" customWidth="1"/>
    <col min="8" max="8" width="12.140625" style="3" customWidth="1"/>
    <col min="9" max="9" width="17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385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386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387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268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136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138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30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6">
        <v>9</v>
      </c>
    </row>
    <row r="19" spans="1:9" x14ac:dyDescent="0.25">
      <c r="A19" s="57">
        <v>1</v>
      </c>
      <c r="B19" s="25" t="s">
        <v>191</v>
      </c>
      <c r="C19" s="68" t="s">
        <v>71</v>
      </c>
      <c r="D19" s="57"/>
      <c r="E19" s="45" t="s">
        <v>71</v>
      </c>
      <c r="F19" s="25" t="s">
        <v>71</v>
      </c>
      <c r="G19" s="57"/>
      <c r="H19" s="57" t="s">
        <v>71</v>
      </c>
      <c r="I19" s="45" t="s">
        <v>71</v>
      </c>
    </row>
    <row r="20" spans="1:9" x14ac:dyDescent="0.25">
      <c r="A20" s="15"/>
      <c r="B20" s="12" t="s">
        <v>192</v>
      </c>
      <c r="C20" s="78">
        <v>7.56</v>
      </c>
      <c r="D20" s="17">
        <v>-7416.83</v>
      </c>
      <c r="E20" s="17">
        <v>44117.04</v>
      </c>
      <c r="F20" s="17">
        <v>40117.040000000001</v>
      </c>
      <c r="G20" s="16">
        <f t="shared" ref="G20:G26" si="0">E20</f>
        <v>44117.04</v>
      </c>
      <c r="H20" s="16">
        <f>D20+F20-G20</f>
        <v>-11416.830000000002</v>
      </c>
      <c r="I20" s="17">
        <f>H20</f>
        <v>-11416.830000000002</v>
      </c>
    </row>
    <row r="21" spans="1:9" x14ac:dyDescent="0.25">
      <c r="A21" s="9" t="s">
        <v>36</v>
      </c>
      <c r="B21" s="12" t="s">
        <v>37</v>
      </c>
      <c r="C21" s="78">
        <v>2.62</v>
      </c>
      <c r="D21" s="43"/>
      <c r="E21" s="43">
        <f>E20*34.5%</f>
        <v>15220.378799999999</v>
      </c>
      <c r="F21" s="43">
        <f>F20*34.5%</f>
        <v>13840.378799999999</v>
      </c>
      <c r="G21" s="33">
        <f t="shared" si="0"/>
        <v>15220.378799999999</v>
      </c>
      <c r="H21" s="40"/>
      <c r="I21" s="29"/>
    </row>
    <row r="22" spans="1:9" x14ac:dyDescent="0.25">
      <c r="A22" s="24" t="s">
        <v>38</v>
      </c>
      <c r="B22" s="11" t="s">
        <v>39</v>
      </c>
      <c r="C22" s="27">
        <v>1.33</v>
      </c>
      <c r="D22" s="43"/>
      <c r="E22" s="43">
        <f>E20*18%</f>
        <v>7941.0671999999995</v>
      </c>
      <c r="F22" s="43">
        <f>F20*18%</f>
        <v>7221.0671999999995</v>
      </c>
      <c r="G22" s="34">
        <f t="shared" si="0"/>
        <v>7941.0671999999995</v>
      </c>
      <c r="H22" s="40"/>
      <c r="I22" s="29"/>
    </row>
    <row r="23" spans="1:9" x14ac:dyDescent="0.25">
      <c r="A23" s="24" t="s">
        <v>40</v>
      </c>
      <c r="B23" s="11" t="s">
        <v>41</v>
      </c>
      <c r="C23" s="27">
        <v>1.22</v>
      </c>
      <c r="D23" s="44"/>
      <c r="E23" s="44">
        <f xml:space="preserve"> E20*16%</f>
        <v>7058.7264000000005</v>
      </c>
      <c r="F23" s="44">
        <f>F20*16%</f>
        <v>6418.7264000000005</v>
      </c>
      <c r="G23" s="20">
        <f t="shared" si="0"/>
        <v>7058.7264000000005</v>
      </c>
      <c r="H23" s="38"/>
      <c r="I23" s="22"/>
    </row>
    <row r="24" spans="1:9" x14ac:dyDescent="0.25">
      <c r="A24" s="24" t="s">
        <v>42</v>
      </c>
      <c r="B24" s="25" t="s">
        <v>43</v>
      </c>
      <c r="C24" s="27">
        <v>2.39</v>
      </c>
      <c r="D24" s="43"/>
      <c r="E24" s="43">
        <f>E20*31.5%</f>
        <v>13896.8676</v>
      </c>
      <c r="F24" s="43">
        <f>F20*31.5%</f>
        <v>12636.8676</v>
      </c>
      <c r="G24" s="34">
        <f t="shared" si="0"/>
        <v>13896.8676</v>
      </c>
      <c r="H24" s="40"/>
      <c r="I24" s="29"/>
    </row>
    <row r="25" spans="1:9" x14ac:dyDescent="0.25">
      <c r="A25" s="24" t="s">
        <v>44</v>
      </c>
      <c r="B25" s="6" t="s">
        <v>47</v>
      </c>
      <c r="C25" s="106">
        <v>1.2401500000000001</v>
      </c>
      <c r="D25" s="29"/>
      <c r="E25" s="29">
        <v>6104.15</v>
      </c>
      <c r="F25" s="29">
        <v>4677.8100000000004</v>
      </c>
      <c r="G25" s="39">
        <f>E25</f>
        <v>6104.15</v>
      </c>
      <c r="H25" s="40">
        <f>F25-E25</f>
        <v>-1426.3399999999992</v>
      </c>
      <c r="I25" s="29">
        <f>H25</f>
        <v>-1426.3399999999992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4">
        <v>-2604.2399999999998</v>
      </c>
      <c r="E26" s="12">
        <v>19753.47</v>
      </c>
      <c r="F26" s="12">
        <v>17133.400000000001</v>
      </c>
      <c r="G26" s="14">
        <f t="shared" si="0"/>
        <v>19753.47</v>
      </c>
      <c r="H26" s="16">
        <f>D26+F26-G26</f>
        <v>-5224.3099999999995</v>
      </c>
      <c r="I26" s="44">
        <f>H26</f>
        <v>-5224.3099999999995</v>
      </c>
    </row>
    <row r="27" spans="1:9" x14ac:dyDescent="0.25">
      <c r="A27" s="25" t="s">
        <v>51</v>
      </c>
      <c r="B27" s="25" t="s">
        <v>216</v>
      </c>
      <c r="C27" s="25"/>
      <c r="D27" s="57"/>
      <c r="E27" s="25"/>
      <c r="F27" s="25"/>
      <c r="G27" s="25"/>
      <c r="H27" s="57"/>
      <c r="I27" s="45"/>
    </row>
    <row r="28" spans="1:9" x14ac:dyDescent="0.25">
      <c r="A28" s="18"/>
      <c r="B28" s="12" t="s">
        <v>217</v>
      </c>
      <c r="C28" s="12">
        <v>1.65</v>
      </c>
      <c r="D28" s="15">
        <v>22515.25</v>
      </c>
      <c r="E28" s="18">
        <v>9629.0400000000009</v>
      </c>
      <c r="F28" s="12">
        <v>8801.89</v>
      </c>
      <c r="G28" s="12">
        <f>I53</f>
        <v>33048.81</v>
      </c>
      <c r="H28" s="15">
        <f>D28+F28-G28</f>
        <v>-1731.6699999999983</v>
      </c>
      <c r="I28" s="17">
        <f>H28</f>
        <v>-1731.6699999999983</v>
      </c>
    </row>
    <row r="29" spans="1:9" x14ac:dyDescent="0.25">
      <c r="A29" s="11" t="s">
        <v>55</v>
      </c>
      <c r="B29" s="11" t="s">
        <v>146</v>
      </c>
      <c r="C29" s="41"/>
      <c r="D29" s="59" t="s">
        <v>71</v>
      </c>
      <c r="E29" s="25"/>
      <c r="F29" s="18"/>
      <c r="G29" s="18"/>
      <c r="H29" s="59" t="s">
        <v>71</v>
      </c>
      <c r="I29" s="44"/>
    </row>
    <row r="30" spans="1:9" x14ac:dyDescent="0.25">
      <c r="A30" s="12"/>
      <c r="B30" s="12" t="s">
        <v>388</v>
      </c>
      <c r="C30" s="14">
        <v>0</v>
      </c>
      <c r="D30" s="42">
        <v>14761.84</v>
      </c>
      <c r="E30" s="11">
        <v>0</v>
      </c>
      <c r="F30" s="11">
        <f>F31</f>
        <v>0</v>
      </c>
      <c r="G30" s="11">
        <f>G31</f>
        <v>0</v>
      </c>
      <c r="H30" s="42">
        <f>D30+F30-G30</f>
        <v>14761.84</v>
      </c>
      <c r="I30" s="43"/>
    </row>
    <row r="31" spans="1:9" x14ac:dyDescent="0.25">
      <c r="A31" s="9"/>
      <c r="B31" s="9" t="s">
        <v>53</v>
      </c>
      <c r="C31" s="10">
        <v>0</v>
      </c>
      <c r="D31" s="8">
        <v>0</v>
      </c>
      <c r="E31" s="9">
        <v>0</v>
      </c>
      <c r="F31" s="9">
        <v>0</v>
      </c>
      <c r="G31" s="9">
        <f>I57</f>
        <v>0</v>
      </c>
      <c r="H31" s="8"/>
      <c r="I31" s="29"/>
    </row>
    <row r="32" spans="1:9" x14ac:dyDescent="0.25">
      <c r="A32" s="1" t="s">
        <v>58</v>
      </c>
      <c r="B32" s="2"/>
      <c r="C32" s="2"/>
      <c r="E32" s="2"/>
      <c r="F32" s="2"/>
      <c r="G32" s="2"/>
      <c r="H32" s="2"/>
      <c r="I32" s="2"/>
    </row>
    <row r="33" spans="1:9" x14ac:dyDescent="0.25">
      <c r="A33" s="5" t="s">
        <v>69</v>
      </c>
    </row>
    <row r="34" spans="1:9" x14ac:dyDescent="0.25">
      <c r="A34" s="1" t="s">
        <v>70</v>
      </c>
      <c r="B34" s="5"/>
      <c r="C34" s="5"/>
      <c r="D34" s="56"/>
      <c r="E34" s="5"/>
      <c r="F34" s="5"/>
      <c r="G34" s="5"/>
      <c r="H34" s="5"/>
      <c r="I34" s="5"/>
    </row>
    <row r="35" spans="1:9" x14ac:dyDescent="0.25">
      <c r="A35" s="6" t="s">
        <v>71</v>
      </c>
      <c r="B35" s="68" t="s">
        <v>72</v>
      </c>
      <c r="C35" s="6" t="s">
        <v>73</v>
      </c>
      <c r="D35" s="58" t="s">
        <v>74</v>
      </c>
      <c r="E35" s="6" t="s">
        <v>75</v>
      </c>
      <c r="F35" s="58" t="s">
        <v>76</v>
      </c>
      <c r="G35" s="48" t="s">
        <v>77</v>
      </c>
      <c r="H35" s="75" t="s">
        <v>15</v>
      </c>
      <c r="I35" s="49" t="s">
        <v>19</v>
      </c>
    </row>
    <row r="36" spans="1:9" x14ac:dyDescent="0.25">
      <c r="A36" s="7"/>
      <c r="B36" s="5" t="s">
        <v>79</v>
      </c>
      <c r="C36" s="7" t="s">
        <v>80</v>
      </c>
      <c r="D36" s="60" t="s">
        <v>81</v>
      </c>
      <c r="E36" s="7" t="s">
        <v>82</v>
      </c>
      <c r="F36" s="60" t="s">
        <v>83</v>
      </c>
      <c r="G36" s="51" t="s">
        <v>84</v>
      </c>
      <c r="H36" s="22" t="s">
        <v>25</v>
      </c>
      <c r="I36" s="61" t="s">
        <v>86</v>
      </c>
    </row>
    <row r="37" spans="1:9" x14ac:dyDescent="0.25">
      <c r="A37" s="7"/>
      <c r="B37" s="60"/>
      <c r="C37" s="7"/>
      <c r="D37" s="60"/>
      <c r="E37" s="7"/>
      <c r="F37" s="60" t="s">
        <v>87</v>
      </c>
      <c r="G37" s="51" t="s">
        <v>88</v>
      </c>
      <c r="H37" s="22" t="s">
        <v>239</v>
      </c>
      <c r="I37" s="61" t="s">
        <v>239</v>
      </c>
    </row>
    <row r="38" spans="1:9" x14ac:dyDescent="0.25">
      <c r="A38" s="62"/>
      <c r="B38" s="74"/>
      <c r="C38" s="62"/>
      <c r="D38" s="74"/>
      <c r="E38" s="62"/>
      <c r="F38" s="74"/>
      <c r="G38" s="52"/>
      <c r="H38" s="54"/>
      <c r="I38" s="53"/>
    </row>
    <row r="39" spans="1:9" x14ac:dyDescent="0.25">
      <c r="A39" s="6"/>
      <c r="B39" s="6"/>
      <c r="C39" s="68"/>
      <c r="D39" s="6"/>
      <c r="E39" s="58"/>
      <c r="F39" s="6"/>
      <c r="G39" s="58"/>
      <c r="H39" s="6"/>
      <c r="I39" s="49"/>
    </row>
    <row r="40" spans="1:9" x14ac:dyDescent="0.25">
      <c r="A40" s="9">
        <v>1</v>
      </c>
      <c r="B40" s="9" t="s">
        <v>90</v>
      </c>
      <c r="C40" s="41" t="s">
        <v>389</v>
      </c>
      <c r="D40" s="29">
        <v>-3470.819</v>
      </c>
      <c r="E40" s="9">
        <v>34896.769999999997</v>
      </c>
      <c r="F40" s="9">
        <v>31580.97</v>
      </c>
      <c r="G40" s="65">
        <f>E40</f>
        <v>34896.769999999997</v>
      </c>
      <c r="H40" s="9">
        <f>D40+F40-E40</f>
        <v>-6786.6189999999951</v>
      </c>
      <c r="I40" s="9">
        <f>H40</f>
        <v>-6786.6189999999951</v>
      </c>
    </row>
    <row r="41" spans="1:9" x14ac:dyDescent="0.25">
      <c r="A41" s="8"/>
      <c r="B41" s="9" t="s">
        <v>92</v>
      </c>
      <c r="C41" s="41" t="s">
        <v>93</v>
      </c>
      <c r="D41" s="9"/>
      <c r="E41" s="9"/>
      <c r="F41" s="10"/>
      <c r="G41" s="95"/>
      <c r="H41" s="9"/>
      <c r="I41" s="50"/>
    </row>
    <row r="42" spans="1:9" x14ac:dyDescent="0.25">
      <c r="A42" s="1" t="s">
        <v>219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5" t="s">
        <v>220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8" t="s">
        <v>12</v>
      </c>
      <c r="B44" s="6" t="s">
        <v>102</v>
      </c>
      <c r="C44" s="58" t="s">
        <v>103</v>
      </c>
      <c r="D44" s="58"/>
      <c r="E44" s="58"/>
      <c r="F44" s="48" t="s">
        <v>222</v>
      </c>
      <c r="G44" s="58"/>
      <c r="H44" s="49"/>
      <c r="I44" s="6" t="s">
        <v>105</v>
      </c>
    </row>
    <row r="45" spans="1:9" x14ac:dyDescent="0.25">
      <c r="A45" s="51" t="s">
        <v>106</v>
      </c>
      <c r="B45" s="7"/>
      <c r="C45" s="60"/>
      <c r="D45" s="60"/>
      <c r="E45" s="60"/>
      <c r="F45" s="51" t="s">
        <v>224</v>
      </c>
      <c r="G45" s="60"/>
      <c r="H45" s="61"/>
      <c r="I45" s="7" t="s">
        <v>108</v>
      </c>
    </row>
    <row r="46" spans="1:9" x14ac:dyDescent="0.25">
      <c r="A46" s="51"/>
      <c r="B46" s="7"/>
      <c r="C46" s="60"/>
      <c r="D46" s="60"/>
      <c r="E46" s="60"/>
      <c r="F46" s="51" t="s">
        <v>225</v>
      </c>
      <c r="G46" s="60"/>
      <c r="H46" s="61"/>
      <c r="I46" s="7"/>
    </row>
    <row r="47" spans="1:9" x14ac:dyDescent="0.25">
      <c r="A47" s="51"/>
      <c r="B47" s="62"/>
      <c r="C47" s="60"/>
      <c r="D47" s="60"/>
      <c r="E47" s="60"/>
      <c r="F47" s="51" t="s">
        <v>226</v>
      </c>
      <c r="G47" s="60"/>
      <c r="H47" s="61"/>
      <c r="I47" s="7"/>
    </row>
    <row r="48" spans="1:9" x14ac:dyDescent="0.25">
      <c r="A48" s="67" t="s">
        <v>110</v>
      </c>
      <c r="B48" s="18"/>
      <c r="C48" s="68" t="s">
        <v>111</v>
      </c>
      <c r="D48" s="68"/>
      <c r="E48" s="68"/>
      <c r="F48" s="48"/>
      <c r="G48" s="58"/>
      <c r="H48" s="49"/>
      <c r="I48" s="6"/>
    </row>
    <row r="49" spans="1:9" x14ac:dyDescent="0.25">
      <c r="A49" s="69"/>
      <c r="B49" s="7"/>
      <c r="C49" s="60" t="s">
        <v>112</v>
      </c>
      <c r="D49" s="60"/>
      <c r="E49" s="60"/>
      <c r="F49" s="51" t="s">
        <v>71</v>
      </c>
      <c r="G49" s="37"/>
      <c r="H49" s="61" t="s">
        <v>71</v>
      </c>
      <c r="I49" s="7" t="s">
        <v>71</v>
      </c>
    </row>
    <row r="50" spans="1:9" x14ac:dyDescent="0.25">
      <c r="A50" s="69" t="s">
        <v>36</v>
      </c>
      <c r="B50" s="70">
        <v>42810</v>
      </c>
      <c r="C50" s="60" t="s">
        <v>390</v>
      </c>
      <c r="D50" s="60"/>
      <c r="E50" s="60"/>
      <c r="F50" s="51"/>
      <c r="G50" s="37">
        <f>I50/486.3</f>
        <v>40.884227842895328</v>
      </c>
      <c r="H50" s="61"/>
      <c r="I50" s="7">
        <v>19882</v>
      </c>
    </row>
    <row r="51" spans="1:9" x14ac:dyDescent="0.25">
      <c r="A51" s="69" t="s">
        <v>38</v>
      </c>
      <c r="B51" s="70">
        <v>42825</v>
      </c>
      <c r="C51" s="60" t="s">
        <v>391</v>
      </c>
      <c r="D51" s="60"/>
      <c r="E51" s="60"/>
      <c r="F51" s="51"/>
      <c r="G51" s="37">
        <f>I51/486.3</f>
        <v>7.4755295085338265</v>
      </c>
      <c r="H51" s="61"/>
      <c r="I51" s="7">
        <v>3635.35</v>
      </c>
    </row>
    <row r="52" spans="1:9" x14ac:dyDescent="0.25">
      <c r="A52" s="69" t="s">
        <v>40</v>
      </c>
      <c r="B52" s="70">
        <v>43017</v>
      </c>
      <c r="C52" s="60" t="s">
        <v>392</v>
      </c>
      <c r="D52" s="60"/>
      <c r="E52" s="60"/>
      <c r="F52" s="51"/>
      <c r="G52" s="37">
        <f>I52/486.3</f>
        <v>19.599958873123583</v>
      </c>
      <c r="H52" s="61"/>
      <c r="I52" s="7">
        <v>9531.4599999999991</v>
      </c>
    </row>
    <row r="53" spans="1:9" x14ac:dyDescent="0.25">
      <c r="A53" s="69"/>
      <c r="B53" s="7"/>
      <c r="C53" s="5" t="s">
        <v>118</v>
      </c>
      <c r="D53" s="5"/>
      <c r="E53" s="5"/>
      <c r="F53" s="59"/>
      <c r="G53" s="20">
        <f>SUM(G50:G52)</f>
        <v>67.959716224552736</v>
      </c>
      <c r="H53" s="71"/>
      <c r="I53" s="18">
        <f>SUM(I50:I52)</f>
        <v>33048.81</v>
      </c>
    </row>
    <row r="54" spans="1:9" x14ac:dyDescent="0.25">
      <c r="A54" s="6"/>
      <c r="B54" s="6"/>
      <c r="C54" s="48"/>
      <c r="D54" s="58"/>
      <c r="E54" s="49"/>
      <c r="F54" s="48"/>
      <c r="G54" s="58"/>
      <c r="H54" s="49"/>
      <c r="I54" s="6"/>
    </row>
    <row r="55" spans="1:9" x14ac:dyDescent="0.25">
      <c r="A55" s="6" t="s">
        <v>48</v>
      </c>
      <c r="B55" s="25" t="s">
        <v>119</v>
      </c>
      <c r="C55" s="57" t="s">
        <v>120</v>
      </c>
      <c r="D55" s="58"/>
      <c r="E55" s="49"/>
      <c r="F55" s="48" t="s">
        <v>121</v>
      </c>
      <c r="G55" s="58"/>
      <c r="H55" s="49"/>
      <c r="I55" s="6"/>
    </row>
    <row r="56" spans="1:9" x14ac:dyDescent="0.25">
      <c r="A56" s="69" t="s">
        <v>71</v>
      </c>
      <c r="B56" s="70" t="s">
        <v>71</v>
      </c>
      <c r="C56" s="51" t="s">
        <v>71</v>
      </c>
      <c r="D56" s="60"/>
      <c r="E56" s="61"/>
      <c r="F56" s="59"/>
      <c r="G56" s="37"/>
      <c r="H56" s="71"/>
      <c r="I56" s="7" t="s">
        <v>71</v>
      </c>
    </row>
    <row r="57" spans="1:9" x14ac:dyDescent="0.25">
      <c r="A57" s="73"/>
      <c r="B57" s="62"/>
      <c r="C57" s="15" t="s">
        <v>118</v>
      </c>
      <c r="D57" s="74"/>
      <c r="E57" s="53"/>
      <c r="F57" s="52"/>
      <c r="G57" s="78">
        <v>0</v>
      </c>
      <c r="H57" s="85"/>
      <c r="I57" s="12">
        <f>SUM(I56:I56)</f>
        <v>0</v>
      </c>
    </row>
    <row r="58" spans="1:9" x14ac:dyDescent="0.25">
      <c r="A58" s="2" t="s">
        <v>304</v>
      </c>
      <c r="B58" s="2"/>
      <c r="C58" s="2" t="s">
        <v>71</v>
      </c>
      <c r="D58" s="2" t="s">
        <v>123</v>
      </c>
      <c r="E58" s="2"/>
      <c r="F58" s="2" t="s">
        <v>124</v>
      </c>
      <c r="G58" s="2"/>
      <c r="H58" s="2" t="s">
        <v>125</v>
      </c>
      <c r="I58" s="2" t="s">
        <v>126</v>
      </c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="110" zoomScaleNormal="110" workbookViewId="0">
      <selection activeCell="A9" sqref="A9"/>
    </sheetView>
  </sheetViews>
  <sheetFormatPr defaultRowHeight="15" x14ac:dyDescent="0.25"/>
  <cols>
    <col min="1" max="1" width="5.140625" style="3" customWidth="1"/>
    <col min="2" max="2" width="33.7109375" style="3" customWidth="1"/>
    <col min="3" max="3" width="12.5703125" style="3" customWidth="1"/>
    <col min="4" max="4" width="10.7109375" style="3" customWidth="1"/>
    <col min="5" max="5" width="11.140625" style="3" customWidth="1"/>
    <col min="6" max="6" width="10.85546875" style="3" customWidth="1"/>
    <col min="7" max="7" width="10.5703125" style="3" customWidth="1"/>
    <col min="8" max="8" width="11.7109375" style="3" customWidth="1"/>
    <col min="9" max="9" width="16.8554687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1"/>
      <c r="H6" s="1"/>
      <c r="I6" s="2"/>
    </row>
    <row r="7" spans="1:9" x14ac:dyDescent="0.25">
      <c r="A7" s="1" t="s">
        <v>393</v>
      </c>
      <c r="B7" s="2"/>
      <c r="C7" s="2"/>
      <c r="D7" s="2"/>
      <c r="E7" s="1"/>
      <c r="F7" s="2"/>
      <c r="G7" s="2"/>
      <c r="H7" s="1"/>
      <c r="I7" s="2"/>
    </row>
    <row r="8" spans="1:9" x14ac:dyDescent="0.25">
      <c r="A8" s="2" t="s">
        <v>394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395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9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1" t="s">
        <v>10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5" t="s">
        <v>11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6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15</v>
      </c>
      <c r="I15" s="6" t="s">
        <v>19</v>
      </c>
    </row>
    <row r="16" spans="1:9" x14ac:dyDescent="0.25">
      <c r="A16" s="7" t="s">
        <v>20</v>
      </c>
      <c r="B16" s="7"/>
      <c r="C16" s="7" t="s">
        <v>134</v>
      </c>
      <c r="D16" s="7" t="s">
        <v>22</v>
      </c>
      <c r="E16" s="7" t="s">
        <v>23</v>
      </c>
      <c r="F16" s="7" t="s">
        <v>23</v>
      </c>
      <c r="G16" s="7" t="s">
        <v>24</v>
      </c>
      <c r="H16" s="7" t="s">
        <v>25</v>
      </c>
      <c r="I16" s="7" t="s">
        <v>136</v>
      </c>
    </row>
    <row r="17" spans="1:9" x14ac:dyDescent="0.25">
      <c r="A17" s="7"/>
      <c r="B17" s="7"/>
      <c r="C17" s="7" t="s">
        <v>27</v>
      </c>
      <c r="D17" s="7" t="s">
        <v>28</v>
      </c>
      <c r="E17" s="7"/>
      <c r="F17" s="7"/>
      <c r="G17" s="7" t="s">
        <v>29</v>
      </c>
      <c r="H17" s="7" t="s">
        <v>30</v>
      </c>
      <c r="I17" s="7" t="s">
        <v>138</v>
      </c>
    </row>
    <row r="18" spans="1:9" x14ac:dyDescent="0.25">
      <c r="A18" s="7"/>
      <c r="B18" s="7"/>
      <c r="C18" s="7" t="s">
        <v>322</v>
      </c>
      <c r="D18" s="7" t="s">
        <v>33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239</v>
      </c>
    </row>
    <row r="19" spans="1:9" x14ac:dyDescent="0.25">
      <c r="A19" s="8">
        <v>1</v>
      </c>
      <c r="B19" s="9">
        <v>2</v>
      </c>
      <c r="C19" s="10">
        <v>3</v>
      </c>
      <c r="D19" s="9">
        <v>4</v>
      </c>
      <c r="E19" s="10">
        <v>5</v>
      </c>
      <c r="F19" s="9">
        <v>6</v>
      </c>
      <c r="G19" s="10">
        <v>7</v>
      </c>
      <c r="H19" s="9">
        <v>8</v>
      </c>
      <c r="I19" s="50">
        <v>9</v>
      </c>
    </row>
    <row r="20" spans="1:9" x14ac:dyDescent="0.25">
      <c r="A20" s="57">
        <v>1</v>
      </c>
      <c r="B20" s="25" t="s">
        <v>191</v>
      </c>
      <c r="C20" s="68"/>
      <c r="D20" s="25"/>
      <c r="E20" s="27"/>
      <c r="F20" s="25"/>
      <c r="G20" s="68"/>
      <c r="H20" s="25"/>
      <c r="I20" s="45"/>
    </row>
    <row r="21" spans="1:9" x14ac:dyDescent="0.25">
      <c r="A21" s="15"/>
      <c r="B21" s="12" t="s">
        <v>192</v>
      </c>
      <c r="C21" s="14">
        <v>7.56</v>
      </c>
      <c r="D21" s="17">
        <v>-1404.05</v>
      </c>
      <c r="E21" s="78">
        <v>27143.279999999999</v>
      </c>
      <c r="F21" s="12">
        <v>28734.37</v>
      </c>
      <c r="G21" s="78">
        <f t="shared" ref="G21:G27" si="0">E21</f>
        <v>27143.279999999999</v>
      </c>
      <c r="H21" s="17">
        <f>D21+F21-G21</f>
        <v>187.04000000000087</v>
      </c>
      <c r="I21" s="17"/>
    </row>
    <row r="22" spans="1:9" x14ac:dyDescent="0.25">
      <c r="A22" s="69" t="s">
        <v>113</v>
      </c>
      <c r="B22" s="18" t="s">
        <v>37</v>
      </c>
      <c r="C22" s="20">
        <v>2.62</v>
      </c>
      <c r="D22" s="44"/>
      <c r="E22" s="117">
        <f>E21*34.5%</f>
        <v>9364.4315999999981</v>
      </c>
      <c r="F22" s="44">
        <f>F21*34.5%</f>
        <v>9913.3576499999981</v>
      </c>
      <c r="G22" s="21">
        <f t="shared" si="0"/>
        <v>9364.4315999999981</v>
      </c>
      <c r="H22" s="22"/>
      <c r="I22" s="22"/>
    </row>
    <row r="23" spans="1:9" x14ac:dyDescent="0.25">
      <c r="A23" s="24" t="s">
        <v>38</v>
      </c>
      <c r="B23" s="25" t="s">
        <v>295</v>
      </c>
      <c r="C23" s="20">
        <v>1.33</v>
      </c>
      <c r="D23" s="44"/>
      <c r="E23" s="20">
        <f>E21*18%</f>
        <v>4885.7903999999999</v>
      </c>
      <c r="F23" s="44">
        <f>F21*18%</f>
        <v>5172.1866</v>
      </c>
      <c r="G23" s="43">
        <f t="shared" si="0"/>
        <v>4885.7903999999999</v>
      </c>
      <c r="H23" s="22"/>
      <c r="I23" s="22"/>
    </row>
    <row r="24" spans="1:9" x14ac:dyDescent="0.25">
      <c r="A24" s="24" t="s">
        <v>40</v>
      </c>
      <c r="B24" s="25" t="s">
        <v>41</v>
      </c>
      <c r="C24" s="27">
        <v>1.22</v>
      </c>
      <c r="D24" s="43"/>
      <c r="E24" s="33">
        <f>E21*16%</f>
        <v>4342.9247999999998</v>
      </c>
      <c r="F24" s="43">
        <f>F21*16%</f>
        <v>4597.4992000000002</v>
      </c>
      <c r="G24" s="34">
        <f t="shared" si="0"/>
        <v>4342.9247999999998</v>
      </c>
      <c r="H24" s="29"/>
      <c r="I24" s="29"/>
    </row>
    <row r="25" spans="1:9" x14ac:dyDescent="0.25">
      <c r="A25" s="24" t="s">
        <v>42</v>
      </c>
      <c r="B25" s="25" t="s">
        <v>43</v>
      </c>
      <c r="C25" s="27">
        <v>2.39</v>
      </c>
      <c r="D25" s="44"/>
      <c r="E25" s="20">
        <f>E21*31.5%</f>
        <v>8550.1332000000002</v>
      </c>
      <c r="F25" s="44">
        <f>F21*31.5%</f>
        <v>9051.3265499999998</v>
      </c>
      <c r="G25" s="20">
        <f t="shared" si="0"/>
        <v>8550.1332000000002</v>
      </c>
      <c r="H25" s="22"/>
      <c r="I25" s="22"/>
    </row>
    <row r="26" spans="1:9" x14ac:dyDescent="0.25">
      <c r="A26" s="24" t="s">
        <v>44</v>
      </c>
      <c r="B26" s="6" t="s">
        <v>47</v>
      </c>
      <c r="C26" s="106">
        <v>1.59718</v>
      </c>
      <c r="D26" s="29"/>
      <c r="E26" s="39">
        <v>4448.67</v>
      </c>
      <c r="F26" s="29">
        <v>3970.4</v>
      </c>
      <c r="G26" s="39">
        <f t="shared" si="0"/>
        <v>4448.67</v>
      </c>
      <c r="H26" s="29">
        <f>F26-E26</f>
        <v>-478.27</v>
      </c>
      <c r="I26" s="29">
        <f>H26</f>
        <v>-478.27</v>
      </c>
    </row>
    <row r="27" spans="1:9" x14ac:dyDescent="0.25">
      <c r="A27" s="11" t="s">
        <v>48</v>
      </c>
      <c r="B27" s="11" t="s">
        <v>49</v>
      </c>
      <c r="C27" s="41" t="s">
        <v>50</v>
      </c>
      <c r="D27" s="43">
        <v>9.59</v>
      </c>
      <c r="E27" s="41">
        <v>12153.45</v>
      </c>
      <c r="F27" s="11">
        <v>12305.12</v>
      </c>
      <c r="G27" s="41">
        <f t="shared" si="0"/>
        <v>12153.45</v>
      </c>
      <c r="H27" s="43">
        <f>D27+F27-G27</f>
        <v>161.26000000000022</v>
      </c>
      <c r="I27" s="43"/>
    </row>
    <row r="28" spans="1:9" x14ac:dyDescent="0.25">
      <c r="A28" s="25" t="s">
        <v>51</v>
      </c>
      <c r="B28" s="25" t="s">
        <v>216</v>
      </c>
      <c r="C28" s="68"/>
      <c r="D28" s="25"/>
      <c r="E28" s="68"/>
      <c r="F28" s="25"/>
      <c r="G28" s="68"/>
      <c r="H28" s="25"/>
      <c r="I28" s="25"/>
    </row>
    <row r="29" spans="1:9" x14ac:dyDescent="0.25">
      <c r="A29" s="12"/>
      <c r="B29" s="12" t="s">
        <v>217</v>
      </c>
      <c r="C29" s="14">
        <v>1.65</v>
      </c>
      <c r="D29" s="17">
        <v>16428.68</v>
      </c>
      <c r="E29" s="14">
        <v>5924.52</v>
      </c>
      <c r="F29" s="12">
        <v>2682.97</v>
      </c>
      <c r="G29" s="12">
        <f>I50</f>
        <v>15414.82</v>
      </c>
      <c r="H29" s="17">
        <f>D29+F29-G29</f>
        <v>3696.8300000000017</v>
      </c>
      <c r="I29" s="12"/>
    </row>
    <row r="30" spans="1:9" x14ac:dyDescent="0.25">
      <c r="A30" s="5" t="s">
        <v>69</v>
      </c>
      <c r="B30" s="2"/>
      <c r="C30" s="2"/>
      <c r="E30" s="2"/>
      <c r="F30" s="2"/>
      <c r="G30" s="2"/>
      <c r="H30" s="2"/>
      <c r="I30" s="2"/>
    </row>
    <row r="31" spans="1:9" x14ac:dyDescent="0.25">
      <c r="A31" s="1" t="s">
        <v>70</v>
      </c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6" t="s">
        <v>71</v>
      </c>
      <c r="B32" s="57" t="s">
        <v>72</v>
      </c>
      <c r="C32" s="6" t="s">
        <v>73</v>
      </c>
      <c r="D32" s="58" t="s">
        <v>74</v>
      </c>
      <c r="E32" s="6" t="s">
        <v>75</v>
      </c>
      <c r="F32" s="58" t="s">
        <v>76</v>
      </c>
      <c r="G32" s="6" t="s">
        <v>77</v>
      </c>
      <c r="H32" s="58" t="s">
        <v>78</v>
      </c>
      <c r="I32" s="6" t="s">
        <v>19</v>
      </c>
    </row>
    <row r="33" spans="1:9" x14ac:dyDescent="0.25">
      <c r="A33" s="7"/>
      <c r="B33" s="59" t="s">
        <v>79</v>
      </c>
      <c r="C33" s="7" t="s">
        <v>80</v>
      </c>
      <c r="D33" s="60" t="s">
        <v>81</v>
      </c>
      <c r="E33" s="7" t="s">
        <v>82</v>
      </c>
      <c r="F33" s="60" t="s">
        <v>83</v>
      </c>
      <c r="G33" s="7" t="s">
        <v>84</v>
      </c>
      <c r="H33" s="60" t="s">
        <v>85</v>
      </c>
      <c r="I33" s="7" t="s">
        <v>86</v>
      </c>
    </row>
    <row r="34" spans="1:9" x14ac:dyDescent="0.25">
      <c r="A34" s="7"/>
      <c r="B34" s="51"/>
      <c r="C34" s="7"/>
      <c r="D34" s="60"/>
      <c r="E34" s="7"/>
      <c r="F34" s="60" t="s">
        <v>87</v>
      </c>
      <c r="G34" s="7" t="s">
        <v>88</v>
      </c>
      <c r="H34" s="60"/>
      <c r="I34" s="7" t="s">
        <v>396</v>
      </c>
    </row>
    <row r="35" spans="1:9" x14ac:dyDescent="0.25">
      <c r="A35" s="7"/>
      <c r="B35" s="51"/>
      <c r="C35" s="7"/>
      <c r="D35" s="60"/>
      <c r="E35" s="7"/>
      <c r="F35" s="60"/>
      <c r="G35" s="111"/>
      <c r="H35" s="60"/>
      <c r="I35" s="7"/>
    </row>
    <row r="36" spans="1:9" x14ac:dyDescent="0.25">
      <c r="A36" s="6"/>
      <c r="B36" s="48"/>
      <c r="C36" s="11"/>
      <c r="D36" s="50"/>
      <c r="E36" s="10"/>
      <c r="F36" s="9"/>
      <c r="G36" s="10"/>
      <c r="H36" s="9"/>
      <c r="I36" s="6"/>
    </row>
    <row r="37" spans="1:9" x14ac:dyDescent="0.25">
      <c r="A37" s="9">
        <v>1</v>
      </c>
      <c r="B37" s="9" t="s">
        <v>90</v>
      </c>
      <c r="C37" s="14" t="s">
        <v>91</v>
      </c>
      <c r="D37" s="29">
        <v>-4223.9399999999996</v>
      </c>
      <c r="E37" s="66">
        <v>53719.68</v>
      </c>
      <c r="F37" s="62">
        <v>54779.360000000001</v>
      </c>
      <c r="G37" s="66">
        <f>E37</f>
        <v>53719.68</v>
      </c>
      <c r="H37" s="54">
        <f>D37+F37-G37</f>
        <v>-3164.260000000002</v>
      </c>
      <c r="I37" s="29">
        <f>H37</f>
        <v>-3164.260000000002</v>
      </c>
    </row>
    <row r="38" spans="1:9" x14ac:dyDescent="0.25">
      <c r="A38" s="9"/>
      <c r="B38" s="9" t="s">
        <v>92</v>
      </c>
      <c r="C38" s="14" t="s">
        <v>93</v>
      </c>
      <c r="D38" s="54"/>
      <c r="E38" s="66"/>
      <c r="F38" s="62"/>
      <c r="G38" s="66"/>
      <c r="H38" s="54"/>
      <c r="I38" s="29"/>
    </row>
    <row r="39" spans="1:9" x14ac:dyDescent="0.25">
      <c r="A39" s="9">
        <v>3</v>
      </c>
      <c r="B39" s="9" t="s">
        <v>98</v>
      </c>
      <c r="C39" s="41" t="s">
        <v>203</v>
      </c>
      <c r="D39" s="29">
        <v>-32370.41</v>
      </c>
      <c r="E39" s="10">
        <v>105005.33</v>
      </c>
      <c r="F39" s="9">
        <v>110264.85</v>
      </c>
      <c r="G39" s="10">
        <f>E39</f>
        <v>105005.33</v>
      </c>
      <c r="H39" s="29">
        <f>D39+F39-G39</f>
        <v>-27110.89</v>
      </c>
      <c r="I39" s="29">
        <f>H39</f>
        <v>-27110.89</v>
      </c>
    </row>
    <row r="40" spans="1:9" x14ac:dyDescent="0.25">
      <c r="A40" s="1"/>
      <c r="B40" s="1"/>
      <c r="C40" s="1"/>
      <c r="D40" s="47"/>
      <c r="E40" s="1"/>
      <c r="F40" s="1"/>
      <c r="G40" s="1"/>
      <c r="H40" s="1"/>
      <c r="I40" s="1"/>
    </row>
    <row r="41" spans="1:9" x14ac:dyDescent="0.25">
      <c r="A41" s="1" t="s">
        <v>397</v>
      </c>
      <c r="B41" s="1"/>
      <c r="C41" s="2"/>
      <c r="D41" s="2"/>
      <c r="E41" s="2"/>
      <c r="F41" s="2"/>
      <c r="G41" s="2"/>
      <c r="H41" s="2"/>
      <c r="I41" s="2"/>
    </row>
    <row r="42" spans="1:9" x14ac:dyDescent="0.25">
      <c r="A42" s="5" t="s">
        <v>220</v>
      </c>
      <c r="B42" s="1"/>
      <c r="C42" s="2"/>
      <c r="D42" s="2"/>
      <c r="E42" s="2"/>
      <c r="F42" s="2"/>
      <c r="G42" s="2"/>
      <c r="H42" s="2"/>
      <c r="I42" s="2"/>
    </row>
    <row r="43" spans="1:9" x14ac:dyDescent="0.25">
      <c r="A43" s="48" t="s">
        <v>12</v>
      </c>
      <c r="B43" s="6" t="s">
        <v>221</v>
      </c>
      <c r="C43" s="58" t="s">
        <v>103</v>
      </c>
      <c r="D43" s="58"/>
      <c r="E43" s="58"/>
      <c r="F43" s="48" t="s">
        <v>398</v>
      </c>
      <c r="G43" s="58"/>
      <c r="H43" s="49"/>
      <c r="I43" s="6" t="s">
        <v>105</v>
      </c>
    </row>
    <row r="44" spans="1:9" x14ac:dyDescent="0.25">
      <c r="A44" s="51" t="s">
        <v>106</v>
      </c>
      <c r="B44" s="7" t="s">
        <v>223</v>
      </c>
      <c r="C44" s="60"/>
      <c r="D44" s="60"/>
      <c r="E44" s="60"/>
      <c r="F44" s="51" t="s">
        <v>399</v>
      </c>
      <c r="G44" s="60"/>
      <c r="H44" s="61"/>
      <c r="I44" s="7" t="s">
        <v>108</v>
      </c>
    </row>
    <row r="45" spans="1:9" x14ac:dyDescent="0.25">
      <c r="A45" s="51"/>
      <c r="B45" s="62"/>
      <c r="C45" s="60"/>
      <c r="D45" s="60"/>
      <c r="E45" s="60"/>
      <c r="F45" s="51" t="s">
        <v>400</v>
      </c>
      <c r="G45" s="60"/>
      <c r="H45" s="61"/>
      <c r="I45" s="7"/>
    </row>
    <row r="46" spans="1:9" x14ac:dyDescent="0.25">
      <c r="A46" s="31" t="s">
        <v>401</v>
      </c>
      <c r="B46" s="72"/>
      <c r="C46" s="68" t="s">
        <v>111</v>
      </c>
      <c r="D46" s="68"/>
      <c r="E46" s="68"/>
      <c r="F46" s="48"/>
      <c r="G46" s="58"/>
      <c r="H46" s="49"/>
      <c r="I46" s="6"/>
    </row>
    <row r="47" spans="1:9" x14ac:dyDescent="0.25">
      <c r="A47" s="69"/>
      <c r="B47" s="61"/>
      <c r="C47" s="60" t="s">
        <v>112</v>
      </c>
      <c r="D47" s="60"/>
      <c r="E47" s="60"/>
      <c r="F47" s="51" t="s">
        <v>71</v>
      </c>
      <c r="G47" s="60"/>
      <c r="H47" s="61" t="s">
        <v>71</v>
      </c>
      <c r="I47" s="7" t="s">
        <v>71</v>
      </c>
    </row>
    <row r="48" spans="1:9" x14ac:dyDescent="0.25">
      <c r="A48" s="69" t="s">
        <v>113</v>
      </c>
      <c r="B48" s="113">
        <v>43069</v>
      </c>
      <c r="C48" s="60" t="s">
        <v>402</v>
      </c>
      <c r="D48" s="60"/>
      <c r="E48" s="60"/>
      <c r="F48" s="51"/>
      <c r="G48" s="37">
        <f>I48/299.2</f>
        <v>51.520120320855618</v>
      </c>
      <c r="H48" s="61"/>
      <c r="I48" s="7">
        <v>15414.82</v>
      </c>
    </row>
    <row r="49" spans="1:9" x14ac:dyDescent="0.25">
      <c r="A49" s="69"/>
      <c r="B49" s="113"/>
      <c r="C49" s="60"/>
      <c r="D49" s="60"/>
      <c r="E49" s="60"/>
      <c r="F49" s="51"/>
      <c r="G49" s="37"/>
      <c r="H49" s="61"/>
      <c r="I49" s="7"/>
    </row>
    <row r="50" spans="1:9" x14ac:dyDescent="0.25">
      <c r="A50" s="62"/>
      <c r="B50" s="53"/>
      <c r="C50" s="14" t="s">
        <v>118</v>
      </c>
      <c r="D50" s="14"/>
      <c r="E50" s="14"/>
      <c r="F50" s="15"/>
      <c r="G50" s="136">
        <f>SUM(G48:G49)</f>
        <v>51.520120320855618</v>
      </c>
      <c r="H50" s="85"/>
      <c r="I50" s="12">
        <f>SUM(I48:I49)</f>
        <v>15414.82</v>
      </c>
    </row>
    <row r="51" spans="1:9" x14ac:dyDescent="0.25">
      <c r="A51" s="60"/>
      <c r="B51" s="60"/>
      <c r="C51" s="60"/>
      <c r="D51" s="60"/>
      <c r="E51" s="60"/>
      <c r="F51" s="60"/>
      <c r="G51" s="60"/>
      <c r="H51" s="60"/>
      <c r="I51" s="60"/>
    </row>
    <row r="52" spans="1:9" x14ac:dyDescent="0.25">
      <c r="A52" s="60"/>
      <c r="B52" s="60"/>
      <c r="C52" s="60"/>
      <c r="D52" s="60"/>
      <c r="E52" s="60"/>
      <c r="F52" s="60"/>
      <c r="G52" s="60"/>
      <c r="H52" s="60"/>
      <c r="I52" s="60"/>
    </row>
    <row r="53" spans="1:9" x14ac:dyDescent="0.25">
      <c r="A53" s="2" t="s">
        <v>227</v>
      </c>
      <c r="B53" s="2"/>
      <c r="C53" s="2"/>
      <c r="D53" s="2" t="s">
        <v>123</v>
      </c>
      <c r="E53" s="2"/>
      <c r="F53" s="2" t="s">
        <v>403</v>
      </c>
      <c r="G53" s="2"/>
      <c r="I53" s="2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3" zoomScale="110" zoomScaleNormal="110" workbookViewId="0">
      <selection activeCell="B22" sqref="B22:B23"/>
    </sheetView>
  </sheetViews>
  <sheetFormatPr defaultRowHeight="15" x14ac:dyDescent="0.25"/>
  <cols>
    <col min="1" max="1" width="5.5703125" style="3" customWidth="1"/>
    <col min="2" max="2" width="33" style="3" customWidth="1"/>
    <col min="3" max="3" width="15" style="3" customWidth="1"/>
    <col min="4" max="4" width="12.85546875" style="3" customWidth="1"/>
    <col min="5" max="5" width="11.28515625" style="3" customWidth="1"/>
    <col min="6" max="6" width="11" style="3" customWidth="1"/>
    <col min="7" max="7" width="11.28515625" style="3" customWidth="1"/>
    <col min="8" max="8" width="12.42578125" style="3" customWidth="1"/>
    <col min="9" max="9" width="17.7109375" style="3" customWidth="1"/>
    <col min="10" max="16384" width="9.140625" style="3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118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4"/>
      <c r="J2" s="118"/>
    </row>
    <row r="3" spans="1:1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118"/>
    </row>
    <row r="4" spans="1:10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  <c r="J4" s="118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118"/>
    </row>
    <row r="6" spans="1:10" x14ac:dyDescent="0.25">
      <c r="A6" s="1" t="s">
        <v>404</v>
      </c>
      <c r="B6" s="1"/>
      <c r="C6" s="1"/>
      <c r="D6" s="1"/>
      <c r="E6" s="1"/>
      <c r="F6" s="1"/>
      <c r="G6" s="2"/>
      <c r="H6" s="2"/>
      <c r="I6" s="2"/>
      <c r="J6" s="118"/>
    </row>
    <row r="7" spans="1:10" x14ac:dyDescent="0.25">
      <c r="A7" s="2" t="s">
        <v>405</v>
      </c>
      <c r="B7" s="2"/>
      <c r="C7" s="2"/>
      <c r="D7" s="2"/>
      <c r="E7" s="2"/>
      <c r="F7" s="2"/>
      <c r="G7" s="2"/>
      <c r="H7" s="2"/>
      <c r="I7" s="2"/>
      <c r="J7" s="118"/>
    </row>
    <row r="8" spans="1:10" x14ac:dyDescent="0.25">
      <c r="A8" s="2" t="s">
        <v>406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118"/>
    </row>
    <row r="11" spans="1:10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118"/>
    </row>
    <row r="12" spans="1:10" x14ac:dyDescent="0.25">
      <c r="A12" s="5" t="s">
        <v>268</v>
      </c>
      <c r="B12" s="2"/>
      <c r="C12" s="2"/>
      <c r="D12" s="2"/>
      <c r="E12" s="2"/>
      <c r="F12" s="2"/>
      <c r="G12" s="2"/>
      <c r="H12" s="2"/>
      <c r="I12" s="2"/>
      <c r="J12" s="118"/>
    </row>
    <row r="13" spans="1:10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  <c r="J13" s="118"/>
    </row>
    <row r="14" spans="1:10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  <c r="J14" s="118"/>
    </row>
    <row r="15" spans="1:10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  <c r="J15" s="118"/>
    </row>
    <row r="16" spans="1:10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239</v>
      </c>
      <c r="J16" s="118"/>
    </row>
    <row r="17" spans="1:10" x14ac:dyDescent="0.25">
      <c r="A17" s="5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  <c r="J17" s="118"/>
    </row>
    <row r="18" spans="1:10" x14ac:dyDescent="0.25">
      <c r="A18" s="12">
        <v>1</v>
      </c>
      <c r="B18" s="14" t="s">
        <v>35</v>
      </c>
      <c r="C18" s="15">
        <v>7.97</v>
      </c>
      <c r="D18" s="16">
        <v>-113038.76</v>
      </c>
      <c r="E18" s="17">
        <v>275778.48</v>
      </c>
      <c r="F18" s="14">
        <v>261996.13</v>
      </c>
      <c r="G18" s="12">
        <f t="shared" ref="G18:G26" si="0">E18</f>
        <v>275778.48</v>
      </c>
      <c r="H18" s="17">
        <f>D18+F18-G18</f>
        <v>-126821.10999999999</v>
      </c>
      <c r="I18" s="17">
        <f>H18</f>
        <v>-126821.10999999999</v>
      </c>
      <c r="J18" s="118"/>
    </row>
    <row r="19" spans="1:10" x14ac:dyDescent="0.25">
      <c r="A19" s="7" t="s">
        <v>36</v>
      </c>
      <c r="B19" s="18" t="s">
        <v>37</v>
      </c>
      <c r="C19" s="5">
        <v>2.62</v>
      </c>
      <c r="D19" s="45" t="s">
        <v>71</v>
      </c>
      <c r="E19" s="117">
        <f>E18*33%</f>
        <v>91006.898399999991</v>
      </c>
      <c r="F19" s="44">
        <f>F18*33%</f>
        <v>86458.722900000008</v>
      </c>
      <c r="G19" s="20">
        <f t="shared" si="0"/>
        <v>91006.898399999991</v>
      </c>
      <c r="H19" s="22"/>
      <c r="I19" s="22" t="s">
        <v>71</v>
      </c>
      <c r="J19" s="118"/>
    </row>
    <row r="20" spans="1:10" x14ac:dyDescent="0.25">
      <c r="A20" s="24" t="s">
        <v>38</v>
      </c>
      <c r="B20" s="25" t="s">
        <v>407</v>
      </c>
      <c r="C20" s="25">
        <v>1.33</v>
      </c>
      <c r="D20" s="43"/>
      <c r="E20" s="33">
        <f>E18*17%</f>
        <v>46882.3416</v>
      </c>
      <c r="F20" s="43">
        <f>F18*17%</f>
        <v>44539.342100000002</v>
      </c>
      <c r="G20" s="27">
        <f t="shared" si="0"/>
        <v>46882.3416</v>
      </c>
      <c r="H20" s="75"/>
      <c r="I20" s="75"/>
      <c r="J20" s="118"/>
    </row>
    <row r="21" spans="1:10" x14ac:dyDescent="0.25">
      <c r="A21" s="24" t="s">
        <v>40</v>
      </c>
      <c r="B21" s="25" t="s">
        <v>41</v>
      </c>
      <c r="C21" s="25">
        <v>1.63</v>
      </c>
      <c r="D21" s="45"/>
      <c r="E21" s="27">
        <f>E18*20%</f>
        <v>55155.695999999996</v>
      </c>
      <c r="F21" s="45">
        <f>F18*20%</f>
        <v>52399.226000000002</v>
      </c>
      <c r="G21" s="27">
        <f t="shared" si="0"/>
        <v>55155.695999999996</v>
      </c>
      <c r="H21" s="75"/>
      <c r="I21" s="75"/>
      <c r="J21" s="118"/>
    </row>
    <row r="22" spans="1:10" x14ac:dyDescent="0.25">
      <c r="A22" s="36" t="s">
        <v>42</v>
      </c>
      <c r="B22" s="11" t="s">
        <v>43</v>
      </c>
      <c r="C22" s="11">
        <v>2.39</v>
      </c>
      <c r="D22" s="43"/>
      <c r="E22" s="33">
        <f>E18*30%</f>
        <v>82733.543999999994</v>
      </c>
      <c r="F22" s="43">
        <f>F18*30%</f>
        <v>78598.838999999993</v>
      </c>
      <c r="G22" s="33">
        <f t="shared" si="0"/>
        <v>82733.543999999994</v>
      </c>
      <c r="H22" s="29"/>
      <c r="I22" s="29"/>
      <c r="J22" s="118"/>
    </row>
    <row r="23" spans="1:10" x14ac:dyDescent="0.25">
      <c r="A23" s="73" t="s">
        <v>44</v>
      </c>
      <c r="B23" s="62" t="s">
        <v>45</v>
      </c>
      <c r="C23" s="62">
        <v>0.61938000000000004</v>
      </c>
      <c r="D23" s="54"/>
      <c r="E23" s="79">
        <v>12824.69</v>
      </c>
      <c r="F23" s="54">
        <v>14462.82</v>
      </c>
      <c r="G23" s="79">
        <f>E23</f>
        <v>12824.69</v>
      </c>
      <c r="H23" s="54"/>
      <c r="I23" s="54"/>
      <c r="J23" s="118"/>
    </row>
    <row r="24" spans="1:10" x14ac:dyDescent="0.25">
      <c r="A24" s="73" t="s">
        <v>46</v>
      </c>
      <c r="B24" s="62" t="s">
        <v>47</v>
      </c>
      <c r="C24" s="62">
        <v>2.0709200000000001</v>
      </c>
      <c r="D24" s="9"/>
      <c r="E24" s="9">
        <v>93295.52</v>
      </c>
      <c r="F24" s="9">
        <v>78773.33</v>
      </c>
      <c r="G24" s="10">
        <f>E24</f>
        <v>93295.52</v>
      </c>
      <c r="H24" s="42">
        <f>D24+F24-G24</f>
        <v>-14522.190000000002</v>
      </c>
      <c r="I24" s="11">
        <f>H24</f>
        <v>-14522.190000000002</v>
      </c>
      <c r="J24" s="118"/>
    </row>
    <row r="25" spans="1:10" x14ac:dyDescent="0.25">
      <c r="A25" s="12" t="s">
        <v>48</v>
      </c>
      <c r="B25" s="12" t="s">
        <v>143</v>
      </c>
      <c r="C25" s="12">
        <v>3.15</v>
      </c>
      <c r="D25" s="17">
        <v>-33964.839999999997</v>
      </c>
      <c r="E25" s="14">
        <v>108927.71</v>
      </c>
      <c r="F25" s="12">
        <v>103492.12</v>
      </c>
      <c r="G25" s="14">
        <f t="shared" si="0"/>
        <v>108927.71</v>
      </c>
      <c r="H25" s="17">
        <f>D25+F25-G25</f>
        <v>-39400.430000000008</v>
      </c>
      <c r="I25" s="17">
        <f>H25</f>
        <v>-39400.430000000008</v>
      </c>
      <c r="J25" s="118"/>
    </row>
    <row r="26" spans="1:10" x14ac:dyDescent="0.25">
      <c r="A26" s="11" t="s">
        <v>51</v>
      </c>
      <c r="B26" s="11" t="s">
        <v>49</v>
      </c>
      <c r="C26" s="11" t="s">
        <v>50</v>
      </c>
      <c r="D26" s="43">
        <v>-30182.03</v>
      </c>
      <c r="E26" s="41">
        <v>117347.28</v>
      </c>
      <c r="F26" s="11">
        <v>106000.67</v>
      </c>
      <c r="G26" s="41">
        <f t="shared" si="0"/>
        <v>117347.28</v>
      </c>
      <c r="H26" s="11">
        <f>D26+F26-G26</f>
        <v>-41528.639999999999</v>
      </c>
      <c r="I26" s="44">
        <f>H26</f>
        <v>-41528.639999999999</v>
      </c>
      <c r="J26" s="118"/>
    </row>
    <row r="27" spans="1:10" x14ac:dyDescent="0.25">
      <c r="A27" s="25" t="s">
        <v>55</v>
      </c>
      <c r="B27" s="25" t="s">
        <v>216</v>
      </c>
      <c r="C27" s="68"/>
      <c r="D27" s="44"/>
      <c r="E27" s="27"/>
      <c r="F27" s="45"/>
      <c r="G27" s="27"/>
      <c r="H27" s="45"/>
      <c r="I27" s="45" t="s">
        <v>71</v>
      </c>
      <c r="J27" s="118"/>
    </row>
    <row r="28" spans="1:10" x14ac:dyDescent="0.25">
      <c r="A28" s="18"/>
      <c r="B28" s="18" t="s">
        <v>217</v>
      </c>
      <c r="C28" s="5">
        <v>1.82</v>
      </c>
      <c r="D28" s="18">
        <v>215577.34</v>
      </c>
      <c r="E28" s="1">
        <v>62894.16</v>
      </c>
      <c r="F28" s="18">
        <v>59748.87</v>
      </c>
      <c r="G28" s="59">
        <f>I58</f>
        <v>52206.9</v>
      </c>
      <c r="H28" s="18">
        <f>D28+F28-G28</f>
        <v>223119.31000000003</v>
      </c>
      <c r="I28" s="17"/>
      <c r="J28" s="118"/>
    </row>
    <row r="29" spans="1:10" x14ac:dyDescent="0.25">
      <c r="A29" s="11" t="s">
        <v>59</v>
      </c>
      <c r="B29" s="41" t="s">
        <v>146</v>
      </c>
      <c r="C29" s="11"/>
      <c r="D29" s="41" t="s">
        <v>71</v>
      </c>
      <c r="E29" s="11"/>
      <c r="F29" s="41"/>
      <c r="G29" s="11" t="s">
        <v>147</v>
      </c>
      <c r="H29" s="41" t="s">
        <v>71</v>
      </c>
      <c r="I29" s="43" t="s">
        <v>71</v>
      </c>
      <c r="J29" s="118"/>
    </row>
    <row r="30" spans="1:10" x14ac:dyDescent="0.25">
      <c r="A30" s="18"/>
      <c r="B30" s="42" t="s">
        <v>408</v>
      </c>
      <c r="C30" s="11">
        <v>0</v>
      </c>
      <c r="D30" s="41">
        <v>13508.4</v>
      </c>
      <c r="E30" s="11">
        <v>0</v>
      </c>
      <c r="F30" s="41">
        <f>F31</f>
        <v>0</v>
      </c>
      <c r="G30" s="11">
        <v>0</v>
      </c>
      <c r="H30" s="46">
        <f>D30+F30-G30</f>
        <v>13508.4</v>
      </c>
      <c r="I30" s="44"/>
      <c r="J30" s="118"/>
    </row>
    <row r="31" spans="1:10" x14ac:dyDescent="0.25">
      <c r="A31" s="62"/>
      <c r="B31" s="62" t="s">
        <v>53</v>
      </c>
      <c r="C31" s="74">
        <v>0</v>
      </c>
      <c r="D31" s="62"/>
      <c r="E31" s="74">
        <v>0</v>
      </c>
      <c r="F31" s="62">
        <v>0</v>
      </c>
      <c r="G31" s="74">
        <v>0</v>
      </c>
      <c r="H31" s="62"/>
      <c r="I31" s="29"/>
      <c r="J31" s="118"/>
    </row>
    <row r="32" spans="1:10" x14ac:dyDescent="0.25">
      <c r="A32" s="1" t="s">
        <v>58</v>
      </c>
      <c r="B32" s="2"/>
      <c r="C32" s="2"/>
      <c r="D32" s="60"/>
      <c r="E32" s="2"/>
      <c r="F32" s="2"/>
      <c r="G32" s="2"/>
      <c r="H32" s="2"/>
      <c r="I32" s="2"/>
      <c r="J32" s="118"/>
    </row>
    <row r="33" spans="1:10" x14ac:dyDescent="0.25">
      <c r="A33" s="57" t="s">
        <v>196</v>
      </c>
      <c r="B33" s="48" t="s">
        <v>60</v>
      </c>
      <c r="C33" s="9" t="s">
        <v>65</v>
      </c>
      <c r="D33" s="10" t="s">
        <v>409</v>
      </c>
      <c r="E33" s="9" t="s">
        <v>63</v>
      </c>
      <c r="F33" s="9" t="s">
        <v>61</v>
      </c>
      <c r="G33" s="50"/>
      <c r="H33" s="10" t="s">
        <v>199</v>
      </c>
      <c r="I33" s="50"/>
      <c r="J33" s="118"/>
    </row>
    <row r="34" spans="1:10" x14ac:dyDescent="0.25">
      <c r="A34" s="59"/>
      <c r="B34" s="51"/>
      <c r="C34" s="62" t="s">
        <v>66</v>
      </c>
      <c r="D34" s="74" t="s">
        <v>23</v>
      </c>
      <c r="E34" s="62" t="s">
        <v>67</v>
      </c>
      <c r="F34" s="62" t="s">
        <v>30</v>
      </c>
      <c r="G34" s="53"/>
      <c r="H34" s="74"/>
      <c r="I34" s="53"/>
      <c r="J34" s="118"/>
    </row>
    <row r="35" spans="1:10" x14ac:dyDescent="0.25">
      <c r="A35" s="52"/>
      <c r="B35" s="52" t="s">
        <v>68</v>
      </c>
      <c r="C35" s="54">
        <v>0</v>
      </c>
      <c r="D35" s="74">
        <v>1649</v>
      </c>
      <c r="E35" s="62">
        <f>D35*15%</f>
        <v>247.35</v>
      </c>
      <c r="F35" s="54">
        <f>D35-E35</f>
        <v>1401.65</v>
      </c>
      <c r="G35" s="80"/>
      <c r="H35" s="79">
        <f>F35-G35</f>
        <v>1401.65</v>
      </c>
      <c r="I35" s="53"/>
      <c r="J35" s="118"/>
    </row>
    <row r="36" spans="1:10" x14ac:dyDescent="0.25">
      <c r="A36" s="5" t="s">
        <v>69</v>
      </c>
      <c r="B36" s="5"/>
      <c r="C36" s="5"/>
      <c r="D36" s="56"/>
      <c r="E36" s="5"/>
      <c r="F36" s="5"/>
      <c r="G36" s="5"/>
      <c r="H36" s="5"/>
      <c r="I36" s="2"/>
      <c r="J36" s="118"/>
    </row>
    <row r="37" spans="1:10" x14ac:dyDescent="0.25">
      <c r="A37" s="1" t="s">
        <v>70</v>
      </c>
      <c r="B37" s="1"/>
      <c r="C37" s="1"/>
      <c r="D37" s="56"/>
      <c r="E37" s="5"/>
      <c r="F37" s="5"/>
      <c r="G37" s="5"/>
      <c r="H37" s="5"/>
      <c r="I37" s="2"/>
      <c r="J37" s="118"/>
    </row>
    <row r="38" spans="1:10" x14ac:dyDescent="0.25">
      <c r="A38" s="6" t="s">
        <v>71</v>
      </c>
      <c r="B38" s="57" t="s">
        <v>72</v>
      </c>
      <c r="C38" s="6" t="s">
        <v>73</v>
      </c>
      <c r="D38" s="49" t="s">
        <v>74</v>
      </c>
      <c r="E38" s="6" t="s">
        <v>75</v>
      </c>
      <c r="F38" s="58" t="s">
        <v>76</v>
      </c>
      <c r="G38" s="6" t="s">
        <v>410</v>
      </c>
      <c r="H38" s="6" t="s">
        <v>78</v>
      </c>
      <c r="I38" s="6" t="s">
        <v>19</v>
      </c>
      <c r="J38" s="118"/>
    </row>
    <row r="39" spans="1:10" x14ac:dyDescent="0.25">
      <c r="A39" s="7"/>
      <c r="B39" s="59" t="s">
        <v>79</v>
      </c>
      <c r="C39" s="7" t="s">
        <v>80</v>
      </c>
      <c r="D39" s="61" t="s">
        <v>81</v>
      </c>
      <c r="E39" s="7" t="s">
        <v>82</v>
      </c>
      <c r="F39" s="60" t="s">
        <v>83</v>
      </c>
      <c r="G39" s="7" t="s">
        <v>84</v>
      </c>
      <c r="H39" s="7" t="s">
        <v>85</v>
      </c>
      <c r="I39" s="7" t="s">
        <v>86</v>
      </c>
      <c r="J39" s="118"/>
    </row>
    <row r="40" spans="1:10" x14ac:dyDescent="0.25">
      <c r="A40" s="7"/>
      <c r="B40" s="51"/>
      <c r="C40" s="7"/>
      <c r="D40" s="61"/>
      <c r="E40" s="7"/>
      <c r="F40" s="60" t="s">
        <v>87</v>
      </c>
      <c r="G40" s="7" t="s">
        <v>88</v>
      </c>
      <c r="H40" s="7"/>
      <c r="I40" s="7" t="s">
        <v>411</v>
      </c>
      <c r="J40" s="118"/>
    </row>
    <row r="41" spans="1:10" x14ac:dyDescent="0.25">
      <c r="A41" s="7"/>
      <c r="B41" s="51"/>
      <c r="C41" s="62"/>
      <c r="D41" s="53"/>
      <c r="E41" s="7"/>
      <c r="F41" s="60"/>
      <c r="G41" s="62"/>
      <c r="H41" s="62"/>
      <c r="I41" s="111"/>
      <c r="J41" s="118"/>
    </row>
    <row r="42" spans="1:10" x14ac:dyDescent="0.25">
      <c r="A42" s="9">
        <v>1</v>
      </c>
      <c r="B42" s="9" t="s">
        <v>90</v>
      </c>
      <c r="C42" s="11" t="s">
        <v>91</v>
      </c>
      <c r="D42" s="61">
        <v>-27690.97</v>
      </c>
      <c r="E42" s="95">
        <v>110254.05</v>
      </c>
      <c r="F42" s="9">
        <v>99433.44</v>
      </c>
      <c r="G42" s="65">
        <f>E42</f>
        <v>110254.05</v>
      </c>
      <c r="H42" s="7">
        <f>D42+F42-G42</f>
        <v>-38511.58</v>
      </c>
      <c r="I42" s="61">
        <f>H42</f>
        <v>-38511.58</v>
      </c>
      <c r="J42" s="118"/>
    </row>
    <row r="43" spans="1:10" x14ac:dyDescent="0.25">
      <c r="A43" s="9"/>
      <c r="B43" s="9" t="s">
        <v>412</v>
      </c>
      <c r="C43" s="41" t="s">
        <v>93</v>
      </c>
      <c r="D43" s="9"/>
      <c r="E43" s="10"/>
      <c r="F43" s="9"/>
      <c r="G43" s="10"/>
      <c r="H43" s="6"/>
      <c r="I43" s="9"/>
      <c r="J43" s="118"/>
    </row>
    <row r="44" spans="1:10" x14ac:dyDescent="0.25">
      <c r="A44" s="7">
        <v>2</v>
      </c>
      <c r="B44" s="7" t="s">
        <v>94</v>
      </c>
      <c r="C44" s="1" t="s">
        <v>95</v>
      </c>
      <c r="D44" s="6">
        <v>-108664.14</v>
      </c>
      <c r="E44" s="2">
        <v>182283.2</v>
      </c>
      <c r="F44" s="7">
        <v>176241.17</v>
      </c>
      <c r="G44" s="2">
        <f>E44</f>
        <v>182283.2</v>
      </c>
      <c r="H44" s="6">
        <f>D44+F44-G44</f>
        <v>-114706.17</v>
      </c>
      <c r="I44" s="49">
        <f>H44</f>
        <v>-114706.17</v>
      </c>
      <c r="J44" s="118"/>
    </row>
    <row r="45" spans="1:10" x14ac:dyDescent="0.25">
      <c r="A45" s="9"/>
      <c r="B45" s="9" t="s">
        <v>96</v>
      </c>
      <c r="C45" s="41"/>
      <c r="D45" s="9"/>
      <c r="E45" s="10"/>
      <c r="F45" s="9"/>
      <c r="G45" s="10"/>
      <c r="H45" s="6"/>
      <c r="I45" s="49"/>
      <c r="J45" s="118"/>
    </row>
    <row r="46" spans="1:10" x14ac:dyDescent="0.25">
      <c r="A46" s="9"/>
      <c r="B46" s="9" t="s">
        <v>412</v>
      </c>
      <c r="C46" s="41" t="s">
        <v>93</v>
      </c>
      <c r="D46" s="9"/>
      <c r="E46" s="10"/>
      <c r="F46" s="9"/>
      <c r="G46" s="10"/>
      <c r="H46" s="6"/>
      <c r="I46" s="49"/>
      <c r="J46" s="118"/>
    </row>
    <row r="47" spans="1:10" x14ac:dyDescent="0.25">
      <c r="A47" s="9">
        <v>3</v>
      </c>
      <c r="B47" s="9" t="s">
        <v>98</v>
      </c>
      <c r="C47" s="41" t="s">
        <v>99</v>
      </c>
      <c r="D47" s="9">
        <v>-314235.38</v>
      </c>
      <c r="E47" s="10">
        <v>594492.9</v>
      </c>
      <c r="F47" s="9">
        <v>582600.61</v>
      </c>
      <c r="G47" s="10">
        <f>E47</f>
        <v>594492.9</v>
      </c>
      <c r="H47" s="9">
        <f>D47+F47-G47</f>
        <v>-326127.67000000004</v>
      </c>
      <c r="I47" s="9">
        <f>H47</f>
        <v>-326127.67000000004</v>
      </c>
      <c r="J47" s="118"/>
    </row>
    <row r="48" spans="1:10" x14ac:dyDescent="0.25">
      <c r="A48" s="1" t="s">
        <v>413</v>
      </c>
      <c r="B48" s="2"/>
      <c r="C48" s="2"/>
      <c r="D48" s="2"/>
      <c r="E48" s="2"/>
      <c r="F48" s="2"/>
      <c r="G48" s="2"/>
      <c r="H48" s="2"/>
      <c r="I48" s="2"/>
      <c r="J48" s="118"/>
    </row>
    <row r="49" spans="1:10" x14ac:dyDescent="0.25">
      <c r="A49" s="5" t="s">
        <v>414</v>
      </c>
      <c r="B49" s="2"/>
      <c r="C49" s="2"/>
      <c r="D49" s="2"/>
      <c r="E49" s="2"/>
      <c r="F49" s="2"/>
      <c r="G49" s="2"/>
      <c r="H49" s="2"/>
      <c r="I49" s="2"/>
      <c r="J49" s="118"/>
    </row>
    <row r="50" spans="1:10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398</v>
      </c>
      <c r="G50" s="58"/>
      <c r="H50" s="49"/>
      <c r="I50" s="6" t="s">
        <v>105</v>
      </c>
      <c r="J50" s="118"/>
    </row>
    <row r="51" spans="1:10" x14ac:dyDescent="0.25">
      <c r="A51" s="51" t="s">
        <v>106</v>
      </c>
      <c r="B51" s="7"/>
      <c r="C51" s="60"/>
      <c r="D51" s="60"/>
      <c r="E51" s="60"/>
      <c r="F51" s="51" t="s">
        <v>415</v>
      </c>
      <c r="G51" s="60"/>
      <c r="H51" s="61"/>
      <c r="I51" s="7" t="s">
        <v>108</v>
      </c>
      <c r="J51" s="118"/>
    </row>
    <row r="52" spans="1:10" x14ac:dyDescent="0.25">
      <c r="A52" s="52"/>
      <c r="B52" s="62"/>
      <c r="C52" s="60"/>
      <c r="D52" s="60"/>
      <c r="E52" s="60"/>
      <c r="F52" s="51" t="s">
        <v>416</v>
      </c>
      <c r="G52" s="60"/>
      <c r="H52" s="61"/>
      <c r="I52" s="7"/>
      <c r="J52" s="118"/>
    </row>
    <row r="53" spans="1:10" x14ac:dyDescent="0.25">
      <c r="A53" s="82" t="s">
        <v>110</v>
      </c>
      <c r="B53" s="18"/>
      <c r="C53" s="68" t="s">
        <v>111</v>
      </c>
      <c r="D53" s="68"/>
      <c r="E53" s="68"/>
      <c r="F53" s="48"/>
      <c r="G53" s="58"/>
      <c r="H53" s="49"/>
      <c r="I53" s="6"/>
      <c r="J53" s="118"/>
    </row>
    <row r="54" spans="1:10" x14ac:dyDescent="0.25">
      <c r="A54" s="69" t="s">
        <v>113</v>
      </c>
      <c r="B54" s="70">
        <v>42849</v>
      </c>
      <c r="C54" s="60" t="s">
        <v>114</v>
      </c>
      <c r="D54" s="60"/>
      <c r="E54" s="60"/>
      <c r="F54" s="51"/>
      <c r="G54" s="37">
        <f>I54/2888.9</f>
        <v>1.869223579909308</v>
      </c>
      <c r="H54" s="61"/>
      <c r="I54" s="7">
        <v>5400</v>
      </c>
      <c r="J54" s="118"/>
    </row>
    <row r="55" spans="1:10" x14ac:dyDescent="0.25">
      <c r="A55" s="69" t="s">
        <v>38</v>
      </c>
      <c r="B55" s="70">
        <v>42974</v>
      </c>
      <c r="C55" s="60" t="s">
        <v>417</v>
      </c>
      <c r="D55" s="60"/>
      <c r="E55" s="60"/>
      <c r="F55" s="51"/>
      <c r="G55" s="37">
        <f>I55/2888.9</f>
        <v>7.0050884419675308</v>
      </c>
      <c r="H55" s="61"/>
      <c r="I55" s="7">
        <v>20237</v>
      </c>
      <c r="J55" s="118"/>
    </row>
    <row r="56" spans="1:10" x14ac:dyDescent="0.25">
      <c r="A56" s="69" t="s">
        <v>40</v>
      </c>
      <c r="B56" s="70">
        <v>43008</v>
      </c>
      <c r="C56" s="60" t="s">
        <v>418</v>
      </c>
      <c r="D56" s="60"/>
      <c r="E56" s="60"/>
      <c r="F56" s="51"/>
      <c r="G56" s="37">
        <f>I56/2888.9</f>
        <v>5.0447921354148635</v>
      </c>
      <c r="H56" s="61"/>
      <c r="I56" s="7">
        <v>14573.9</v>
      </c>
      <c r="J56" s="118"/>
    </row>
    <row r="57" spans="1:10" x14ac:dyDescent="0.25">
      <c r="A57" s="69" t="s">
        <v>42</v>
      </c>
      <c r="B57" s="70" t="s">
        <v>207</v>
      </c>
      <c r="C57" s="60" t="s">
        <v>352</v>
      </c>
      <c r="D57" s="60"/>
      <c r="E57" s="60"/>
      <c r="F57" s="51"/>
      <c r="G57" s="37">
        <f>I57/2888.9</f>
        <v>4.1524455675170477</v>
      </c>
      <c r="H57" s="61"/>
      <c r="I57" s="7">
        <v>11996</v>
      </c>
      <c r="J57" s="118"/>
    </row>
    <row r="58" spans="1:10" x14ac:dyDescent="0.25">
      <c r="A58" s="69"/>
      <c r="B58" s="7"/>
      <c r="C58" s="5" t="s">
        <v>118</v>
      </c>
      <c r="D58" s="5"/>
      <c r="E58" s="5"/>
      <c r="F58" s="59"/>
      <c r="G58" s="20">
        <f>SUM(G53:G57)</f>
        <v>18.071549724808751</v>
      </c>
      <c r="H58" s="61"/>
      <c r="I58" s="18">
        <f>SUM(I53:I57)</f>
        <v>52206.9</v>
      </c>
      <c r="J58" s="118"/>
    </row>
    <row r="59" spans="1:10" x14ac:dyDescent="0.25">
      <c r="A59" s="6"/>
      <c r="B59" s="6"/>
      <c r="C59" s="48"/>
      <c r="D59" s="58"/>
      <c r="E59" s="49"/>
      <c r="F59" s="48"/>
      <c r="G59" s="58"/>
      <c r="H59" s="49"/>
      <c r="I59" s="6"/>
      <c r="J59" s="118"/>
    </row>
    <row r="60" spans="1:10" x14ac:dyDescent="0.25">
      <c r="A60" s="6" t="s">
        <v>48</v>
      </c>
      <c r="B60" s="25" t="s">
        <v>119</v>
      </c>
      <c r="C60" s="57" t="s">
        <v>120</v>
      </c>
      <c r="D60" s="58"/>
      <c r="E60" s="49"/>
      <c r="F60" s="48" t="s">
        <v>121</v>
      </c>
      <c r="G60" s="58"/>
      <c r="H60" s="49"/>
      <c r="I60" s="6"/>
      <c r="J60" s="118"/>
    </row>
    <row r="61" spans="1:10" x14ac:dyDescent="0.25">
      <c r="A61" s="73"/>
      <c r="B61" s="62" t="s">
        <v>119</v>
      </c>
      <c r="C61" s="52" t="s">
        <v>118</v>
      </c>
      <c r="D61" s="74"/>
      <c r="E61" s="53"/>
      <c r="F61" s="52" t="s">
        <v>71</v>
      </c>
      <c r="G61" s="74">
        <v>0</v>
      </c>
      <c r="H61" s="53"/>
      <c r="I61" s="62">
        <v>0</v>
      </c>
      <c r="J61" s="118"/>
    </row>
    <row r="62" spans="1:10" x14ac:dyDescent="0.25">
      <c r="A62" s="2" t="s">
        <v>277</v>
      </c>
      <c r="B62" s="2"/>
      <c r="C62" s="2" t="s">
        <v>71</v>
      </c>
      <c r="D62" s="2" t="s">
        <v>419</v>
      </c>
      <c r="E62" s="2"/>
      <c r="F62" s="2"/>
      <c r="G62" s="2"/>
      <c r="H62" s="2"/>
      <c r="I62" s="2"/>
      <c r="J62" s="118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4" zoomScale="110" zoomScaleNormal="110" workbookViewId="0">
      <selection activeCell="B13" sqref="B13"/>
    </sheetView>
  </sheetViews>
  <sheetFormatPr defaultRowHeight="15" x14ac:dyDescent="0.25"/>
  <cols>
    <col min="1" max="1" width="5.140625" style="3" customWidth="1"/>
    <col min="2" max="2" width="33.42578125" style="3" customWidth="1"/>
    <col min="3" max="3" width="15" style="3" customWidth="1"/>
    <col min="4" max="4" width="12" style="3" customWidth="1"/>
    <col min="5" max="6" width="10.85546875" style="3" customWidth="1"/>
    <col min="7" max="7" width="13.140625" style="3" customWidth="1"/>
    <col min="8" max="8" width="11" style="3" customWidth="1"/>
    <col min="9" max="9" width="17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</row>
    <row r="2" spans="1:9" x14ac:dyDescent="0.25">
      <c r="A2" s="1" t="s">
        <v>1</v>
      </c>
      <c r="B2" s="1"/>
      <c r="C2" s="1"/>
      <c r="D2" s="1"/>
      <c r="E2" s="1"/>
      <c r="F2" s="1"/>
      <c r="G2" s="1"/>
    </row>
    <row r="3" spans="1:9" x14ac:dyDescent="0.25">
      <c r="A3" s="1" t="s">
        <v>2</v>
      </c>
      <c r="B3" s="1"/>
      <c r="C3" s="1"/>
      <c r="D3" s="1"/>
      <c r="E3" s="1"/>
      <c r="F3" s="1"/>
      <c r="G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</row>
    <row r="5" spans="1:9" x14ac:dyDescent="0.25">
      <c r="A5" s="1" t="s">
        <v>4</v>
      </c>
      <c r="B5" s="2"/>
      <c r="C5" s="2"/>
      <c r="D5" s="2"/>
      <c r="E5" s="2"/>
      <c r="F5" s="2"/>
      <c r="G5" s="2"/>
    </row>
    <row r="6" spans="1:9" x14ac:dyDescent="0.25">
      <c r="A6" s="1" t="s">
        <v>128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129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130</v>
      </c>
      <c r="C8" s="2"/>
      <c r="D8" s="2"/>
      <c r="E8" s="2"/>
      <c r="F8" s="2"/>
      <c r="G8" s="2"/>
      <c r="H8" s="2"/>
      <c r="I8" s="2"/>
    </row>
    <row r="9" spans="1:9" x14ac:dyDescent="0.25">
      <c r="A9" s="2" t="s">
        <v>131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132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133</v>
      </c>
      <c r="B13" s="1"/>
      <c r="C13" s="1"/>
      <c r="D13" s="1"/>
      <c r="E13" s="1"/>
      <c r="F13" s="1"/>
      <c r="G13" s="1"/>
      <c r="H13" s="1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135</v>
      </c>
      <c r="H15" s="7" t="s">
        <v>25</v>
      </c>
      <c r="I15" s="7" t="s">
        <v>136</v>
      </c>
    </row>
    <row r="16" spans="1:9" x14ac:dyDescent="0.25">
      <c r="A16" s="7"/>
      <c r="B16" s="7"/>
      <c r="C16" s="7" t="s">
        <v>27</v>
      </c>
      <c r="D16" s="7" t="s">
        <v>28</v>
      </c>
      <c r="E16" s="7" t="s">
        <v>71</v>
      </c>
      <c r="F16" s="7"/>
      <c r="G16" s="7"/>
      <c r="H16" s="7" t="s">
        <v>137</v>
      </c>
      <c r="I16" s="7" t="s">
        <v>138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140</v>
      </c>
    </row>
    <row r="18" spans="1:9" x14ac:dyDescent="0.25">
      <c r="A18" s="8">
        <v>1</v>
      </c>
      <c r="B18" s="9">
        <v>2</v>
      </c>
      <c r="C18" s="58">
        <v>3</v>
      </c>
      <c r="D18" s="6">
        <v>4</v>
      </c>
      <c r="E18" s="58">
        <v>5</v>
      </c>
      <c r="F18" s="6">
        <v>6</v>
      </c>
      <c r="G18" s="58">
        <v>7</v>
      </c>
      <c r="H18" s="6">
        <v>8</v>
      </c>
      <c r="I18" s="6">
        <v>9</v>
      </c>
    </row>
    <row r="19" spans="1:9" x14ac:dyDescent="0.25">
      <c r="A19" s="42">
        <v>1</v>
      </c>
      <c r="B19" s="11" t="s">
        <v>141</v>
      </c>
      <c r="C19" s="42">
        <v>7.97</v>
      </c>
      <c r="D19" s="43">
        <v>-57364.800000000003</v>
      </c>
      <c r="E19" s="43">
        <v>455242.08</v>
      </c>
      <c r="F19" s="11">
        <v>453241.14</v>
      </c>
      <c r="G19" s="33">
        <f t="shared" ref="G19:G27" si="0">E19</f>
        <v>455242.08</v>
      </c>
      <c r="H19" s="43">
        <f>D19+F19-G19</f>
        <v>-59365.739999999991</v>
      </c>
      <c r="I19" s="43">
        <f>H19</f>
        <v>-59365.739999999991</v>
      </c>
    </row>
    <row r="20" spans="1:9" x14ac:dyDescent="0.25">
      <c r="A20" s="69" t="s">
        <v>113</v>
      </c>
      <c r="B20" s="7" t="s">
        <v>142</v>
      </c>
      <c r="C20" s="5">
        <v>2.62</v>
      </c>
      <c r="D20" s="75"/>
      <c r="E20" s="22">
        <f>E19*33%</f>
        <v>150229.88640000002</v>
      </c>
      <c r="F20" s="22">
        <f>F19*33%</f>
        <v>149569.57620000001</v>
      </c>
      <c r="G20" s="37">
        <f t="shared" si="0"/>
        <v>150229.88640000002</v>
      </c>
      <c r="H20" s="22"/>
      <c r="I20" s="23"/>
    </row>
    <row r="21" spans="1:9" x14ac:dyDescent="0.25">
      <c r="A21" s="24" t="s">
        <v>38</v>
      </c>
      <c r="B21" s="6" t="s">
        <v>39</v>
      </c>
      <c r="C21" s="68">
        <v>1.33</v>
      </c>
      <c r="D21" s="75"/>
      <c r="E21" s="45">
        <f>E19*17%</f>
        <v>77391.153600000005</v>
      </c>
      <c r="F21" s="28">
        <f>F19*17%</f>
        <v>77050.993800000011</v>
      </c>
      <c r="G21" s="45">
        <f t="shared" si="0"/>
        <v>77391.153600000005</v>
      </c>
      <c r="H21" s="55"/>
      <c r="I21" s="75"/>
    </row>
    <row r="22" spans="1:9" x14ac:dyDescent="0.25">
      <c r="A22" s="24" t="s">
        <v>40</v>
      </c>
      <c r="B22" s="6" t="s">
        <v>41</v>
      </c>
      <c r="C22" s="68">
        <v>1.63</v>
      </c>
      <c r="D22" s="75"/>
      <c r="E22" s="45">
        <f>E19*20%</f>
        <v>91048.416000000012</v>
      </c>
      <c r="F22" s="28">
        <f>F19*20%</f>
        <v>90648.228000000003</v>
      </c>
      <c r="G22" s="43">
        <f t="shared" si="0"/>
        <v>91048.416000000012</v>
      </c>
      <c r="H22" s="40"/>
      <c r="I22" s="75"/>
    </row>
    <row r="23" spans="1:9" x14ac:dyDescent="0.25">
      <c r="A23" s="36" t="s">
        <v>42</v>
      </c>
      <c r="B23" s="9" t="s">
        <v>43</v>
      </c>
      <c r="C23" s="10">
        <v>2.39</v>
      </c>
      <c r="D23" s="29"/>
      <c r="E23" s="29">
        <f>E19*30%</f>
        <v>136572.62400000001</v>
      </c>
      <c r="F23" s="40">
        <f>F19*30%</f>
        <v>135972.342</v>
      </c>
      <c r="G23" s="22">
        <f t="shared" si="0"/>
        <v>136572.62400000001</v>
      </c>
      <c r="H23" s="40"/>
      <c r="I23" s="29"/>
    </row>
    <row r="24" spans="1:9" x14ac:dyDescent="0.25">
      <c r="A24" s="76" t="s">
        <v>44</v>
      </c>
      <c r="B24" s="9" t="s">
        <v>45</v>
      </c>
      <c r="C24" s="10">
        <v>0.37837999999999999</v>
      </c>
      <c r="D24" s="54"/>
      <c r="E24" s="54">
        <v>12975.02</v>
      </c>
      <c r="F24" s="55">
        <v>14847.8</v>
      </c>
      <c r="G24" s="29">
        <f t="shared" si="0"/>
        <v>12975.02</v>
      </c>
      <c r="H24" s="40">
        <f>F24-E24</f>
        <v>1872.7799999999988</v>
      </c>
      <c r="I24" s="17"/>
    </row>
    <row r="25" spans="1:9" x14ac:dyDescent="0.25">
      <c r="A25" s="77" t="s">
        <v>46</v>
      </c>
      <c r="B25" s="62" t="s">
        <v>47</v>
      </c>
      <c r="C25" s="74">
        <v>0.85912100000000002</v>
      </c>
      <c r="D25" s="54"/>
      <c r="E25" s="9">
        <v>94125.88</v>
      </c>
      <c r="F25" s="10">
        <v>88448.93</v>
      </c>
      <c r="G25" s="9">
        <f>E25</f>
        <v>94125.88</v>
      </c>
      <c r="H25" s="74">
        <f>F25-E25</f>
        <v>-5676.9500000000116</v>
      </c>
      <c r="I25" s="9">
        <f>H25</f>
        <v>-5676.9500000000116</v>
      </c>
    </row>
    <row r="26" spans="1:9" x14ac:dyDescent="0.25">
      <c r="A26" s="12" t="s">
        <v>48</v>
      </c>
      <c r="B26" s="12" t="s">
        <v>143</v>
      </c>
      <c r="C26" s="14">
        <v>3.15</v>
      </c>
      <c r="D26" s="17">
        <v>-12016.12</v>
      </c>
      <c r="E26" s="12">
        <v>179451.84</v>
      </c>
      <c r="F26" s="12">
        <v>178692.4</v>
      </c>
      <c r="G26" s="14">
        <f t="shared" si="0"/>
        <v>179451.84</v>
      </c>
      <c r="H26" s="43">
        <f>D26+F26-G26</f>
        <v>-12775.559999999998</v>
      </c>
      <c r="I26" s="17">
        <f>H26</f>
        <v>-12775.559999999998</v>
      </c>
    </row>
    <row r="27" spans="1:9" x14ac:dyDescent="0.25">
      <c r="A27" s="11" t="s">
        <v>51</v>
      </c>
      <c r="B27" s="11" t="s">
        <v>49</v>
      </c>
      <c r="C27" s="41" t="s">
        <v>50</v>
      </c>
      <c r="D27" s="17">
        <v>-12508.11</v>
      </c>
      <c r="E27" s="11">
        <v>193349.16</v>
      </c>
      <c r="F27" s="11">
        <v>183838.62</v>
      </c>
      <c r="G27" s="14">
        <f t="shared" si="0"/>
        <v>193349.16</v>
      </c>
      <c r="H27" s="43">
        <f>D27+F27-G27</f>
        <v>-22018.649999999994</v>
      </c>
      <c r="I27" s="17">
        <f>H27</f>
        <v>-22018.649999999994</v>
      </c>
    </row>
    <row r="28" spans="1:9" x14ac:dyDescent="0.25">
      <c r="A28" s="12" t="s">
        <v>55</v>
      </c>
      <c r="B28" s="12" t="s">
        <v>144</v>
      </c>
      <c r="C28" s="15">
        <v>1.82</v>
      </c>
      <c r="D28" s="17">
        <v>114297.15</v>
      </c>
      <c r="E28" s="12">
        <v>103957.32</v>
      </c>
      <c r="F28" s="17">
        <f>F29+F30</f>
        <v>104289.48</v>
      </c>
      <c r="G28" s="15">
        <f>I66</f>
        <v>201060.45</v>
      </c>
      <c r="H28" s="17">
        <f>D28+F28-G28</f>
        <v>17526.179999999993</v>
      </c>
      <c r="I28" s="17"/>
    </row>
    <row r="29" spans="1:9" x14ac:dyDescent="0.25">
      <c r="A29" s="11"/>
      <c r="B29" s="62" t="s">
        <v>145</v>
      </c>
      <c r="C29" s="15">
        <v>1.82</v>
      </c>
      <c r="D29" s="15"/>
      <c r="E29" s="62"/>
      <c r="F29" s="62">
        <v>103501.06</v>
      </c>
      <c r="G29" s="15"/>
      <c r="H29" s="12"/>
      <c r="I29" s="54"/>
    </row>
    <row r="30" spans="1:9" x14ac:dyDescent="0.25">
      <c r="A30" s="11"/>
      <c r="B30" s="9" t="s">
        <v>54</v>
      </c>
      <c r="C30" s="42">
        <v>1.82</v>
      </c>
      <c r="D30" s="42"/>
      <c r="E30" s="9"/>
      <c r="F30" s="9">
        <v>788.42</v>
      </c>
      <c r="G30" s="41"/>
      <c r="H30" s="11"/>
      <c r="I30" s="32"/>
    </row>
    <row r="31" spans="1:9" x14ac:dyDescent="0.25">
      <c r="A31" s="18" t="s">
        <v>59</v>
      </c>
      <c r="B31" s="59" t="s">
        <v>146</v>
      </c>
      <c r="C31" s="59"/>
      <c r="D31" s="59" t="s">
        <v>71</v>
      </c>
      <c r="E31" s="18"/>
      <c r="F31" s="18"/>
      <c r="G31" s="5" t="s">
        <v>147</v>
      </c>
      <c r="H31" s="18" t="s">
        <v>71</v>
      </c>
      <c r="I31" s="19"/>
    </row>
    <row r="32" spans="1:9" x14ac:dyDescent="0.25">
      <c r="A32" s="12"/>
      <c r="B32" s="15" t="s">
        <v>148</v>
      </c>
      <c r="C32" s="15">
        <v>0</v>
      </c>
      <c r="D32" s="16">
        <v>3147.61</v>
      </c>
      <c r="E32" s="12">
        <v>0</v>
      </c>
      <c r="F32" s="17">
        <f>F33</f>
        <v>0.04</v>
      </c>
      <c r="G32" s="78">
        <f>G33</f>
        <v>0</v>
      </c>
      <c r="H32" s="17">
        <f>D32+F32</f>
        <v>3147.65</v>
      </c>
      <c r="I32" s="13"/>
    </row>
    <row r="33" spans="1:9" x14ac:dyDescent="0.25">
      <c r="A33" s="9"/>
      <c r="B33" s="9" t="s">
        <v>149</v>
      </c>
      <c r="C33" s="10"/>
      <c r="D33" s="8"/>
      <c r="E33" s="9">
        <v>0</v>
      </c>
      <c r="F33" s="29">
        <v>0.04</v>
      </c>
      <c r="G33" s="39">
        <f>I70</f>
        <v>0</v>
      </c>
      <c r="H33" s="9"/>
      <c r="I33" s="35"/>
    </row>
    <row r="34" spans="1:9" x14ac:dyDescent="0.25">
      <c r="A34" s="1" t="s">
        <v>58</v>
      </c>
      <c r="B34" s="1"/>
      <c r="C34" s="1"/>
      <c r="D34" s="47"/>
      <c r="E34" s="1"/>
      <c r="F34" s="1"/>
      <c r="G34" s="2"/>
      <c r="H34" s="2"/>
      <c r="I34" s="2"/>
    </row>
    <row r="35" spans="1:9" x14ac:dyDescent="0.25">
      <c r="A35" s="25">
        <v>6</v>
      </c>
      <c r="B35" s="58" t="s">
        <v>150</v>
      </c>
      <c r="C35" s="48" t="s">
        <v>151</v>
      </c>
      <c r="D35" s="6" t="s">
        <v>152</v>
      </c>
      <c r="E35" s="49" t="s">
        <v>153</v>
      </c>
      <c r="F35" s="58" t="s">
        <v>154</v>
      </c>
      <c r="G35" s="6" t="s">
        <v>15</v>
      </c>
      <c r="H35" s="6"/>
      <c r="I35" s="6"/>
    </row>
    <row r="36" spans="1:9" x14ac:dyDescent="0.25">
      <c r="A36" s="62"/>
      <c r="B36" s="74" t="s">
        <v>68</v>
      </c>
      <c r="C36" s="52" t="s">
        <v>28</v>
      </c>
      <c r="D36" s="62" t="s">
        <v>29</v>
      </c>
      <c r="E36" s="53" t="s">
        <v>155</v>
      </c>
      <c r="F36" s="74" t="s">
        <v>156</v>
      </c>
      <c r="G36" s="62" t="s">
        <v>157</v>
      </c>
      <c r="H36" s="62"/>
      <c r="I36" s="62"/>
    </row>
    <row r="37" spans="1:9" x14ac:dyDescent="0.25">
      <c r="A37" s="7"/>
      <c r="B37" s="61"/>
      <c r="C37" s="54">
        <v>71712.97</v>
      </c>
      <c r="D37" s="62">
        <v>19800</v>
      </c>
      <c r="E37" s="79">
        <f>D37*15%</f>
        <v>2970</v>
      </c>
      <c r="F37" s="54">
        <f>F38+F40</f>
        <v>87542.97</v>
      </c>
      <c r="G37" s="17">
        <f>C37+(D37-E37)- F38-F37</f>
        <v>0</v>
      </c>
      <c r="H37" s="80"/>
      <c r="I37" s="80"/>
    </row>
    <row r="38" spans="1:9" x14ac:dyDescent="0.25">
      <c r="A38" s="9">
        <v>1</v>
      </c>
      <c r="B38" s="50" t="s">
        <v>158</v>
      </c>
      <c r="C38" s="52"/>
      <c r="D38" s="54"/>
      <c r="E38" s="79"/>
      <c r="F38" s="62">
        <v>1000</v>
      </c>
      <c r="G38" s="54"/>
      <c r="H38" s="54"/>
      <c r="I38" s="53"/>
    </row>
    <row r="39" spans="1:9" x14ac:dyDescent="0.25">
      <c r="A39" s="9"/>
      <c r="B39" s="10" t="s">
        <v>159</v>
      </c>
      <c r="C39" s="52"/>
      <c r="D39" s="29"/>
      <c r="E39" s="79"/>
      <c r="F39" s="9"/>
      <c r="G39" s="54"/>
      <c r="H39" s="79"/>
      <c r="I39" s="9"/>
    </row>
    <row r="40" spans="1:9" x14ac:dyDescent="0.25">
      <c r="A40" s="9">
        <v>2</v>
      </c>
      <c r="B40" s="8" t="s">
        <v>160</v>
      </c>
      <c r="C40" s="9"/>
      <c r="D40" s="39"/>
      <c r="E40" s="29"/>
      <c r="F40" s="10">
        <v>86542.97</v>
      </c>
      <c r="G40" s="29"/>
      <c r="H40" s="35"/>
      <c r="I40" s="50"/>
    </row>
    <row r="41" spans="1:9" x14ac:dyDescent="0.25">
      <c r="A41" s="62"/>
      <c r="B41" s="74" t="s">
        <v>161</v>
      </c>
      <c r="C41" s="62"/>
      <c r="D41" s="79"/>
      <c r="E41" s="54"/>
      <c r="F41" s="74"/>
      <c r="G41" s="54"/>
      <c r="H41" s="80"/>
      <c r="I41" s="53"/>
    </row>
    <row r="42" spans="1:9" x14ac:dyDescent="0.25">
      <c r="A42" s="1" t="s">
        <v>162</v>
      </c>
      <c r="B42" s="1"/>
      <c r="C42" s="1"/>
      <c r="D42" s="47"/>
      <c r="E42" s="1"/>
      <c r="F42" s="1"/>
      <c r="G42" s="1"/>
      <c r="H42" s="1"/>
      <c r="I42" s="1"/>
    </row>
    <row r="43" spans="1:9" x14ac:dyDescent="0.25">
      <c r="A43" s="6" t="s">
        <v>71</v>
      </c>
      <c r="B43" s="48" t="s">
        <v>72</v>
      </c>
      <c r="C43" s="6" t="s">
        <v>73</v>
      </c>
      <c r="D43" s="48" t="s">
        <v>74</v>
      </c>
      <c r="E43" s="6" t="s">
        <v>163</v>
      </c>
      <c r="F43" s="58" t="s">
        <v>76</v>
      </c>
      <c r="G43" s="6" t="s">
        <v>77</v>
      </c>
      <c r="H43" s="58" t="s">
        <v>78</v>
      </c>
      <c r="I43" s="6" t="s">
        <v>19</v>
      </c>
    </row>
    <row r="44" spans="1:9" x14ac:dyDescent="0.25">
      <c r="A44" s="7"/>
      <c r="B44" s="51" t="s">
        <v>79</v>
      </c>
      <c r="C44" s="7" t="s">
        <v>80</v>
      </c>
      <c r="D44" s="51" t="s">
        <v>81</v>
      </c>
      <c r="E44" s="7"/>
      <c r="F44" s="60" t="s">
        <v>83</v>
      </c>
      <c r="G44" s="7" t="s">
        <v>84</v>
      </c>
      <c r="H44" s="60" t="s">
        <v>85</v>
      </c>
      <c r="I44" s="7" t="s">
        <v>86</v>
      </c>
    </row>
    <row r="45" spans="1:9" x14ac:dyDescent="0.25">
      <c r="A45" s="62"/>
      <c r="B45" s="52"/>
      <c r="C45" s="62"/>
      <c r="D45" s="52"/>
      <c r="E45" s="62" t="s">
        <v>82</v>
      </c>
      <c r="F45" s="74" t="s">
        <v>164</v>
      </c>
      <c r="G45" s="62" t="s">
        <v>165</v>
      </c>
      <c r="H45" s="74"/>
      <c r="I45" s="62" t="s">
        <v>30</v>
      </c>
    </row>
    <row r="46" spans="1:9" x14ac:dyDescent="0.25">
      <c r="A46" s="7" t="s">
        <v>71</v>
      </c>
      <c r="B46" s="51"/>
      <c r="C46" s="60"/>
      <c r="D46" s="8"/>
      <c r="E46" s="9"/>
      <c r="F46" s="10"/>
      <c r="G46" s="9"/>
      <c r="H46" s="74"/>
      <c r="I46" s="9"/>
    </row>
    <row r="47" spans="1:9" x14ac:dyDescent="0.25">
      <c r="A47" s="9">
        <v>1</v>
      </c>
      <c r="B47" s="9" t="s">
        <v>90</v>
      </c>
      <c r="C47" s="41" t="s">
        <v>91</v>
      </c>
      <c r="D47" s="7">
        <v>-29287.200000000001</v>
      </c>
      <c r="E47" s="81">
        <v>329477.65000000002</v>
      </c>
      <c r="F47" s="62">
        <v>328470.52</v>
      </c>
      <c r="G47" s="66">
        <f>E47</f>
        <v>329477.65000000002</v>
      </c>
      <c r="H47" s="62">
        <f>D47+F47-G47</f>
        <v>-30294.330000000016</v>
      </c>
      <c r="I47" s="7">
        <f>H47</f>
        <v>-30294.330000000016</v>
      </c>
    </row>
    <row r="48" spans="1:9" x14ac:dyDescent="0.25">
      <c r="A48" s="9" t="s">
        <v>71</v>
      </c>
      <c r="B48" s="9" t="s">
        <v>166</v>
      </c>
      <c r="C48" s="41" t="s">
        <v>167</v>
      </c>
      <c r="D48" s="9"/>
      <c r="E48" s="9"/>
      <c r="F48" s="9"/>
      <c r="G48" s="10"/>
      <c r="H48" s="9"/>
      <c r="I48" s="6"/>
    </row>
    <row r="49" spans="1:9" x14ac:dyDescent="0.25">
      <c r="A49" s="7">
        <v>2</v>
      </c>
      <c r="B49" s="7" t="s">
        <v>168</v>
      </c>
      <c r="C49" s="1" t="s">
        <v>95</v>
      </c>
      <c r="D49" s="7">
        <v>-81778.06</v>
      </c>
      <c r="E49" s="7">
        <v>556790.32999999996</v>
      </c>
      <c r="F49" s="7">
        <v>538219.29</v>
      </c>
      <c r="G49" s="2">
        <f>E49</f>
        <v>556790.32999999996</v>
      </c>
      <c r="H49" s="7">
        <f>D49+F49-G49</f>
        <v>-100349.09999999992</v>
      </c>
      <c r="I49" s="6">
        <f>H49</f>
        <v>-100349.09999999992</v>
      </c>
    </row>
    <row r="50" spans="1:9" x14ac:dyDescent="0.25">
      <c r="A50" s="9"/>
      <c r="B50" s="9" t="s">
        <v>169</v>
      </c>
      <c r="C50" s="41" t="s">
        <v>93</v>
      </c>
      <c r="D50" s="9"/>
      <c r="E50" s="9"/>
      <c r="F50" s="9"/>
      <c r="G50" s="10"/>
      <c r="H50" s="9"/>
      <c r="I50" s="6"/>
    </row>
    <row r="51" spans="1:9" x14ac:dyDescent="0.25">
      <c r="A51" s="9">
        <v>3</v>
      </c>
      <c r="B51" s="9" t="s">
        <v>98</v>
      </c>
      <c r="C51" s="41" t="s">
        <v>99</v>
      </c>
      <c r="D51" s="9">
        <v>-259638.03</v>
      </c>
      <c r="E51" s="9">
        <v>923800.98</v>
      </c>
      <c r="F51" s="9">
        <v>964760.81</v>
      </c>
      <c r="G51" s="10">
        <f>E51</f>
        <v>923800.98</v>
      </c>
      <c r="H51" s="9">
        <f>D51+F51-G51</f>
        <v>-218678.19999999995</v>
      </c>
      <c r="I51" s="9">
        <f>H51</f>
        <v>-218678.19999999995</v>
      </c>
    </row>
    <row r="52" spans="1:9" x14ac:dyDescent="0.25">
      <c r="A52" s="2"/>
      <c r="B52" s="1" t="s">
        <v>170</v>
      </c>
      <c r="C52" s="1"/>
      <c r="D52" s="1"/>
      <c r="E52" s="1"/>
      <c r="F52" s="1"/>
      <c r="G52" s="1"/>
      <c r="H52" s="1"/>
    </row>
    <row r="53" spans="1:9" x14ac:dyDescent="0.25">
      <c r="A53" s="5" t="s">
        <v>171</v>
      </c>
      <c r="B53" s="1"/>
      <c r="C53" s="1"/>
      <c r="D53" s="1"/>
      <c r="E53" s="1"/>
      <c r="F53" s="1"/>
      <c r="G53" s="1"/>
      <c r="H53" s="1"/>
    </row>
    <row r="54" spans="1:9" x14ac:dyDescent="0.25">
      <c r="A54" s="6" t="s">
        <v>12</v>
      </c>
      <c r="B54" s="6" t="s">
        <v>102</v>
      </c>
      <c r="C54" s="58" t="s">
        <v>103</v>
      </c>
      <c r="D54" s="58"/>
      <c r="E54" s="58"/>
      <c r="F54" s="48" t="s">
        <v>172</v>
      </c>
      <c r="G54" s="58"/>
      <c r="H54" s="49"/>
      <c r="I54" s="49" t="s">
        <v>105</v>
      </c>
    </row>
    <row r="55" spans="1:9" x14ac:dyDescent="0.25">
      <c r="A55" s="7" t="s">
        <v>106</v>
      </c>
      <c r="B55" s="7"/>
      <c r="C55" s="60"/>
      <c r="D55" s="60"/>
      <c r="E55" s="60"/>
      <c r="F55" s="51" t="s">
        <v>173</v>
      </c>
      <c r="G55" s="60"/>
      <c r="H55" s="61"/>
      <c r="I55" s="61" t="s">
        <v>108</v>
      </c>
    </row>
    <row r="56" spans="1:9" x14ac:dyDescent="0.25">
      <c r="A56" s="7"/>
      <c r="B56" s="7"/>
      <c r="C56" s="60"/>
      <c r="D56" s="60"/>
      <c r="E56" s="60"/>
      <c r="F56" s="51" t="s">
        <v>174</v>
      </c>
      <c r="G56" s="60"/>
      <c r="H56" s="61"/>
      <c r="I56" s="61"/>
    </row>
    <row r="57" spans="1:9" x14ac:dyDescent="0.25">
      <c r="A57" s="62"/>
      <c r="B57" s="62"/>
      <c r="C57" s="60"/>
      <c r="D57" s="60"/>
      <c r="E57" s="60"/>
      <c r="F57" s="51"/>
      <c r="G57" s="60"/>
      <c r="H57" s="61"/>
      <c r="I57" s="61"/>
    </row>
    <row r="58" spans="1:9" x14ac:dyDescent="0.25">
      <c r="A58" s="82" t="s">
        <v>110</v>
      </c>
      <c r="B58" s="59"/>
      <c r="C58" s="57" t="s">
        <v>111</v>
      </c>
      <c r="D58" s="68"/>
      <c r="E58" s="72"/>
      <c r="F58" s="58"/>
      <c r="G58" s="58"/>
      <c r="H58" s="49"/>
      <c r="I58" s="6"/>
    </row>
    <row r="59" spans="1:9" x14ac:dyDescent="0.25">
      <c r="A59" s="69"/>
      <c r="B59" s="51"/>
      <c r="C59" s="51" t="s">
        <v>112</v>
      </c>
      <c r="D59" s="60"/>
      <c r="E59" s="61"/>
      <c r="F59" s="60" t="s">
        <v>71</v>
      </c>
      <c r="G59" s="37"/>
      <c r="H59" s="61" t="s">
        <v>71</v>
      </c>
      <c r="I59" s="7" t="s">
        <v>71</v>
      </c>
    </row>
    <row r="60" spans="1:9" x14ac:dyDescent="0.25">
      <c r="A60" s="69" t="s">
        <v>113</v>
      </c>
      <c r="B60" s="83">
        <v>42851</v>
      </c>
      <c r="C60" s="51" t="s">
        <v>175</v>
      </c>
      <c r="D60" s="60"/>
      <c r="E60" s="61"/>
      <c r="F60" s="60"/>
      <c r="G60" s="37">
        <f>I60/4832.15</f>
        <v>1.3658516395393356</v>
      </c>
      <c r="H60" s="71"/>
      <c r="I60" s="7">
        <v>6600</v>
      </c>
    </row>
    <row r="61" spans="1:9" x14ac:dyDescent="0.25">
      <c r="A61" s="69" t="s">
        <v>38</v>
      </c>
      <c r="B61" s="83">
        <v>43010</v>
      </c>
      <c r="C61" s="51" t="s">
        <v>176</v>
      </c>
      <c r="D61" s="60"/>
      <c r="E61" s="61"/>
      <c r="F61" s="60"/>
      <c r="G61" s="37">
        <f>I61/4832.15</f>
        <v>1.5968047349523504</v>
      </c>
      <c r="H61" s="71"/>
      <c r="I61" s="7">
        <v>7716</v>
      </c>
    </row>
    <row r="62" spans="1:9" x14ac:dyDescent="0.25">
      <c r="A62" s="69" t="s">
        <v>40</v>
      </c>
      <c r="B62" s="83">
        <v>43069</v>
      </c>
      <c r="C62" s="51" t="s">
        <v>177</v>
      </c>
      <c r="D62" s="60"/>
      <c r="E62" s="61"/>
      <c r="F62" s="60"/>
      <c r="G62" s="37">
        <f>I62/4832.15</f>
        <v>1.8671647196382564</v>
      </c>
      <c r="H62" s="71"/>
      <c r="I62" s="7">
        <v>9022.42</v>
      </c>
    </row>
    <row r="63" spans="1:9" x14ac:dyDescent="0.25">
      <c r="A63" s="69" t="s">
        <v>42</v>
      </c>
      <c r="B63" s="84">
        <v>2017</v>
      </c>
      <c r="C63" s="51" t="s">
        <v>178</v>
      </c>
      <c r="D63" s="60"/>
      <c r="E63" s="61"/>
      <c r="F63" s="60"/>
      <c r="G63" s="37">
        <f>I63/4832.15</f>
        <v>28.094746644868227</v>
      </c>
      <c r="H63" s="71"/>
      <c r="I63" s="7">
        <v>135758.03</v>
      </c>
    </row>
    <row r="64" spans="1:9" x14ac:dyDescent="0.25">
      <c r="A64" s="69"/>
      <c r="B64" s="84"/>
      <c r="C64" s="51" t="s">
        <v>179</v>
      </c>
      <c r="D64" s="60"/>
      <c r="E64" s="61"/>
      <c r="F64" s="60"/>
      <c r="G64" s="37"/>
      <c r="H64" s="71"/>
      <c r="I64" s="7"/>
    </row>
    <row r="65" spans="1:9" x14ac:dyDescent="0.25">
      <c r="A65" s="69" t="s">
        <v>44</v>
      </c>
      <c r="B65" s="84" t="s">
        <v>180</v>
      </c>
      <c r="C65" s="60" t="s">
        <v>181</v>
      </c>
      <c r="D65" s="60"/>
      <c r="E65" s="60"/>
      <c r="F65" s="60"/>
      <c r="G65" s="37">
        <f>I65/4832.15</f>
        <v>8.6843330608528309</v>
      </c>
      <c r="H65" s="71"/>
      <c r="I65" s="7">
        <v>41964</v>
      </c>
    </row>
    <row r="66" spans="1:9" x14ac:dyDescent="0.25">
      <c r="A66" s="73"/>
      <c r="B66" s="51"/>
      <c r="C66" s="15" t="s">
        <v>118</v>
      </c>
      <c r="D66" s="14"/>
      <c r="E66" s="85"/>
      <c r="F66" s="15"/>
      <c r="G66" s="78">
        <f>SUM(G59:G65)</f>
        <v>41.608900799851</v>
      </c>
      <c r="H66" s="85"/>
      <c r="I66" s="12">
        <f>SUM(I60:I65)</f>
        <v>201060.45</v>
      </c>
    </row>
    <row r="67" spans="1:9" x14ac:dyDescent="0.25">
      <c r="A67" s="49"/>
      <c r="B67" s="6"/>
      <c r="C67" s="48"/>
      <c r="D67" s="58"/>
      <c r="E67" s="58"/>
      <c r="F67" s="60"/>
      <c r="G67" s="60"/>
      <c r="H67" s="61"/>
      <c r="I67" s="6"/>
    </row>
    <row r="68" spans="1:9" x14ac:dyDescent="0.25">
      <c r="A68" s="6" t="s">
        <v>48</v>
      </c>
      <c r="B68" s="25" t="s">
        <v>119</v>
      </c>
      <c r="C68" s="68" t="s">
        <v>120</v>
      </c>
      <c r="D68" s="58"/>
      <c r="E68" s="58"/>
      <c r="F68" s="48" t="s">
        <v>121</v>
      </c>
      <c r="G68" s="86" t="s">
        <v>71</v>
      </c>
      <c r="H68" s="49"/>
      <c r="I68" s="49"/>
    </row>
    <row r="69" spans="1:9" x14ac:dyDescent="0.25">
      <c r="A69" s="69" t="s">
        <v>182</v>
      </c>
      <c r="B69" s="70"/>
      <c r="C69" s="60"/>
      <c r="D69" s="60"/>
      <c r="E69" s="60"/>
      <c r="F69" s="51"/>
      <c r="G69" s="37">
        <f>I69/4868.9</f>
        <v>0</v>
      </c>
      <c r="H69" s="61"/>
      <c r="I69" s="61"/>
    </row>
    <row r="70" spans="1:9" x14ac:dyDescent="0.25">
      <c r="A70" s="73"/>
      <c r="B70" s="87"/>
      <c r="C70" s="14" t="s">
        <v>118</v>
      </c>
      <c r="D70" s="14"/>
      <c r="E70" s="14"/>
      <c r="F70" s="15"/>
      <c r="G70" s="78">
        <f>SUM(G69:G69)</f>
        <v>0</v>
      </c>
      <c r="H70" s="85"/>
      <c r="I70" s="85">
        <f>SUM(I69:I69)</f>
        <v>0</v>
      </c>
    </row>
    <row r="71" spans="1:9" x14ac:dyDescent="0.25">
      <c r="A71" s="2" t="s">
        <v>183</v>
      </c>
      <c r="B71" s="2"/>
      <c r="C71" s="2" t="s">
        <v>71</v>
      </c>
      <c r="D71" s="2" t="s">
        <v>184</v>
      </c>
      <c r="E71" s="2"/>
      <c r="F71" s="2"/>
      <c r="G71" s="2"/>
      <c r="H71" s="2" t="s">
        <v>185</v>
      </c>
      <c r="I71" s="2"/>
    </row>
  </sheetData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13" zoomScale="110" zoomScaleNormal="110" workbookViewId="0">
      <selection activeCell="B23" sqref="B23:B24"/>
    </sheetView>
  </sheetViews>
  <sheetFormatPr defaultRowHeight="15" x14ac:dyDescent="0.25"/>
  <cols>
    <col min="1" max="1" width="5.7109375" style="3" customWidth="1"/>
    <col min="2" max="2" width="35.42578125" style="3" customWidth="1"/>
    <col min="3" max="3" width="15" style="3" customWidth="1"/>
    <col min="4" max="4" width="11.42578125" style="3" customWidth="1"/>
    <col min="5" max="5" width="11.28515625" style="3" customWidth="1"/>
    <col min="6" max="6" width="11.5703125" style="3" customWidth="1"/>
    <col min="7" max="7" width="10.85546875" style="3" customWidth="1"/>
    <col min="8" max="8" width="11.7109375" style="3" customWidth="1"/>
    <col min="9" max="9" width="18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420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421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422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423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62" t="s">
        <v>34</v>
      </c>
    </row>
    <row r="17" spans="1:9" x14ac:dyDescent="0.25">
      <c r="A17" s="8">
        <v>1</v>
      </c>
      <c r="B17" s="9">
        <v>2</v>
      </c>
      <c r="C17" s="58">
        <v>3</v>
      </c>
      <c r="D17" s="9">
        <v>4</v>
      </c>
      <c r="E17" s="58">
        <v>5</v>
      </c>
      <c r="F17" s="6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57" t="s">
        <v>191</v>
      </c>
      <c r="C18" s="25" t="s">
        <v>71</v>
      </c>
      <c r="D18" s="68"/>
      <c r="E18" s="28" t="s">
        <v>71</v>
      </c>
      <c r="F18" s="25" t="s">
        <v>71</v>
      </c>
      <c r="G18" s="68"/>
      <c r="H18" s="25" t="s">
        <v>71</v>
      </c>
      <c r="I18" s="45"/>
    </row>
    <row r="19" spans="1:9" x14ac:dyDescent="0.25">
      <c r="A19" s="15"/>
      <c r="B19" s="15" t="s">
        <v>192</v>
      </c>
      <c r="C19" s="12">
        <v>7.97</v>
      </c>
      <c r="D19" s="17">
        <v>-143548.32</v>
      </c>
      <c r="E19" s="15">
        <v>1199259</v>
      </c>
      <c r="F19" s="12">
        <v>1217461.1100000001</v>
      </c>
      <c r="G19" s="78">
        <f>E19</f>
        <v>1199259</v>
      </c>
      <c r="H19" s="17">
        <f>D19+F19-G19</f>
        <v>-125346.20999999996</v>
      </c>
      <c r="I19" s="17">
        <f>H19+H24</f>
        <v>-123934.56999999996</v>
      </c>
    </row>
    <row r="20" spans="1:9" x14ac:dyDescent="0.25">
      <c r="A20" s="9" t="s">
        <v>36</v>
      </c>
      <c r="B20" s="11" t="s">
        <v>37</v>
      </c>
      <c r="C20" s="41">
        <v>2.62</v>
      </c>
      <c r="D20" s="43" t="s">
        <v>71</v>
      </c>
      <c r="E20" s="33">
        <f>E19*33/100</f>
        <v>395755.47</v>
      </c>
      <c r="F20" s="43">
        <f>F19*33/100</f>
        <v>401762.16630000004</v>
      </c>
      <c r="G20" s="33">
        <f t="shared" ref="G20:G28" si="0">E20</f>
        <v>395755.47</v>
      </c>
      <c r="H20" s="29"/>
      <c r="I20" s="29" t="s">
        <v>71</v>
      </c>
    </row>
    <row r="21" spans="1:9" x14ac:dyDescent="0.25">
      <c r="A21" s="24" t="s">
        <v>38</v>
      </c>
      <c r="B21" s="11" t="s">
        <v>39</v>
      </c>
      <c r="C21" s="68">
        <v>1.33</v>
      </c>
      <c r="D21" s="43"/>
      <c r="E21" s="27">
        <f>E19*17%</f>
        <v>203874.03000000003</v>
      </c>
      <c r="F21" s="45">
        <f>F19*17%</f>
        <v>206968.38870000004</v>
      </c>
      <c r="G21" s="27">
        <f t="shared" si="0"/>
        <v>203874.03000000003</v>
      </c>
      <c r="H21" s="29"/>
      <c r="I21" s="29"/>
    </row>
    <row r="22" spans="1:9" x14ac:dyDescent="0.25">
      <c r="A22" s="24" t="s">
        <v>40</v>
      </c>
      <c r="B22" s="11" t="s">
        <v>41</v>
      </c>
      <c r="C22" s="68">
        <v>1.63</v>
      </c>
      <c r="D22" s="17"/>
      <c r="E22" s="78">
        <f>E19*20%</f>
        <v>239851.80000000002</v>
      </c>
      <c r="F22" s="17">
        <f>F19*20%</f>
        <v>243492.22200000004</v>
      </c>
      <c r="G22" s="78">
        <f t="shared" si="0"/>
        <v>239851.80000000002</v>
      </c>
      <c r="H22" s="54"/>
      <c r="I22" s="54"/>
    </row>
    <row r="23" spans="1:9" x14ac:dyDescent="0.25">
      <c r="A23" s="36" t="s">
        <v>42</v>
      </c>
      <c r="B23" s="11" t="s">
        <v>43</v>
      </c>
      <c r="C23" s="41">
        <v>2.39</v>
      </c>
      <c r="D23" s="43"/>
      <c r="E23" s="33">
        <f>E19*30%</f>
        <v>359777.7</v>
      </c>
      <c r="F23" s="43">
        <f>F19*30/100</f>
        <v>365238.33300000004</v>
      </c>
      <c r="G23" s="33">
        <f t="shared" si="0"/>
        <v>359777.7</v>
      </c>
      <c r="H23" s="29"/>
      <c r="I23" s="29"/>
    </row>
    <row r="24" spans="1:9" x14ac:dyDescent="0.25">
      <c r="A24" s="73" t="s">
        <v>44</v>
      </c>
      <c r="B24" s="62" t="s">
        <v>45</v>
      </c>
      <c r="C24" s="74">
        <v>0.14266000000000001</v>
      </c>
      <c r="D24" s="54"/>
      <c r="E24" s="79">
        <v>12566.11</v>
      </c>
      <c r="F24" s="54">
        <v>13977.75</v>
      </c>
      <c r="G24" s="79">
        <f>E24</f>
        <v>12566.11</v>
      </c>
      <c r="H24" s="54">
        <f>F24-E24</f>
        <v>1411.6399999999994</v>
      </c>
      <c r="I24" s="54"/>
    </row>
    <row r="25" spans="1:9" x14ac:dyDescent="0.25">
      <c r="A25" s="73" t="s">
        <v>46</v>
      </c>
      <c r="B25" s="62" t="s">
        <v>47</v>
      </c>
      <c r="C25" s="74">
        <v>2.5907909999999998</v>
      </c>
      <c r="D25" s="54"/>
      <c r="E25" s="9">
        <v>414898.5</v>
      </c>
      <c r="F25" s="9">
        <v>368119.09</v>
      </c>
      <c r="G25" s="10">
        <f>E25</f>
        <v>414898.5</v>
      </c>
      <c r="H25" s="9">
        <f>F25-E25</f>
        <v>-46779.409999999974</v>
      </c>
      <c r="I25" s="9">
        <f>H25</f>
        <v>-46779.409999999974</v>
      </c>
    </row>
    <row r="26" spans="1:9" x14ac:dyDescent="0.25">
      <c r="A26" s="12" t="s">
        <v>48</v>
      </c>
      <c r="B26" s="12" t="s">
        <v>143</v>
      </c>
      <c r="C26" s="12">
        <v>3.15</v>
      </c>
      <c r="D26" s="17">
        <v>-25345.23</v>
      </c>
      <c r="E26" s="14">
        <v>470960.51</v>
      </c>
      <c r="F26" s="12">
        <v>475695.99</v>
      </c>
      <c r="G26" s="14">
        <f>E26</f>
        <v>470960.51</v>
      </c>
      <c r="H26" s="12">
        <f>D26+F26-G26</f>
        <v>-20609.75</v>
      </c>
      <c r="I26" s="17">
        <f>H26</f>
        <v>-20609.75</v>
      </c>
    </row>
    <row r="27" spans="1:9" x14ac:dyDescent="0.25">
      <c r="A27" s="11" t="s">
        <v>51</v>
      </c>
      <c r="B27" s="11" t="s">
        <v>49</v>
      </c>
      <c r="C27" s="41" t="s">
        <v>50</v>
      </c>
      <c r="D27" s="17">
        <v>-48277.29</v>
      </c>
      <c r="E27" s="11">
        <v>509345.88</v>
      </c>
      <c r="F27" s="11">
        <v>491801.71</v>
      </c>
      <c r="G27" s="41">
        <f t="shared" si="0"/>
        <v>509345.88</v>
      </c>
      <c r="H27" s="12">
        <f>D27+F27-G27</f>
        <v>-65821.459999999963</v>
      </c>
      <c r="I27" s="17">
        <f>H27</f>
        <v>-65821.459999999963</v>
      </c>
    </row>
    <row r="28" spans="1:9" x14ac:dyDescent="0.25">
      <c r="A28" s="11" t="s">
        <v>55</v>
      </c>
      <c r="B28" s="11" t="s">
        <v>194</v>
      </c>
      <c r="C28" s="41">
        <v>0.92</v>
      </c>
      <c r="D28" s="17">
        <v>833.1</v>
      </c>
      <c r="E28" s="11">
        <v>0</v>
      </c>
      <c r="F28" s="25">
        <v>9.09</v>
      </c>
      <c r="G28" s="41">
        <f t="shared" si="0"/>
        <v>0</v>
      </c>
      <c r="H28" s="12">
        <f>D28+F28-G28</f>
        <v>842.19</v>
      </c>
      <c r="I28" s="17"/>
    </row>
    <row r="29" spans="1:9" x14ac:dyDescent="0.25">
      <c r="A29" s="25" t="s">
        <v>59</v>
      </c>
      <c r="B29" s="25" t="s">
        <v>144</v>
      </c>
      <c r="C29" s="14">
        <v>1.82</v>
      </c>
      <c r="D29" s="12">
        <v>724243.56</v>
      </c>
      <c r="E29" s="12">
        <v>273858.96000000002</v>
      </c>
      <c r="F29" s="11">
        <f>F30+F31</f>
        <v>279006.01</v>
      </c>
      <c r="G29" s="14">
        <f>I63</f>
        <v>88849.200000000012</v>
      </c>
      <c r="H29" s="12">
        <f>D29+F29-G29</f>
        <v>914400.37000000011</v>
      </c>
      <c r="I29" s="17"/>
    </row>
    <row r="30" spans="1:9" x14ac:dyDescent="0.25">
      <c r="A30" s="11"/>
      <c r="B30" s="9" t="s">
        <v>149</v>
      </c>
      <c r="C30" s="14"/>
      <c r="D30" s="12"/>
      <c r="E30" s="62">
        <v>0</v>
      </c>
      <c r="F30" s="9">
        <v>279006.01</v>
      </c>
      <c r="G30" s="14">
        <f>G29</f>
        <v>88849.200000000012</v>
      </c>
      <c r="H30" s="12"/>
      <c r="I30" s="17"/>
    </row>
    <row r="31" spans="1:9" x14ac:dyDescent="0.25">
      <c r="A31" s="11"/>
      <c r="B31" s="9" t="s">
        <v>54</v>
      </c>
      <c r="C31" s="14"/>
      <c r="D31" s="12"/>
      <c r="E31" s="74">
        <v>0</v>
      </c>
      <c r="F31" s="9">
        <v>0</v>
      </c>
      <c r="G31" s="14"/>
      <c r="H31" s="12"/>
      <c r="I31" s="17"/>
    </row>
    <row r="32" spans="1:9" x14ac:dyDescent="0.25">
      <c r="A32" s="11" t="s">
        <v>196</v>
      </c>
      <c r="B32" s="11" t="s">
        <v>424</v>
      </c>
      <c r="C32" s="10">
        <v>0</v>
      </c>
      <c r="D32" s="11">
        <v>99.93</v>
      </c>
      <c r="E32" s="41">
        <v>0</v>
      </c>
      <c r="F32" s="11">
        <f>F33</f>
        <v>143.01</v>
      </c>
      <c r="G32" s="41">
        <f>G33</f>
        <v>0</v>
      </c>
      <c r="H32" s="11">
        <f>D32+F32-G32</f>
        <v>242.94</v>
      </c>
      <c r="I32" s="29"/>
    </row>
    <row r="33" spans="1:9" x14ac:dyDescent="0.25">
      <c r="A33" s="9"/>
      <c r="B33" s="9" t="s">
        <v>149</v>
      </c>
      <c r="C33" s="137"/>
      <c r="D33" s="9">
        <v>0</v>
      </c>
      <c r="E33" s="138"/>
      <c r="F33" s="9">
        <v>143.01</v>
      </c>
      <c r="G33" s="10">
        <f>I67</f>
        <v>0</v>
      </c>
      <c r="H33" s="9"/>
      <c r="I33" s="133"/>
    </row>
    <row r="34" spans="1:9" x14ac:dyDescent="0.25">
      <c r="A34" s="1" t="s">
        <v>58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5" t="s">
        <v>197</v>
      </c>
      <c r="B36" s="58" t="s">
        <v>60</v>
      </c>
      <c r="C36" s="6" t="s">
        <v>64</v>
      </c>
      <c r="D36" s="49" t="s">
        <v>62</v>
      </c>
      <c r="E36" s="58" t="s">
        <v>63</v>
      </c>
      <c r="F36" s="6" t="s">
        <v>64</v>
      </c>
      <c r="G36" s="6"/>
      <c r="H36" s="58" t="s">
        <v>199</v>
      </c>
      <c r="I36" s="49"/>
    </row>
    <row r="37" spans="1:9" x14ac:dyDescent="0.25">
      <c r="A37" s="7"/>
      <c r="B37" s="60"/>
      <c r="C37" s="62" t="s">
        <v>66</v>
      </c>
      <c r="D37" s="53" t="s">
        <v>23</v>
      </c>
      <c r="E37" s="74" t="s">
        <v>312</v>
      </c>
      <c r="F37" s="62" t="s">
        <v>30</v>
      </c>
      <c r="G37" s="62"/>
      <c r="H37" s="74"/>
      <c r="I37" s="53"/>
    </row>
    <row r="38" spans="1:9" x14ac:dyDescent="0.25">
      <c r="A38" s="12"/>
      <c r="B38" s="74" t="s">
        <v>68</v>
      </c>
      <c r="C38" s="29">
        <v>27238.5</v>
      </c>
      <c r="D38" s="9">
        <v>13653</v>
      </c>
      <c r="E38" s="79">
        <f>D38*15%</f>
        <v>2047.9499999999998</v>
      </c>
      <c r="F38" s="54">
        <f>C38+(D38-E38)</f>
        <v>38843.550000000003</v>
      </c>
      <c r="G38" s="54"/>
      <c r="H38" s="79">
        <f>F38</f>
        <v>38843.550000000003</v>
      </c>
      <c r="I38" s="53"/>
    </row>
    <row r="39" spans="1:9" x14ac:dyDescent="0.25">
      <c r="A39" s="5" t="s">
        <v>69</v>
      </c>
      <c r="B39" s="60"/>
      <c r="C39" s="60"/>
      <c r="D39" s="60"/>
      <c r="E39" s="60"/>
      <c r="F39" s="60"/>
      <c r="G39" s="60"/>
      <c r="H39" s="60"/>
      <c r="I39" s="60"/>
    </row>
    <row r="40" spans="1:9" x14ac:dyDescent="0.25">
      <c r="A40" s="1" t="s">
        <v>70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6" t="s">
        <v>71</v>
      </c>
      <c r="B41" s="57" t="s">
        <v>72</v>
      </c>
      <c r="C41" s="6" t="s">
        <v>73</v>
      </c>
      <c r="D41" s="48" t="s">
        <v>74</v>
      </c>
      <c r="E41" s="6" t="s">
        <v>75</v>
      </c>
      <c r="F41" s="58" t="s">
        <v>76</v>
      </c>
      <c r="G41" s="6" t="s">
        <v>77</v>
      </c>
      <c r="H41" s="58" t="s">
        <v>78</v>
      </c>
      <c r="I41" s="6" t="s">
        <v>19</v>
      </c>
    </row>
    <row r="42" spans="1:9" x14ac:dyDescent="0.25">
      <c r="A42" s="7"/>
      <c r="B42" s="59" t="s">
        <v>79</v>
      </c>
      <c r="C42" s="7" t="s">
        <v>80</v>
      </c>
      <c r="D42" s="51" t="s">
        <v>81</v>
      </c>
      <c r="E42" s="7" t="s">
        <v>82</v>
      </c>
      <c r="F42" s="60" t="s">
        <v>83</v>
      </c>
      <c r="G42" s="7" t="s">
        <v>425</v>
      </c>
      <c r="H42" s="60" t="s">
        <v>85</v>
      </c>
      <c r="I42" s="7" t="s">
        <v>86</v>
      </c>
    </row>
    <row r="43" spans="1:9" x14ac:dyDescent="0.25">
      <c r="A43" s="7"/>
      <c r="B43" s="51"/>
      <c r="C43" s="7"/>
      <c r="D43" s="51"/>
      <c r="E43" s="7"/>
      <c r="F43" s="60" t="s">
        <v>87</v>
      </c>
      <c r="G43" s="7" t="s">
        <v>88</v>
      </c>
      <c r="H43" s="60"/>
      <c r="I43" s="7" t="s">
        <v>30</v>
      </c>
    </row>
    <row r="44" spans="1:9" x14ac:dyDescent="0.25">
      <c r="A44" s="9"/>
      <c r="B44" s="8"/>
      <c r="C44" s="9"/>
      <c r="D44" s="8"/>
      <c r="E44" s="9"/>
      <c r="F44" s="9"/>
      <c r="G44" s="10"/>
      <c r="H44" s="9"/>
      <c r="I44" s="9"/>
    </row>
    <row r="45" spans="1:9" x14ac:dyDescent="0.25">
      <c r="A45" s="62">
        <v>1</v>
      </c>
      <c r="B45" s="62" t="s">
        <v>90</v>
      </c>
      <c r="C45" s="14" t="s">
        <v>91</v>
      </c>
      <c r="D45" s="7">
        <v>-174463.69</v>
      </c>
      <c r="E45" s="81">
        <v>952944.38</v>
      </c>
      <c r="F45" s="62">
        <v>928235.96</v>
      </c>
      <c r="G45" s="66">
        <f>E45</f>
        <v>952944.38</v>
      </c>
      <c r="H45" s="62">
        <f>D45+F45-G45</f>
        <v>-199172.11</v>
      </c>
      <c r="I45" s="7">
        <f>H45</f>
        <v>-199172.11</v>
      </c>
    </row>
    <row r="46" spans="1:9" x14ac:dyDescent="0.25">
      <c r="A46" s="9" t="s">
        <v>71</v>
      </c>
      <c r="B46" s="9" t="s">
        <v>166</v>
      </c>
      <c r="C46" s="41" t="s">
        <v>93</v>
      </c>
      <c r="D46" s="6"/>
      <c r="E46" s="9"/>
      <c r="F46" s="9"/>
      <c r="G46" s="10"/>
      <c r="H46" s="9"/>
      <c r="I46" s="6"/>
    </row>
    <row r="47" spans="1:9" x14ac:dyDescent="0.25">
      <c r="A47" s="7">
        <v>2</v>
      </c>
      <c r="B47" s="7" t="s">
        <v>94</v>
      </c>
      <c r="C47" s="1" t="s">
        <v>95</v>
      </c>
      <c r="D47" s="6">
        <v>-494022.6</v>
      </c>
      <c r="E47" s="7">
        <v>1551693.29</v>
      </c>
      <c r="F47" s="7">
        <v>1490144.82</v>
      </c>
      <c r="G47" s="2">
        <f>E47</f>
        <v>1551693.29</v>
      </c>
      <c r="H47" s="9">
        <f>D47+F47-G47</f>
        <v>-555571.06999999995</v>
      </c>
      <c r="I47" s="6">
        <f>H47</f>
        <v>-555571.06999999995</v>
      </c>
    </row>
    <row r="48" spans="1:9" x14ac:dyDescent="0.25">
      <c r="A48" s="9"/>
      <c r="B48" s="9" t="s">
        <v>96</v>
      </c>
      <c r="C48" s="41"/>
      <c r="D48" s="6"/>
      <c r="E48" s="9"/>
      <c r="F48" s="9"/>
      <c r="G48" s="10"/>
      <c r="H48" s="9"/>
      <c r="I48" s="6"/>
    </row>
    <row r="49" spans="1:9" x14ac:dyDescent="0.25">
      <c r="A49" s="9"/>
      <c r="B49" s="9" t="s">
        <v>169</v>
      </c>
      <c r="C49" s="41" t="s">
        <v>93</v>
      </c>
      <c r="D49" s="6"/>
      <c r="E49" s="9"/>
      <c r="F49" s="9"/>
      <c r="G49" s="10"/>
      <c r="H49" s="7"/>
      <c r="I49" s="6"/>
    </row>
    <row r="50" spans="1:9" x14ac:dyDescent="0.25">
      <c r="A50" s="9">
        <v>3</v>
      </c>
      <c r="B50" s="9" t="s">
        <v>98</v>
      </c>
      <c r="C50" s="41" t="s">
        <v>99</v>
      </c>
      <c r="D50" s="9">
        <v>-1108213.1200000001</v>
      </c>
      <c r="E50" s="9">
        <v>2800959.88</v>
      </c>
      <c r="F50" s="9">
        <v>2932149.78</v>
      </c>
      <c r="G50" s="10">
        <f>E50</f>
        <v>2800959.88</v>
      </c>
      <c r="H50" s="9">
        <f>D50+F50-G50</f>
        <v>-977023.2200000002</v>
      </c>
      <c r="I50" s="9">
        <f>H50</f>
        <v>-977023.2200000002</v>
      </c>
    </row>
    <row r="51" spans="1:9" x14ac:dyDescent="0.25">
      <c r="A51" s="1" t="s">
        <v>426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427</v>
      </c>
      <c r="B52" s="2"/>
      <c r="C52" s="2"/>
      <c r="D52" s="2"/>
      <c r="E52" s="2"/>
      <c r="F52" s="2"/>
      <c r="G52" s="2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428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429</v>
      </c>
      <c r="G54" s="60"/>
      <c r="H54" s="61"/>
      <c r="I54" s="7" t="s">
        <v>108</v>
      </c>
    </row>
    <row r="55" spans="1:9" x14ac:dyDescent="0.25">
      <c r="A55" s="51"/>
      <c r="B55" s="62"/>
      <c r="C55" s="60"/>
      <c r="D55" s="60"/>
      <c r="E55" s="60"/>
      <c r="F55" s="51" t="s">
        <v>416</v>
      </c>
      <c r="G55" s="60"/>
      <c r="H55" s="61"/>
      <c r="I55" s="7"/>
    </row>
    <row r="56" spans="1:9" x14ac:dyDescent="0.25">
      <c r="A56" s="67" t="s">
        <v>110</v>
      </c>
      <c r="B56" s="18"/>
      <c r="C56" s="68" t="s">
        <v>111</v>
      </c>
      <c r="D56" s="68"/>
      <c r="E56" s="68"/>
      <c r="F56" s="48"/>
      <c r="G56" s="58"/>
      <c r="H56" s="49"/>
      <c r="I56" s="6"/>
    </row>
    <row r="57" spans="1:9" x14ac:dyDescent="0.25">
      <c r="A57" s="69"/>
      <c r="B57" s="7"/>
      <c r="C57" s="60" t="s">
        <v>112</v>
      </c>
      <c r="D57" s="60"/>
      <c r="E57" s="60"/>
      <c r="F57" s="51" t="s">
        <v>71</v>
      </c>
      <c r="G57" s="37" t="s">
        <v>71</v>
      </c>
      <c r="H57" s="61" t="s">
        <v>71</v>
      </c>
      <c r="I57" s="7" t="s">
        <v>71</v>
      </c>
    </row>
    <row r="58" spans="1:9" x14ac:dyDescent="0.25">
      <c r="A58" s="69" t="s">
        <v>113</v>
      </c>
      <c r="B58" s="70">
        <v>42843</v>
      </c>
      <c r="C58" s="60" t="s">
        <v>430</v>
      </c>
      <c r="D58" s="60"/>
      <c r="E58" s="60"/>
      <c r="F58" s="51"/>
      <c r="G58" s="37">
        <f>I58/12559.9</f>
        <v>1.5249492432264589</v>
      </c>
      <c r="H58" s="61"/>
      <c r="I58" s="7">
        <v>19153.21</v>
      </c>
    </row>
    <row r="59" spans="1:9" x14ac:dyDescent="0.25">
      <c r="A59" s="69" t="s">
        <v>38</v>
      </c>
      <c r="B59" s="70">
        <v>42851</v>
      </c>
      <c r="C59" s="60" t="s">
        <v>114</v>
      </c>
      <c r="D59" s="60"/>
      <c r="E59" s="60"/>
      <c r="F59" s="51"/>
      <c r="G59" s="37">
        <f>I59/12559.9</f>
        <v>2.1815460314174477</v>
      </c>
      <c r="H59" s="61"/>
      <c r="I59" s="7">
        <v>27400</v>
      </c>
    </row>
    <row r="60" spans="1:9" x14ac:dyDescent="0.25">
      <c r="A60" s="69" t="s">
        <v>40</v>
      </c>
      <c r="B60" s="70">
        <v>42947</v>
      </c>
      <c r="C60" s="60" t="s">
        <v>431</v>
      </c>
      <c r="D60" s="60"/>
      <c r="E60" s="60"/>
      <c r="F60" s="51"/>
      <c r="G60" s="37">
        <f>I60/12559.9</f>
        <v>0.6645419151426365</v>
      </c>
      <c r="H60" s="61"/>
      <c r="I60" s="7">
        <v>8346.58</v>
      </c>
    </row>
    <row r="61" spans="1:9" x14ac:dyDescent="0.25">
      <c r="A61" s="69" t="s">
        <v>42</v>
      </c>
      <c r="B61" s="70" t="s">
        <v>29</v>
      </c>
      <c r="C61" s="70" t="s">
        <v>432</v>
      </c>
      <c r="D61" s="60"/>
      <c r="E61" s="60"/>
      <c r="F61" s="51"/>
      <c r="G61" s="37">
        <f>I61/12559.9</f>
        <v>1.3758071322223904</v>
      </c>
      <c r="H61" s="61"/>
      <c r="I61" s="7">
        <v>17280</v>
      </c>
    </row>
    <row r="62" spans="1:9" x14ac:dyDescent="0.25">
      <c r="A62" s="69" t="s">
        <v>44</v>
      </c>
      <c r="B62" s="70" t="s">
        <v>433</v>
      </c>
      <c r="C62" s="60" t="s">
        <v>434</v>
      </c>
      <c r="D62" s="60"/>
      <c r="E62" s="60"/>
      <c r="F62" s="51"/>
      <c r="G62" s="37">
        <f>I62/12559.9</f>
        <v>1.3271928916631501</v>
      </c>
      <c r="H62" s="61"/>
      <c r="I62" s="7">
        <v>16669.41</v>
      </c>
    </row>
    <row r="63" spans="1:9" x14ac:dyDescent="0.25">
      <c r="A63" s="69"/>
      <c r="B63" s="7"/>
      <c r="C63" s="139" t="s">
        <v>118</v>
      </c>
      <c r="D63" s="5"/>
      <c r="E63" s="5"/>
      <c r="F63" s="59"/>
      <c r="G63" s="20">
        <f>SUM(G58:G62)</f>
        <v>7.0740372136720833</v>
      </c>
      <c r="H63" s="61"/>
      <c r="I63" s="18">
        <f>SUM(I58:I62)</f>
        <v>88849.200000000012</v>
      </c>
    </row>
    <row r="64" spans="1:9" x14ac:dyDescent="0.25">
      <c r="A64" s="6"/>
      <c r="B64" s="6"/>
      <c r="C64" s="48"/>
      <c r="D64" s="58"/>
      <c r="E64" s="49"/>
      <c r="F64" s="48"/>
      <c r="G64" s="58"/>
      <c r="H64" s="49"/>
      <c r="I64" s="6"/>
    </row>
    <row r="65" spans="1:10" x14ac:dyDescent="0.25">
      <c r="A65" s="6" t="s">
        <v>48</v>
      </c>
      <c r="B65" s="25" t="s">
        <v>119</v>
      </c>
      <c r="C65" s="57" t="s">
        <v>120</v>
      </c>
      <c r="D65" s="58"/>
      <c r="E65" s="49"/>
      <c r="F65" s="48" t="s">
        <v>121</v>
      </c>
      <c r="G65" s="58"/>
      <c r="H65" s="49"/>
      <c r="I65" s="6"/>
    </row>
    <row r="66" spans="1:10" x14ac:dyDescent="0.25">
      <c r="A66" s="69" t="s">
        <v>182</v>
      </c>
      <c r="B66" s="140"/>
      <c r="C66" s="60"/>
      <c r="D66" s="60"/>
      <c r="E66" s="60"/>
      <c r="F66" s="51"/>
      <c r="G66" s="20">
        <f>I66/12527.8</f>
        <v>0</v>
      </c>
      <c r="H66" s="71"/>
      <c r="I66" s="18"/>
    </row>
    <row r="67" spans="1:10" x14ac:dyDescent="0.25">
      <c r="A67" s="73"/>
      <c r="B67" s="62" t="s">
        <v>119</v>
      </c>
      <c r="C67" s="52" t="s">
        <v>118</v>
      </c>
      <c r="D67" s="74"/>
      <c r="E67" s="53"/>
      <c r="F67" s="52" t="s">
        <v>71</v>
      </c>
      <c r="G67" s="78">
        <f>SUM(G66)</f>
        <v>0</v>
      </c>
      <c r="H67" s="85"/>
      <c r="I67" s="12">
        <f>SUM(I66)</f>
        <v>0</v>
      </c>
    </row>
    <row r="68" spans="1:10" x14ac:dyDescent="0.25">
      <c r="A68" s="2" t="s">
        <v>241</v>
      </c>
      <c r="B68" s="2"/>
      <c r="C68" s="2" t="s">
        <v>435</v>
      </c>
      <c r="D68" s="2"/>
      <c r="E68" s="2"/>
      <c r="F68" s="2"/>
      <c r="G68" s="2"/>
      <c r="H68" s="2"/>
      <c r="I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</row>
    <row r="71" spans="1:10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118"/>
    </row>
    <row r="72" spans="1:10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</row>
  </sheetData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zoomScale="110" zoomScaleNormal="110" workbookViewId="0">
      <selection activeCell="B2" sqref="B2"/>
    </sheetView>
  </sheetViews>
  <sheetFormatPr defaultRowHeight="15" x14ac:dyDescent="0.25"/>
  <cols>
    <col min="1" max="1" width="4.7109375" style="3" customWidth="1"/>
    <col min="2" max="2" width="31.140625" style="3" customWidth="1"/>
    <col min="3" max="3" width="15.28515625" style="3" customWidth="1"/>
    <col min="4" max="4" width="11.5703125" style="3" customWidth="1"/>
    <col min="5" max="5" width="11" style="3" customWidth="1"/>
    <col min="6" max="6" width="12.5703125" style="3" customWidth="1"/>
    <col min="7" max="7" width="10.28515625" style="3" customWidth="1"/>
    <col min="8" max="8" width="13.140625" style="3" customWidth="1"/>
    <col min="9" max="9" width="21.28515625" style="3" customWidth="1"/>
    <col min="10" max="16384" width="9.140625" style="3"/>
  </cols>
  <sheetData>
    <row r="1" spans="1:10" x14ac:dyDescent="0.25">
      <c r="A1" s="118"/>
      <c r="B1" s="118"/>
      <c r="C1" s="5"/>
      <c r="D1" s="5"/>
      <c r="E1" s="5"/>
      <c r="F1" s="5"/>
      <c r="G1" s="118"/>
      <c r="H1" s="118"/>
      <c r="I1" s="118"/>
      <c r="J1" s="118"/>
    </row>
    <row r="2" spans="1:10" x14ac:dyDescent="0.25">
      <c r="C2" s="1" t="s">
        <v>436</v>
      </c>
      <c r="D2" s="1"/>
      <c r="E2" s="1"/>
      <c r="F2" s="1"/>
      <c r="J2" s="118"/>
    </row>
    <row r="3" spans="1:10" x14ac:dyDescent="0.25">
      <c r="A3" s="1" t="s">
        <v>437</v>
      </c>
      <c r="B3" s="1"/>
      <c r="C3" s="1"/>
      <c r="D3" s="1"/>
      <c r="E3" s="1"/>
      <c r="F3" s="1"/>
      <c r="G3" s="1"/>
      <c r="H3" s="1"/>
      <c r="I3" s="4"/>
      <c r="J3" s="118"/>
    </row>
    <row r="4" spans="1:10" x14ac:dyDescent="0.25">
      <c r="A4" s="1" t="s">
        <v>2</v>
      </c>
      <c r="B4" s="1"/>
      <c r="C4" s="1"/>
      <c r="D4" s="1"/>
      <c r="E4" s="1"/>
      <c r="F4" s="1"/>
      <c r="G4" s="1"/>
      <c r="H4" s="1"/>
      <c r="I4" s="2"/>
      <c r="J4" s="118"/>
    </row>
    <row r="5" spans="1:10" x14ac:dyDescent="0.25">
      <c r="A5" s="1" t="s">
        <v>3</v>
      </c>
      <c r="B5" s="1"/>
      <c r="C5" s="1"/>
      <c r="D5" s="1"/>
      <c r="E5" s="1"/>
      <c r="F5" s="1"/>
      <c r="G5" s="1"/>
      <c r="H5" s="1"/>
      <c r="I5" s="2"/>
      <c r="J5" s="118"/>
    </row>
    <row r="6" spans="1:10" x14ac:dyDescent="0.25">
      <c r="A6" s="1" t="s">
        <v>4</v>
      </c>
      <c r="B6" s="2"/>
      <c r="C6" s="2"/>
      <c r="D6" s="2"/>
      <c r="E6" s="2"/>
      <c r="F6" s="2"/>
      <c r="G6" s="2"/>
      <c r="H6" s="2"/>
      <c r="I6" s="2"/>
      <c r="J6" s="118"/>
    </row>
    <row r="7" spans="1:10" x14ac:dyDescent="0.25">
      <c r="A7" s="1" t="s">
        <v>438</v>
      </c>
      <c r="B7" s="1"/>
      <c r="C7" s="1"/>
      <c r="D7" s="1"/>
      <c r="E7" s="1"/>
      <c r="F7" s="2"/>
      <c r="G7" s="2"/>
      <c r="H7" s="2"/>
      <c r="I7" s="2"/>
      <c r="J7" s="118"/>
    </row>
    <row r="8" spans="1:10" x14ac:dyDescent="0.25">
      <c r="A8" s="2" t="s">
        <v>439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440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  <c r="J10" s="118"/>
    </row>
    <row r="11" spans="1:10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  <c r="J11" s="118"/>
    </row>
    <row r="12" spans="1:10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  <c r="J12" s="118"/>
    </row>
    <row r="13" spans="1:10" x14ac:dyDescent="0.25">
      <c r="A13" s="5" t="s">
        <v>268</v>
      </c>
      <c r="B13" s="1"/>
      <c r="C13" s="1"/>
      <c r="D13" s="1"/>
      <c r="E13" s="1"/>
      <c r="F13" s="1"/>
      <c r="G13" s="1"/>
      <c r="H13" s="1"/>
      <c r="I13" s="2"/>
      <c r="J13" s="118"/>
    </row>
    <row r="14" spans="1:10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  <c r="J14" s="118"/>
    </row>
    <row r="15" spans="1:10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  <c r="J15" s="118"/>
    </row>
    <row r="16" spans="1:10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  <c r="J16" s="118"/>
    </row>
    <row r="17" spans="1:10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239</v>
      </c>
      <c r="J17" s="118"/>
    </row>
    <row r="18" spans="1:10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  <c r="J18" s="118"/>
    </row>
    <row r="19" spans="1:10" x14ac:dyDescent="0.25">
      <c r="A19" s="57">
        <v>1</v>
      </c>
      <c r="B19" s="25" t="s">
        <v>191</v>
      </c>
      <c r="C19" s="25"/>
      <c r="D19" s="57" t="s">
        <v>71</v>
      </c>
      <c r="E19" s="45"/>
      <c r="F19" s="25" t="s">
        <v>71</v>
      </c>
      <c r="G19" s="25"/>
      <c r="H19" s="57" t="s">
        <v>71</v>
      </c>
      <c r="I19" s="45"/>
      <c r="J19" s="118"/>
    </row>
    <row r="20" spans="1:10" x14ac:dyDescent="0.25">
      <c r="A20" s="15"/>
      <c r="B20" s="12" t="s">
        <v>192</v>
      </c>
      <c r="C20" s="12">
        <v>7.97</v>
      </c>
      <c r="D20" s="17">
        <v>-83153.429999999993</v>
      </c>
      <c r="E20" s="12">
        <v>331593.59999999998</v>
      </c>
      <c r="F20" s="12">
        <v>316288.40000000002</v>
      </c>
      <c r="G20" s="12">
        <f t="shared" ref="G20:G27" si="0">E20</f>
        <v>331593.59999999998</v>
      </c>
      <c r="H20" s="15">
        <f>D20+F20-G20</f>
        <v>-98458.629999999946</v>
      </c>
      <c r="I20" s="17">
        <f>H20</f>
        <v>-98458.629999999946</v>
      </c>
      <c r="J20" s="118"/>
    </row>
    <row r="21" spans="1:10" x14ac:dyDescent="0.25">
      <c r="A21" s="73" t="s">
        <v>113</v>
      </c>
      <c r="B21" s="12" t="s">
        <v>37</v>
      </c>
      <c r="C21" s="14">
        <v>2.62</v>
      </c>
      <c r="D21" s="16"/>
      <c r="E21" s="108">
        <f>E20*33%</f>
        <v>109425.88799999999</v>
      </c>
      <c r="F21" s="17">
        <f>F20*33%</f>
        <v>104375.17200000001</v>
      </c>
      <c r="G21" s="17">
        <f t="shared" si="0"/>
        <v>109425.88799999999</v>
      </c>
      <c r="H21" s="55"/>
      <c r="I21" s="17"/>
      <c r="J21" s="118"/>
    </row>
    <row r="22" spans="1:10" x14ac:dyDescent="0.25">
      <c r="A22" s="24" t="s">
        <v>38</v>
      </c>
      <c r="B22" s="25" t="s">
        <v>39</v>
      </c>
      <c r="C22" s="68">
        <v>1.33</v>
      </c>
      <c r="D22" s="28"/>
      <c r="E22" s="45">
        <f>E20*17%</f>
        <v>56370.911999999997</v>
      </c>
      <c r="F22" s="45">
        <f>F20*17%</f>
        <v>53769.028000000006</v>
      </c>
      <c r="G22" s="45">
        <f t="shared" si="0"/>
        <v>56370.911999999997</v>
      </c>
      <c r="H22" s="105"/>
      <c r="I22" s="17"/>
      <c r="J22" s="118"/>
    </row>
    <row r="23" spans="1:10" x14ac:dyDescent="0.25">
      <c r="A23" s="24" t="s">
        <v>40</v>
      </c>
      <c r="B23" s="25" t="s">
        <v>41</v>
      </c>
      <c r="C23" s="68">
        <v>1.63</v>
      </c>
      <c r="D23" s="109"/>
      <c r="E23" s="45">
        <f>E20*20%</f>
        <v>66318.720000000001</v>
      </c>
      <c r="F23" s="45">
        <f>F20*20%</f>
        <v>63257.680000000008</v>
      </c>
      <c r="G23" s="45">
        <f t="shared" si="0"/>
        <v>66318.720000000001</v>
      </c>
      <c r="H23" s="110"/>
      <c r="I23" s="17"/>
      <c r="J23" s="118"/>
    </row>
    <row r="24" spans="1:10" x14ac:dyDescent="0.25">
      <c r="A24" s="36" t="s">
        <v>42</v>
      </c>
      <c r="B24" s="11" t="s">
        <v>43</v>
      </c>
      <c r="C24" s="41">
        <v>2.39</v>
      </c>
      <c r="D24" s="34"/>
      <c r="E24" s="43">
        <f>E20*30%</f>
        <v>99478.079999999987</v>
      </c>
      <c r="F24" s="43">
        <f>F20*30%</f>
        <v>94886.52</v>
      </c>
      <c r="G24" s="33">
        <f t="shared" si="0"/>
        <v>99478.079999999987</v>
      </c>
      <c r="H24" s="40"/>
      <c r="I24" s="17"/>
      <c r="J24" s="118"/>
    </row>
    <row r="25" spans="1:10" x14ac:dyDescent="0.25">
      <c r="A25" s="36" t="s">
        <v>44</v>
      </c>
      <c r="B25" s="9" t="s">
        <v>441</v>
      </c>
      <c r="C25" s="10">
        <v>0.51680000000000004</v>
      </c>
      <c r="D25" s="40"/>
      <c r="E25" s="29">
        <v>12842.3</v>
      </c>
      <c r="F25" s="29">
        <v>13541.91</v>
      </c>
      <c r="G25" s="39">
        <f t="shared" si="0"/>
        <v>12842.3</v>
      </c>
      <c r="H25" s="40">
        <f>F25-E25</f>
        <v>699.61000000000058</v>
      </c>
      <c r="I25" s="17"/>
      <c r="J25" s="118"/>
    </row>
    <row r="26" spans="1:10" x14ac:dyDescent="0.25">
      <c r="A26" s="36" t="s">
        <v>46</v>
      </c>
      <c r="B26" s="9" t="s">
        <v>47</v>
      </c>
      <c r="C26" s="10">
        <v>0.62758999999999998</v>
      </c>
      <c r="D26" s="9"/>
      <c r="E26" s="10">
        <v>26411.9</v>
      </c>
      <c r="F26" s="9">
        <v>21383.69</v>
      </c>
      <c r="G26" s="10">
        <f t="shared" si="0"/>
        <v>26411.9</v>
      </c>
      <c r="H26" s="8">
        <f>D26+F26-G26</f>
        <v>-5028.2100000000028</v>
      </c>
      <c r="I26" s="9">
        <f>H26</f>
        <v>-5028.2100000000028</v>
      </c>
      <c r="J26" s="118"/>
    </row>
    <row r="27" spans="1:10" x14ac:dyDescent="0.25">
      <c r="A27" s="11" t="s">
        <v>48</v>
      </c>
      <c r="B27" s="11" t="s">
        <v>49</v>
      </c>
      <c r="C27" s="11" t="s">
        <v>50</v>
      </c>
      <c r="D27" s="17">
        <v>-31872.51</v>
      </c>
      <c r="E27" s="11">
        <v>140833.44</v>
      </c>
      <c r="F27" s="11">
        <v>129622.94</v>
      </c>
      <c r="G27" s="41">
        <f t="shared" si="0"/>
        <v>140833.44</v>
      </c>
      <c r="H27" s="42">
        <f>D27+F27-G27</f>
        <v>-43083.009999999995</v>
      </c>
      <c r="I27" s="17">
        <f>H27</f>
        <v>-43083.009999999995</v>
      </c>
      <c r="J27" s="60"/>
    </row>
    <row r="28" spans="1:10" x14ac:dyDescent="0.25">
      <c r="A28" s="25" t="s">
        <v>51</v>
      </c>
      <c r="B28" s="25" t="s">
        <v>216</v>
      </c>
      <c r="C28" s="68"/>
      <c r="D28" s="28"/>
      <c r="E28" s="129"/>
      <c r="F28" s="45"/>
      <c r="G28" s="45"/>
      <c r="H28" s="28"/>
      <c r="I28" s="44"/>
      <c r="J28" s="60"/>
    </row>
    <row r="29" spans="1:10" x14ac:dyDescent="0.25">
      <c r="A29" s="18"/>
      <c r="B29" s="18" t="s">
        <v>217</v>
      </c>
      <c r="C29" s="5">
        <v>1.82</v>
      </c>
      <c r="D29" s="59">
        <v>66523.89</v>
      </c>
      <c r="E29" s="18">
        <v>75721.679999999993</v>
      </c>
      <c r="F29" s="18">
        <v>73855.600000000006</v>
      </c>
      <c r="G29" s="18">
        <f>I60</f>
        <v>184182.63</v>
      </c>
      <c r="H29" s="59">
        <f>D29+F29-G29</f>
        <v>-43803.140000000014</v>
      </c>
      <c r="I29" s="44">
        <f>H29</f>
        <v>-43803.140000000014</v>
      </c>
      <c r="J29" s="118"/>
    </row>
    <row r="30" spans="1:10" x14ac:dyDescent="0.25">
      <c r="A30" s="11"/>
      <c r="B30" s="9" t="s">
        <v>53</v>
      </c>
      <c r="C30" s="41"/>
      <c r="D30" s="42"/>
      <c r="E30" s="11"/>
      <c r="F30" s="11"/>
      <c r="G30" s="41"/>
      <c r="H30" s="42"/>
      <c r="I30" s="43"/>
      <c r="J30" s="118"/>
    </row>
    <row r="31" spans="1:10" x14ac:dyDescent="0.25">
      <c r="A31" s="11" t="s">
        <v>55</v>
      </c>
      <c r="B31" s="11" t="s">
        <v>442</v>
      </c>
      <c r="C31" s="41"/>
      <c r="D31" s="42">
        <v>0</v>
      </c>
      <c r="E31" s="11">
        <f>E32</f>
        <v>0</v>
      </c>
      <c r="F31" s="11">
        <f>F32</f>
        <v>259.14</v>
      </c>
      <c r="G31" s="11">
        <f>I64</f>
        <v>0</v>
      </c>
      <c r="H31" s="42">
        <f>D31+F31</f>
        <v>259.14</v>
      </c>
      <c r="I31" s="43"/>
    </row>
    <row r="32" spans="1:10" x14ac:dyDescent="0.25">
      <c r="A32" s="9"/>
      <c r="B32" s="9" t="s">
        <v>53</v>
      </c>
      <c r="C32" s="10"/>
      <c r="D32" s="8">
        <v>0</v>
      </c>
      <c r="E32" s="9">
        <v>0</v>
      </c>
      <c r="F32" s="9">
        <v>259.14</v>
      </c>
      <c r="G32" s="9">
        <v>0</v>
      </c>
      <c r="H32" s="8"/>
      <c r="I32" s="29"/>
    </row>
    <row r="33" spans="1:9" x14ac:dyDescent="0.25">
      <c r="A33" s="9"/>
      <c r="B33" s="11"/>
      <c r="C33" s="10"/>
      <c r="D33" s="8"/>
      <c r="E33" s="9"/>
      <c r="F33" s="9"/>
      <c r="G33" s="10"/>
      <c r="H33" s="8"/>
      <c r="I33" s="54"/>
    </row>
    <row r="34" spans="1:9" x14ac:dyDescent="0.25">
      <c r="A34" s="1" t="s">
        <v>58</v>
      </c>
      <c r="B34" s="1"/>
      <c r="C34" s="1"/>
      <c r="D34" s="47"/>
      <c r="E34" s="1"/>
      <c r="F34" s="1"/>
      <c r="G34" s="2"/>
      <c r="H34" s="2"/>
      <c r="I34" s="2"/>
    </row>
    <row r="35" spans="1:9" x14ac:dyDescent="0.25">
      <c r="A35" s="25" t="s">
        <v>197</v>
      </c>
      <c r="B35" s="58" t="s">
        <v>60</v>
      </c>
      <c r="C35" s="6" t="s">
        <v>64</v>
      </c>
      <c r="D35" s="49" t="s">
        <v>62</v>
      </c>
      <c r="E35" s="58" t="s">
        <v>63</v>
      </c>
      <c r="F35" s="6" t="s">
        <v>64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66</v>
      </c>
      <c r="D36" s="53" t="s">
        <v>23</v>
      </c>
      <c r="E36" s="74" t="s">
        <v>312</v>
      </c>
      <c r="F36" s="62" t="s">
        <v>30</v>
      </c>
      <c r="G36" s="62"/>
      <c r="H36" s="74"/>
      <c r="I36" s="53"/>
    </row>
    <row r="37" spans="1:9" x14ac:dyDescent="0.25">
      <c r="A37" s="12"/>
      <c r="B37" s="74" t="s">
        <v>68</v>
      </c>
      <c r="C37" s="29">
        <v>11197.5</v>
      </c>
      <c r="D37" s="53">
        <v>5553</v>
      </c>
      <c r="E37" s="79">
        <f>D37*15%</f>
        <v>832.94999999999993</v>
      </c>
      <c r="F37" s="54">
        <f>C37+(D37-E37)</f>
        <v>15917.55</v>
      </c>
      <c r="G37" s="54"/>
      <c r="H37" s="79">
        <f>F37</f>
        <v>15917.55</v>
      </c>
      <c r="I37" s="53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6" t="s">
        <v>71</v>
      </c>
      <c r="B39" s="48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253</v>
      </c>
      <c r="H39" s="58" t="s">
        <v>78</v>
      </c>
      <c r="I39" s="6" t="s">
        <v>19</v>
      </c>
    </row>
    <row r="40" spans="1:9" x14ac:dyDescent="0.25">
      <c r="A40" s="7"/>
      <c r="B40" s="51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7"/>
      <c r="B42" s="51"/>
      <c r="C42" s="7"/>
      <c r="D42" s="60"/>
      <c r="E42" s="7"/>
      <c r="F42" s="60"/>
      <c r="G42" s="62"/>
      <c r="H42" s="60"/>
      <c r="I42" s="7"/>
    </row>
    <row r="43" spans="1:9" x14ac:dyDescent="0.25">
      <c r="A43" s="9">
        <v>1</v>
      </c>
      <c r="B43" s="9" t="s">
        <v>90</v>
      </c>
      <c r="C43" s="41" t="s">
        <v>91</v>
      </c>
      <c r="D43" s="6">
        <v>-177217.47</v>
      </c>
      <c r="E43" s="65">
        <v>327016.14</v>
      </c>
      <c r="F43" s="9">
        <v>308866.40000000002</v>
      </c>
      <c r="G43" s="65">
        <f>E43</f>
        <v>327016.14</v>
      </c>
      <c r="H43" s="9">
        <f>D43+F43-G43</f>
        <v>-195367.21</v>
      </c>
      <c r="I43" s="6">
        <f>H43</f>
        <v>-195367.21</v>
      </c>
    </row>
    <row r="44" spans="1:9" x14ac:dyDescent="0.25">
      <c r="A44" s="62"/>
      <c r="B44" s="62" t="s">
        <v>92</v>
      </c>
      <c r="C44" s="14"/>
      <c r="D44" s="9"/>
      <c r="E44" s="66"/>
      <c r="F44" s="62"/>
      <c r="G44" s="66"/>
      <c r="H44" s="62"/>
      <c r="I44" s="6"/>
    </row>
    <row r="45" spans="1:9" x14ac:dyDescent="0.25">
      <c r="A45" s="7">
        <v>2</v>
      </c>
      <c r="B45" s="7" t="s">
        <v>94</v>
      </c>
      <c r="C45" s="1" t="s">
        <v>95</v>
      </c>
      <c r="D45" s="62">
        <v>-407949.49200000003</v>
      </c>
      <c r="E45" s="2">
        <v>386454.46</v>
      </c>
      <c r="F45" s="7">
        <v>378171.89</v>
      </c>
      <c r="G45" s="2">
        <f>E45</f>
        <v>386454.46</v>
      </c>
      <c r="H45" s="7">
        <f>D45+F45-G45</f>
        <v>-416232.06200000003</v>
      </c>
      <c r="I45" s="9">
        <f>H45</f>
        <v>-416232.06200000003</v>
      </c>
    </row>
    <row r="46" spans="1:9" x14ac:dyDescent="0.25">
      <c r="A46" s="9"/>
      <c r="B46" s="9" t="s">
        <v>96</v>
      </c>
      <c r="C46" s="41"/>
      <c r="D46" s="9" t="s">
        <v>71</v>
      </c>
      <c r="E46" s="10"/>
      <c r="F46" s="9"/>
      <c r="G46" s="10"/>
      <c r="H46" s="6" t="s">
        <v>71</v>
      </c>
      <c r="I46" s="9" t="str">
        <f>H46</f>
        <v xml:space="preserve"> </v>
      </c>
    </row>
    <row r="47" spans="1:9" x14ac:dyDescent="0.25">
      <c r="A47" s="9"/>
      <c r="B47" s="9" t="s">
        <v>313</v>
      </c>
      <c r="C47" s="41"/>
      <c r="D47" s="62"/>
      <c r="E47" s="10"/>
      <c r="F47" s="9"/>
      <c r="G47" s="10"/>
      <c r="H47" s="6"/>
      <c r="I47" s="62"/>
    </row>
    <row r="48" spans="1:9" x14ac:dyDescent="0.25">
      <c r="A48" s="9">
        <v>3</v>
      </c>
      <c r="B48" s="9" t="s">
        <v>98</v>
      </c>
      <c r="C48" s="41" t="s">
        <v>99</v>
      </c>
      <c r="D48" s="62">
        <v>-538479.94999999995</v>
      </c>
      <c r="E48" s="10">
        <v>871184.95</v>
      </c>
      <c r="F48" s="9">
        <v>861997.75</v>
      </c>
      <c r="G48" s="10">
        <f>E48</f>
        <v>871184.95</v>
      </c>
      <c r="H48" s="9">
        <f>D48+F48-G48</f>
        <v>-547667.14999999991</v>
      </c>
      <c r="I48" s="62">
        <f>H48</f>
        <v>-547667.14999999991</v>
      </c>
    </row>
    <row r="49" spans="1:9" x14ac:dyDescent="0.25">
      <c r="A49" s="1" t="s">
        <v>255</v>
      </c>
      <c r="B49" s="1"/>
      <c r="C49" s="1"/>
      <c r="D49" s="1"/>
      <c r="E49" s="1"/>
      <c r="F49" s="1"/>
      <c r="G49" s="1"/>
      <c r="H49" s="1"/>
      <c r="I49" s="2"/>
    </row>
    <row r="50" spans="1:9" x14ac:dyDescent="0.25">
      <c r="A50" s="5" t="s">
        <v>256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398</v>
      </c>
      <c r="G51" s="58"/>
      <c r="H51" s="49"/>
      <c r="I51" s="6" t="s">
        <v>105</v>
      </c>
    </row>
    <row r="52" spans="1:9" x14ac:dyDescent="0.25">
      <c r="A52" s="51" t="s">
        <v>106</v>
      </c>
      <c r="B52" s="7" t="s">
        <v>71</v>
      </c>
      <c r="C52" s="60"/>
      <c r="D52" s="60"/>
      <c r="E52" s="60"/>
      <c r="F52" s="51" t="s">
        <v>443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444</v>
      </c>
      <c r="G53" s="60"/>
      <c r="H53" s="61"/>
      <c r="I53" s="62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7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/>
      <c r="H55" s="61" t="s">
        <v>71</v>
      </c>
      <c r="I55" s="7" t="s">
        <v>71</v>
      </c>
    </row>
    <row r="56" spans="1:9" x14ac:dyDescent="0.25">
      <c r="A56" s="69" t="s">
        <v>113</v>
      </c>
      <c r="B56" s="70">
        <v>42825</v>
      </c>
      <c r="C56" s="60" t="s">
        <v>445</v>
      </c>
      <c r="D56" s="60"/>
      <c r="E56" s="60"/>
      <c r="F56" s="51"/>
      <c r="G56" s="37">
        <f>I56/3467.1</f>
        <v>1.4851172449597647</v>
      </c>
      <c r="H56" s="61"/>
      <c r="I56" s="7">
        <v>5149.05</v>
      </c>
    </row>
    <row r="57" spans="1:9" x14ac:dyDescent="0.25">
      <c r="A57" s="69" t="s">
        <v>38</v>
      </c>
      <c r="B57" s="70">
        <v>42851</v>
      </c>
      <c r="C57" s="60" t="s">
        <v>446</v>
      </c>
      <c r="D57" s="60"/>
      <c r="E57" s="60"/>
      <c r="F57" s="51"/>
      <c r="G57" s="37">
        <f>I57/3467.1</f>
        <v>9.4603559170488314</v>
      </c>
      <c r="H57" s="61"/>
      <c r="I57" s="7">
        <v>32800</v>
      </c>
    </row>
    <row r="58" spans="1:9" x14ac:dyDescent="0.25">
      <c r="A58" s="69" t="s">
        <v>40</v>
      </c>
      <c r="B58" s="69" t="s">
        <v>447</v>
      </c>
      <c r="C58" s="60" t="s">
        <v>354</v>
      </c>
      <c r="D58" s="60"/>
      <c r="E58" s="60"/>
      <c r="F58" s="51"/>
      <c r="G58" s="37">
        <f>I58/3467.1</f>
        <v>2.9825416053762512</v>
      </c>
      <c r="H58" s="61"/>
      <c r="I58" s="7">
        <v>10340.77</v>
      </c>
    </row>
    <row r="59" spans="1:9" x14ac:dyDescent="0.25">
      <c r="A59" s="69" t="s">
        <v>42</v>
      </c>
      <c r="B59" s="69" t="s">
        <v>448</v>
      </c>
      <c r="C59" s="60" t="s">
        <v>449</v>
      </c>
      <c r="D59" s="60"/>
      <c r="E59" s="60"/>
      <c r="F59" s="51"/>
      <c r="G59" s="37">
        <f>I59/3467.1</f>
        <v>39.194949669752823</v>
      </c>
      <c r="H59" s="61"/>
      <c r="I59" s="7">
        <v>135892.81</v>
      </c>
    </row>
    <row r="60" spans="1:9" x14ac:dyDescent="0.25">
      <c r="A60" s="69"/>
      <c r="B60" s="7"/>
      <c r="C60" s="5" t="s">
        <v>118</v>
      </c>
      <c r="D60" s="5"/>
      <c r="E60" s="5"/>
      <c r="F60" s="59"/>
      <c r="G60" s="20">
        <f>SUM(G55:G59)</f>
        <v>53.122964437137668</v>
      </c>
      <c r="H60" s="71"/>
      <c r="I60" s="18">
        <f>SUM(I56:I59)</f>
        <v>184182.63</v>
      </c>
    </row>
    <row r="61" spans="1:9" x14ac:dyDescent="0.25">
      <c r="A61" s="6"/>
      <c r="B61" s="6"/>
      <c r="C61" s="48"/>
      <c r="D61" s="58"/>
      <c r="E61" s="49"/>
      <c r="F61" s="48"/>
      <c r="G61" s="58"/>
      <c r="H61" s="49"/>
      <c r="I61" s="6"/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58"/>
      <c r="F62" s="48" t="s">
        <v>121</v>
      </c>
      <c r="G62" s="86"/>
      <c r="H62" s="49"/>
      <c r="I62" s="49"/>
    </row>
    <row r="63" spans="1:9" x14ac:dyDescent="0.25">
      <c r="A63" s="69" t="s">
        <v>182</v>
      </c>
      <c r="B63" s="70"/>
      <c r="C63" s="51"/>
      <c r="D63" s="60"/>
      <c r="E63" s="5"/>
      <c r="F63" s="51"/>
      <c r="G63" s="37"/>
      <c r="H63" s="61"/>
      <c r="I63" s="61"/>
    </row>
    <row r="64" spans="1:9" x14ac:dyDescent="0.25">
      <c r="A64" s="73"/>
      <c r="B64" s="62" t="s">
        <v>119</v>
      </c>
      <c r="C64" s="52" t="s">
        <v>118</v>
      </c>
      <c r="D64" s="74"/>
      <c r="E64" s="74"/>
      <c r="F64" s="52" t="s">
        <v>71</v>
      </c>
      <c r="G64" s="79">
        <f>I64/3467.1</f>
        <v>0</v>
      </c>
      <c r="H64" s="53"/>
      <c r="I64" s="53">
        <f>SUM(I62:I63)</f>
        <v>0</v>
      </c>
    </row>
    <row r="65" spans="1:9" x14ac:dyDescent="0.25">
      <c r="A65" s="2" t="s">
        <v>450</v>
      </c>
      <c r="B65" s="2"/>
      <c r="C65" s="2" t="s">
        <v>451</v>
      </c>
      <c r="D65" s="114" t="s">
        <v>123</v>
      </c>
      <c r="F65" s="2" t="s">
        <v>124</v>
      </c>
      <c r="G65" s="2" t="s">
        <v>262</v>
      </c>
      <c r="H65" s="2"/>
      <c r="I65" s="2" t="s">
        <v>263</v>
      </c>
    </row>
    <row r="66" spans="1:9" x14ac:dyDescent="0.25">
      <c r="A66" s="2"/>
      <c r="B66" s="2"/>
    </row>
    <row r="67" spans="1:9" x14ac:dyDescent="0.25">
      <c r="A67" s="2"/>
      <c r="B67" s="2"/>
      <c r="C67" s="2"/>
      <c r="D67" s="2"/>
    </row>
  </sheetData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="110" zoomScaleNormal="110" workbookViewId="0">
      <selection activeCell="B23" sqref="B23:B24"/>
    </sheetView>
  </sheetViews>
  <sheetFormatPr defaultRowHeight="15" x14ac:dyDescent="0.25"/>
  <cols>
    <col min="1" max="1" width="5.28515625" style="3" customWidth="1"/>
    <col min="2" max="2" width="33.140625" style="3" customWidth="1"/>
    <col min="3" max="4" width="13.140625" style="3" customWidth="1"/>
    <col min="5" max="6" width="9.140625" style="3"/>
    <col min="7" max="7" width="11.28515625" style="3" customWidth="1"/>
    <col min="8" max="8" width="13.140625" style="3" customWidth="1"/>
    <col min="9" max="9" width="18.8554687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118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4"/>
      <c r="J2" s="11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2"/>
      <c r="J3" s="118"/>
    </row>
    <row r="4" spans="1:10" x14ac:dyDescent="0.25">
      <c r="A4" s="1" t="s">
        <v>452</v>
      </c>
      <c r="B4" s="1"/>
      <c r="C4" s="1"/>
      <c r="D4" s="1"/>
      <c r="E4" s="1"/>
      <c r="F4" s="1"/>
      <c r="G4" s="1"/>
      <c r="H4" s="1"/>
      <c r="I4" s="2"/>
      <c r="J4" s="118"/>
    </row>
    <row r="5" spans="1:10" x14ac:dyDescent="0.25">
      <c r="A5" s="1" t="s">
        <v>4</v>
      </c>
      <c r="B5" s="1"/>
      <c r="C5" s="1"/>
      <c r="D5" s="1"/>
      <c r="E5" s="1"/>
      <c r="F5" s="1"/>
      <c r="G5" s="1"/>
      <c r="H5" s="1"/>
      <c r="I5" s="2"/>
      <c r="J5" s="118"/>
    </row>
    <row r="6" spans="1:10" x14ac:dyDescent="0.25">
      <c r="A6" s="1" t="s">
        <v>453</v>
      </c>
      <c r="B6" s="1"/>
      <c r="C6" s="1"/>
      <c r="D6" s="1"/>
      <c r="E6" s="1"/>
      <c r="F6" s="2"/>
      <c r="G6" s="2"/>
      <c r="H6" s="1"/>
      <c r="I6" s="2"/>
      <c r="J6" s="118"/>
    </row>
    <row r="7" spans="1:10" x14ac:dyDescent="0.25">
      <c r="A7" s="2" t="s">
        <v>454</v>
      </c>
      <c r="B7" s="2"/>
      <c r="C7" s="2"/>
      <c r="D7" s="2"/>
      <c r="E7" s="2"/>
      <c r="F7" s="2"/>
      <c r="G7" s="2"/>
      <c r="H7" s="2"/>
      <c r="I7" s="2"/>
      <c r="J7" s="118"/>
    </row>
    <row r="8" spans="1:10" x14ac:dyDescent="0.25">
      <c r="A8" s="2" t="s">
        <v>455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456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18"/>
    </row>
    <row r="11" spans="1:10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18"/>
    </row>
    <row r="12" spans="1:10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  <c r="J12" s="118"/>
    </row>
    <row r="13" spans="1:10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  <c r="J13" s="118"/>
    </row>
    <row r="14" spans="1:10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  <c r="J14" s="118"/>
    </row>
    <row r="15" spans="1:10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  <c r="J15" s="118"/>
    </row>
    <row r="16" spans="1:10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  <c r="J16" s="118"/>
    </row>
    <row r="17" spans="1:10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50">
        <v>9</v>
      </c>
      <c r="J17" s="118"/>
    </row>
    <row r="18" spans="1:10" x14ac:dyDescent="0.25">
      <c r="A18" s="15">
        <v>1</v>
      </c>
      <c r="B18" s="12" t="s">
        <v>323</v>
      </c>
      <c r="C18" s="14">
        <v>7.56</v>
      </c>
      <c r="D18" s="17">
        <v>-28681.63</v>
      </c>
      <c r="E18" s="14">
        <v>307398.28000000003</v>
      </c>
      <c r="F18" s="12">
        <v>306185.59000000003</v>
      </c>
      <c r="G18" s="14">
        <f>E18</f>
        <v>307398.28000000003</v>
      </c>
      <c r="H18" s="17">
        <f>D18+F18-G18</f>
        <v>-29894.320000000007</v>
      </c>
      <c r="I18" s="17">
        <f>H18</f>
        <v>-29894.320000000007</v>
      </c>
      <c r="J18" s="118"/>
    </row>
    <row r="19" spans="1:10" x14ac:dyDescent="0.25">
      <c r="A19" s="18" t="s">
        <v>36</v>
      </c>
      <c r="B19" s="18" t="s">
        <v>457</v>
      </c>
      <c r="C19" s="5"/>
      <c r="D19" s="44"/>
      <c r="E19" s="5"/>
      <c r="F19" s="44"/>
      <c r="G19" s="59"/>
      <c r="H19" s="22"/>
      <c r="I19" s="22"/>
      <c r="J19" s="118"/>
    </row>
    <row r="20" spans="1:10" x14ac:dyDescent="0.25">
      <c r="A20" s="12"/>
      <c r="B20" s="12" t="s">
        <v>458</v>
      </c>
      <c r="C20" s="78">
        <v>2.62</v>
      </c>
      <c r="D20" s="17"/>
      <c r="E20" s="78">
        <f>E18*34.5%</f>
        <v>106052.4066</v>
      </c>
      <c r="F20" s="17">
        <f>F18*34.5%</f>
        <v>105634.02855</v>
      </c>
      <c r="G20" s="16">
        <f t="shared" ref="G20:G25" si="0">E20</f>
        <v>106052.4066</v>
      </c>
      <c r="H20" s="54"/>
      <c r="I20" s="54"/>
      <c r="J20" s="118"/>
    </row>
    <row r="21" spans="1:10" x14ac:dyDescent="0.25">
      <c r="A21" s="101" t="s">
        <v>38</v>
      </c>
      <c r="B21" s="11" t="s">
        <v>295</v>
      </c>
      <c r="C21" s="32">
        <v>1.33</v>
      </c>
      <c r="D21" s="44"/>
      <c r="E21" s="20">
        <f>E18*18%</f>
        <v>55331.690399999999</v>
      </c>
      <c r="F21" s="44">
        <f>F18*18%</f>
        <v>55113.406200000005</v>
      </c>
      <c r="G21" s="45">
        <f t="shared" si="0"/>
        <v>55331.690399999999</v>
      </c>
      <c r="H21" s="22"/>
      <c r="I21" s="22"/>
      <c r="J21" s="118"/>
    </row>
    <row r="22" spans="1:10" x14ac:dyDescent="0.25">
      <c r="A22" s="31" t="s">
        <v>40</v>
      </c>
      <c r="B22" s="25" t="s">
        <v>41</v>
      </c>
      <c r="C22" s="27">
        <v>1.22</v>
      </c>
      <c r="D22" s="43"/>
      <c r="E22" s="33">
        <f>E18*16%</f>
        <v>49183.724800000004</v>
      </c>
      <c r="F22" s="43">
        <f>F18*16%</f>
        <v>48989.694400000008</v>
      </c>
      <c r="G22" s="34">
        <f t="shared" si="0"/>
        <v>49183.724800000004</v>
      </c>
      <c r="H22" s="29"/>
      <c r="I22" s="29"/>
      <c r="J22" s="118"/>
    </row>
    <row r="23" spans="1:10" x14ac:dyDescent="0.25">
      <c r="A23" s="24" t="s">
        <v>42</v>
      </c>
      <c r="B23" s="25" t="s">
        <v>43</v>
      </c>
      <c r="C23" s="27">
        <v>2.39</v>
      </c>
      <c r="D23" s="43"/>
      <c r="E23" s="33">
        <f>E18*31.5%</f>
        <v>96830.458200000008</v>
      </c>
      <c r="F23" s="43">
        <f>F18*31.5%</f>
        <v>96448.460850000003</v>
      </c>
      <c r="G23" s="33">
        <f t="shared" si="0"/>
        <v>96830.458200000008</v>
      </c>
      <c r="H23" s="29"/>
      <c r="I23" s="29"/>
      <c r="J23" s="118"/>
    </row>
    <row r="24" spans="1:10" x14ac:dyDescent="0.25">
      <c r="A24" s="24" t="s">
        <v>44</v>
      </c>
      <c r="B24" s="6" t="s">
        <v>47</v>
      </c>
      <c r="C24" s="106">
        <v>0.57969000000000004</v>
      </c>
      <c r="D24" s="7"/>
      <c r="E24" s="60">
        <v>24487.52</v>
      </c>
      <c r="F24" s="7">
        <v>20291.759999999998</v>
      </c>
      <c r="G24" s="60">
        <f t="shared" si="0"/>
        <v>24487.52</v>
      </c>
      <c r="H24" s="7">
        <f>D24+F24-G24</f>
        <v>-4195.760000000002</v>
      </c>
      <c r="I24" s="7">
        <f>H24</f>
        <v>-4195.760000000002</v>
      </c>
      <c r="J24" s="118"/>
    </row>
    <row r="25" spans="1:10" x14ac:dyDescent="0.25">
      <c r="A25" s="11" t="s">
        <v>48</v>
      </c>
      <c r="B25" s="11" t="s">
        <v>49</v>
      </c>
      <c r="C25" s="41" t="s">
        <v>50</v>
      </c>
      <c r="D25" s="43">
        <v>-14793.57</v>
      </c>
      <c r="E25" s="41">
        <v>137620.53</v>
      </c>
      <c r="F25" s="11">
        <v>130424.71</v>
      </c>
      <c r="G25" s="41">
        <f t="shared" si="0"/>
        <v>137620.53</v>
      </c>
      <c r="H25" s="43">
        <f>D25+F25-G25</f>
        <v>-21989.389999999985</v>
      </c>
      <c r="I25" s="43">
        <f>H25</f>
        <v>-21989.389999999985</v>
      </c>
      <c r="J25" s="118"/>
    </row>
    <row r="26" spans="1:10" x14ac:dyDescent="0.25">
      <c r="A26" s="25" t="s">
        <v>51</v>
      </c>
      <c r="B26" s="25" t="s">
        <v>459</v>
      </c>
      <c r="C26" s="5">
        <v>1.65</v>
      </c>
      <c r="D26" s="44">
        <v>45329.58</v>
      </c>
      <c r="E26" s="1">
        <v>67100.44</v>
      </c>
      <c r="F26" s="11">
        <f>F27+F28</f>
        <v>68632.86</v>
      </c>
      <c r="G26" s="1">
        <f>I54</f>
        <v>20400</v>
      </c>
      <c r="H26" s="44">
        <f>D26+F26-G26</f>
        <v>93562.44</v>
      </c>
      <c r="I26" s="18"/>
      <c r="J26" s="118"/>
    </row>
    <row r="27" spans="1:10" x14ac:dyDescent="0.25">
      <c r="A27" s="25"/>
      <c r="B27" s="9" t="s">
        <v>53</v>
      </c>
      <c r="C27" s="42"/>
      <c r="D27" s="11"/>
      <c r="E27" s="41"/>
      <c r="F27" s="18">
        <v>66947.38</v>
      </c>
      <c r="G27" s="41"/>
      <c r="H27" s="43"/>
      <c r="I27" s="11"/>
      <c r="J27" s="118"/>
    </row>
    <row r="28" spans="1:10" x14ac:dyDescent="0.25">
      <c r="A28" s="25"/>
      <c r="B28" s="9" t="s">
        <v>54</v>
      </c>
      <c r="C28" s="5"/>
      <c r="D28" s="18"/>
      <c r="E28" s="1"/>
      <c r="F28" s="11">
        <v>1685.48</v>
      </c>
      <c r="G28" s="1"/>
      <c r="H28" s="44"/>
      <c r="I28" s="18"/>
    </row>
    <row r="29" spans="1:10" x14ac:dyDescent="0.25">
      <c r="A29" s="11" t="s">
        <v>55</v>
      </c>
      <c r="B29" s="11" t="s">
        <v>146</v>
      </c>
      <c r="C29" s="41"/>
      <c r="D29" s="11"/>
      <c r="E29" s="41"/>
      <c r="F29" s="11"/>
      <c r="G29" s="41" t="s">
        <v>147</v>
      </c>
      <c r="H29" s="11" t="s">
        <v>71</v>
      </c>
      <c r="I29" s="11"/>
    </row>
    <row r="30" spans="1:10" x14ac:dyDescent="0.25">
      <c r="A30" s="11"/>
      <c r="B30" s="11" t="s">
        <v>148</v>
      </c>
      <c r="C30" s="33">
        <v>0</v>
      </c>
      <c r="D30" s="11">
        <v>-35365.589999999997</v>
      </c>
      <c r="E30" s="42"/>
      <c r="F30" s="11">
        <f>F31</f>
        <v>0</v>
      </c>
      <c r="G30" s="41">
        <f>G31</f>
        <v>0</v>
      </c>
      <c r="H30" s="11">
        <f>D30+F30-G30</f>
        <v>-35365.589999999997</v>
      </c>
      <c r="I30" s="11">
        <f>H30</f>
        <v>-35365.589999999997</v>
      </c>
    </row>
    <row r="31" spans="1:10" x14ac:dyDescent="0.25">
      <c r="A31" s="9"/>
      <c r="B31" s="9" t="s">
        <v>53</v>
      </c>
      <c r="C31" s="10">
        <v>0</v>
      </c>
      <c r="D31" s="11"/>
      <c r="E31" s="10">
        <v>0</v>
      </c>
      <c r="F31" s="9">
        <v>0</v>
      </c>
      <c r="G31" s="10">
        <f>I58</f>
        <v>0</v>
      </c>
      <c r="H31" s="11"/>
      <c r="I31" s="9"/>
    </row>
    <row r="32" spans="1:10" x14ac:dyDescent="0.25">
      <c r="A32" s="1" t="s">
        <v>58</v>
      </c>
      <c r="B32" s="1"/>
      <c r="C32" s="1"/>
      <c r="D32" s="47"/>
      <c r="E32" s="1"/>
      <c r="F32" s="1"/>
      <c r="G32" s="2"/>
      <c r="H32" s="2"/>
      <c r="I32" s="2"/>
    </row>
    <row r="33" spans="1:9" x14ac:dyDescent="0.25">
      <c r="A33" s="1"/>
      <c r="B33" s="1"/>
      <c r="C33" s="1"/>
      <c r="D33" s="47"/>
      <c r="E33" s="1"/>
      <c r="F33" s="1"/>
      <c r="G33" s="2"/>
      <c r="H33" s="2"/>
      <c r="I33" s="2"/>
    </row>
    <row r="34" spans="1:9" x14ac:dyDescent="0.25">
      <c r="A34" s="25" t="s">
        <v>59</v>
      </c>
      <c r="B34" s="58" t="s">
        <v>60</v>
      </c>
      <c r="C34" s="6" t="s">
        <v>64</v>
      </c>
      <c r="D34" s="49" t="s">
        <v>62</v>
      </c>
      <c r="E34" s="58" t="s">
        <v>63</v>
      </c>
      <c r="F34" s="6" t="s">
        <v>64</v>
      </c>
      <c r="G34" s="6"/>
      <c r="H34" s="58" t="s">
        <v>199</v>
      </c>
      <c r="I34" s="49"/>
    </row>
    <row r="35" spans="1:9" x14ac:dyDescent="0.25">
      <c r="A35" s="7"/>
      <c r="B35" s="60"/>
      <c r="C35" s="7" t="s">
        <v>66</v>
      </c>
      <c r="D35" s="53" t="s">
        <v>23</v>
      </c>
      <c r="E35" s="74" t="s">
        <v>312</v>
      </c>
      <c r="F35" s="62" t="s">
        <v>30</v>
      </c>
      <c r="G35" s="62"/>
      <c r="H35" s="74"/>
      <c r="I35" s="53"/>
    </row>
    <row r="36" spans="1:9" x14ac:dyDescent="0.25">
      <c r="A36" s="12"/>
      <c r="B36" s="74" t="s">
        <v>68</v>
      </c>
      <c r="C36" s="29">
        <v>10900.5</v>
      </c>
      <c r="D36" s="53">
        <v>5553</v>
      </c>
      <c r="E36" s="79">
        <f>D36*15%</f>
        <v>832.94999999999993</v>
      </c>
      <c r="F36" s="54">
        <f>C36+(D36-E36)</f>
        <v>15620.55</v>
      </c>
      <c r="G36" s="54"/>
      <c r="H36" s="79">
        <f>F36</f>
        <v>15620.55</v>
      </c>
      <c r="I36" s="53"/>
    </row>
    <row r="37" spans="1:9" x14ac:dyDescent="0.25">
      <c r="A37" s="5" t="s">
        <v>69</v>
      </c>
      <c r="B37" s="51"/>
      <c r="C37" s="60"/>
      <c r="D37" s="60"/>
      <c r="E37" s="61"/>
      <c r="F37" s="60"/>
      <c r="G37" s="61"/>
      <c r="H37" s="60"/>
      <c r="I37" s="60"/>
    </row>
    <row r="38" spans="1:9" x14ac:dyDescent="0.25">
      <c r="A38" s="1" t="s">
        <v>70</v>
      </c>
      <c r="B38" s="51"/>
      <c r="C38" s="60"/>
      <c r="D38" s="60"/>
      <c r="E38" s="60"/>
      <c r="F38" s="60"/>
      <c r="G38" s="60"/>
      <c r="H38" s="60"/>
      <c r="I38" s="2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49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1" t="s">
        <v>85</v>
      </c>
      <c r="I40" s="7" t="s">
        <v>86</v>
      </c>
    </row>
    <row r="41" spans="1:9" x14ac:dyDescent="0.25">
      <c r="A41" s="62"/>
      <c r="B41" s="52"/>
      <c r="C41" s="62"/>
      <c r="D41" s="74"/>
      <c r="E41" s="62"/>
      <c r="F41" s="74" t="s">
        <v>87</v>
      </c>
      <c r="G41" s="62" t="s">
        <v>88</v>
      </c>
      <c r="H41" s="53"/>
      <c r="I41" s="62" t="s">
        <v>157</v>
      </c>
    </row>
    <row r="42" spans="1:9" x14ac:dyDescent="0.25">
      <c r="A42" s="9">
        <v>1</v>
      </c>
      <c r="B42" s="9" t="s">
        <v>90</v>
      </c>
      <c r="C42" s="14" t="s">
        <v>91</v>
      </c>
      <c r="D42" s="22">
        <v>13577.24</v>
      </c>
      <c r="E42" s="65">
        <v>411366.15</v>
      </c>
      <c r="F42" s="9">
        <v>402663.13</v>
      </c>
      <c r="G42" s="65">
        <f>E42</f>
        <v>411366.15</v>
      </c>
      <c r="H42" s="29">
        <f>D42+F42-G42</f>
        <v>4874.2199999999721</v>
      </c>
      <c r="I42" s="22"/>
    </row>
    <row r="43" spans="1:9" x14ac:dyDescent="0.25">
      <c r="A43" s="9" t="s">
        <v>71</v>
      </c>
      <c r="B43" s="9" t="s">
        <v>412</v>
      </c>
      <c r="C43" s="41" t="s">
        <v>167</v>
      </c>
      <c r="D43" s="9"/>
      <c r="E43" s="10"/>
      <c r="F43" s="9"/>
      <c r="G43" s="10"/>
      <c r="H43" s="9"/>
      <c r="I43" s="9"/>
    </row>
    <row r="44" spans="1:9" x14ac:dyDescent="0.25">
      <c r="A44" s="9">
        <v>2</v>
      </c>
      <c r="B44" s="9" t="s">
        <v>98</v>
      </c>
      <c r="C44" s="41" t="s">
        <v>203</v>
      </c>
      <c r="D44" s="9">
        <v>-234081.33</v>
      </c>
      <c r="E44" s="10">
        <v>0</v>
      </c>
      <c r="F44" s="9">
        <v>0</v>
      </c>
      <c r="G44" s="10">
        <f>E44</f>
        <v>0</v>
      </c>
      <c r="H44" s="29">
        <f>D44+F44-G44</f>
        <v>-234081.33</v>
      </c>
      <c r="I44" s="9">
        <f>H44</f>
        <v>-234081.33</v>
      </c>
    </row>
    <row r="45" spans="1:9" x14ac:dyDescent="0.25">
      <c r="A45" s="1" t="s">
        <v>397</v>
      </c>
      <c r="B45" s="1"/>
      <c r="C45" s="1"/>
      <c r="D45" s="1"/>
      <c r="E45" s="1"/>
      <c r="F45" s="1"/>
      <c r="G45" s="1"/>
      <c r="H45" s="1"/>
      <c r="I45" s="2"/>
    </row>
    <row r="46" spans="1:9" x14ac:dyDescent="0.25">
      <c r="A46" s="5" t="s">
        <v>220</v>
      </c>
      <c r="B46" s="1"/>
      <c r="C46" s="1"/>
      <c r="D46" s="1"/>
      <c r="E46" s="1"/>
      <c r="F46" s="1"/>
      <c r="G46" s="1"/>
      <c r="H46" s="1"/>
      <c r="I46" s="2"/>
    </row>
    <row r="47" spans="1:9" x14ac:dyDescent="0.25">
      <c r="A47" s="48" t="s">
        <v>12</v>
      </c>
      <c r="B47" s="6" t="s">
        <v>102</v>
      </c>
      <c r="C47" s="58" t="s">
        <v>103</v>
      </c>
      <c r="D47" s="58"/>
      <c r="E47" s="58"/>
      <c r="F47" s="48" t="s">
        <v>398</v>
      </c>
      <c r="G47" s="58"/>
      <c r="H47" s="49"/>
      <c r="I47" s="6" t="s">
        <v>105</v>
      </c>
    </row>
    <row r="48" spans="1:9" x14ac:dyDescent="0.25">
      <c r="A48" s="51" t="s">
        <v>106</v>
      </c>
      <c r="B48" s="7"/>
      <c r="C48" s="60"/>
      <c r="D48" s="60"/>
      <c r="E48" s="60"/>
      <c r="F48" s="51" t="s">
        <v>460</v>
      </c>
      <c r="G48" s="60"/>
      <c r="H48" s="61"/>
      <c r="I48" s="7" t="s">
        <v>108</v>
      </c>
    </row>
    <row r="49" spans="1:9" x14ac:dyDescent="0.25">
      <c r="A49" s="51"/>
      <c r="B49" s="62"/>
      <c r="C49" s="60"/>
      <c r="D49" s="60"/>
      <c r="E49" s="60"/>
      <c r="F49" s="51" t="s">
        <v>461</v>
      </c>
      <c r="G49" s="60"/>
      <c r="H49" s="61"/>
      <c r="I49" s="7"/>
    </row>
    <row r="50" spans="1:9" x14ac:dyDescent="0.25">
      <c r="A50" s="67" t="s">
        <v>110</v>
      </c>
      <c r="B50" s="18"/>
      <c r="C50" s="68" t="s">
        <v>111</v>
      </c>
      <c r="D50" s="68"/>
      <c r="E50" s="68"/>
      <c r="F50" s="48"/>
      <c r="G50" s="58"/>
      <c r="H50" s="49"/>
      <c r="I50" s="6"/>
    </row>
    <row r="51" spans="1:9" x14ac:dyDescent="0.25">
      <c r="A51" s="69"/>
      <c r="B51" s="7"/>
      <c r="C51" s="60" t="s">
        <v>112</v>
      </c>
      <c r="D51" s="60"/>
      <c r="E51" s="60"/>
      <c r="F51" s="51" t="s">
        <v>71</v>
      </c>
      <c r="G51" s="37"/>
      <c r="H51" s="61" t="s">
        <v>71</v>
      </c>
      <c r="I51" s="7" t="s">
        <v>71</v>
      </c>
    </row>
    <row r="52" spans="1:9" x14ac:dyDescent="0.25">
      <c r="A52" s="69" t="s">
        <v>113</v>
      </c>
      <c r="B52" s="70">
        <v>42851</v>
      </c>
      <c r="C52" s="60" t="s">
        <v>114</v>
      </c>
      <c r="D52" s="60"/>
      <c r="E52" s="60"/>
      <c r="F52" s="51"/>
      <c r="G52" s="37">
        <f>I52/3501.44</f>
        <v>5.8261743739718517</v>
      </c>
      <c r="H52" s="61"/>
      <c r="I52" s="7">
        <v>20400</v>
      </c>
    </row>
    <row r="53" spans="1:9" x14ac:dyDescent="0.25">
      <c r="A53" s="69" t="s">
        <v>71</v>
      </c>
      <c r="B53" s="70"/>
      <c r="C53" s="60"/>
      <c r="D53" s="60"/>
      <c r="E53" s="60"/>
      <c r="F53" s="51"/>
      <c r="G53" s="37" t="s">
        <v>71</v>
      </c>
      <c r="H53" s="61"/>
      <c r="I53" s="7"/>
    </row>
    <row r="54" spans="1:9" x14ac:dyDescent="0.25">
      <c r="A54" s="69"/>
      <c r="B54" s="7"/>
      <c r="C54" s="5" t="s">
        <v>118</v>
      </c>
      <c r="D54" s="5"/>
      <c r="E54" s="5"/>
      <c r="F54" s="59"/>
      <c r="G54" s="20">
        <f>SUM(G52:G53)</f>
        <v>5.8261743739718517</v>
      </c>
      <c r="H54" s="71"/>
      <c r="I54" s="18">
        <f>SUM(I52:I53)</f>
        <v>20400</v>
      </c>
    </row>
    <row r="55" spans="1:9" x14ac:dyDescent="0.25">
      <c r="A55" s="6"/>
      <c r="B55" s="6"/>
      <c r="C55" s="48"/>
      <c r="D55" s="58"/>
      <c r="E55" s="49"/>
      <c r="F55" s="48"/>
      <c r="G55" s="86"/>
      <c r="H55" s="49"/>
      <c r="I55" s="6"/>
    </row>
    <row r="56" spans="1:9" x14ac:dyDescent="0.25">
      <c r="A56" s="6" t="s">
        <v>48</v>
      </c>
      <c r="B56" s="25" t="s">
        <v>119</v>
      </c>
      <c r="C56" s="57" t="s">
        <v>120</v>
      </c>
      <c r="D56" s="58"/>
      <c r="E56" s="49"/>
      <c r="F56" s="48" t="s">
        <v>121</v>
      </c>
      <c r="G56" s="86"/>
      <c r="H56" s="49"/>
      <c r="I56" s="6"/>
    </row>
    <row r="57" spans="1:9" x14ac:dyDescent="0.25">
      <c r="A57" s="69"/>
      <c r="B57" s="70"/>
      <c r="C57" s="60"/>
      <c r="D57" s="60"/>
      <c r="E57" s="60"/>
      <c r="F57" s="51"/>
      <c r="G57" s="37"/>
      <c r="H57" s="61"/>
      <c r="I57" s="7"/>
    </row>
    <row r="58" spans="1:9" x14ac:dyDescent="0.25">
      <c r="A58" s="73"/>
      <c r="B58" s="62" t="s">
        <v>119</v>
      </c>
      <c r="C58" s="15" t="s">
        <v>118</v>
      </c>
      <c r="D58" s="14"/>
      <c r="E58" s="85"/>
      <c r="F58" s="15" t="s">
        <v>71</v>
      </c>
      <c r="G58" s="78">
        <f>SUM(G57:G57)</f>
        <v>0</v>
      </c>
      <c r="H58" s="85"/>
      <c r="I58" s="12">
        <f>SUM(I57:I57)</f>
        <v>0</v>
      </c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 t="s">
        <v>122</v>
      </c>
      <c r="B60" s="2"/>
      <c r="C60" s="2"/>
      <c r="D60" s="2" t="s">
        <v>462</v>
      </c>
      <c r="E60" s="2"/>
      <c r="F60" s="2"/>
      <c r="G60" s="2"/>
      <c r="H60" s="2"/>
      <c r="I60" s="2"/>
    </row>
    <row r="61" spans="1:9" x14ac:dyDescent="0.25">
      <c r="A61" s="2"/>
      <c r="B61" s="2"/>
      <c r="C61" s="2" t="s">
        <v>71</v>
      </c>
    </row>
    <row r="62" spans="1:9" x14ac:dyDescent="0.25">
      <c r="B62" s="2"/>
      <c r="C62" s="2"/>
      <c r="D62" s="2"/>
      <c r="E62" s="2"/>
      <c r="F62" s="2"/>
      <c r="G62" s="2"/>
      <c r="H62" s="2"/>
      <c r="I62" s="2"/>
    </row>
  </sheetData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7" zoomScale="110" zoomScaleNormal="110" workbookViewId="0">
      <selection activeCell="A9" sqref="A9"/>
    </sheetView>
  </sheetViews>
  <sheetFormatPr defaultRowHeight="15" x14ac:dyDescent="0.25"/>
  <cols>
    <col min="1" max="1" width="4.85546875" style="3" customWidth="1"/>
    <col min="2" max="2" width="35.140625" style="3" customWidth="1"/>
    <col min="3" max="3" width="14.85546875" style="3" customWidth="1"/>
    <col min="4" max="4" width="11.28515625" style="3" customWidth="1"/>
    <col min="5" max="5" width="10.28515625" style="3" customWidth="1"/>
    <col min="6" max="6" width="10.5703125" style="3" customWidth="1"/>
    <col min="7" max="7" width="10.7109375" style="3" customWidth="1"/>
    <col min="8" max="8" width="12" style="3" customWidth="1"/>
    <col min="9" max="9" width="18.28515625" style="3" customWidth="1"/>
    <col min="10" max="16384" width="9.140625" style="3"/>
  </cols>
  <sheetData>
    <row r="1" spans="1:9" x14ac:dyDescent="0.25">
      <c r="A1" s="1"/>
      <c r="B1" s="1"/>
      <c r="C1" s="1"/>
    </row>
    <row r="2" spans="1:9" x14ac:dyDescent="0.25">
      <c r="A2" s="1" t="s">
        <v>463</v>
      </c>
      <c r="B2" s="1"/>
      <c r="C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  <c r="I3" s="4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1"/>
      <c r="F6" s="1"/>
      <c r="G6" s="1"/>
      <c r="H6" s="1"/>
      <c r="I6" s="2"/>
    </row>
    <row r="7" spans="1:9" x14ac:dyDescent="0.25">
      <c r="A7" s="1" t="s">
        <v>464</v>
      </c>
      <c r="B7" s="1"/>
      <c r="C7" s="1"/>
      <c r="D7" s="2"/>
      <c r="E7" s="2"/>
      <c r="F7" s="2"/>
      <c r="G7" s="2"/>
      <c r="H7" s="2"/>
      <c r="I7" s="2"/>
    </row>
    <row r="8" spans="1:9" x14ac:dyDescent="0.25">
      <c r="A8" s="2" t="s">
        <v>465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466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11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136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138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15">
        <v>1</v>
      </c>
      <c r="B19" s="12" t="s">
        <v>467</v>
      </c>
      <c r="C19" s="12">
        <v>7.97</v>
      </c>
      <c r="D19" s="17">
        <v>-14554.4</v>
      </c>
      <c r="E19" s="12">
        <v>378973.68</v>
      </c>
      <c r="F19" s="12">
        <v>380413.04</v>
      </c>
      <c r="G19" s="12">
        <f t="shared" ref="G19:G27" si="0">E19</f>
        <v>378973.68</v>
      </c>
      <c r="H19" s="16">
        <f>D19+F19-G19</f>
        <v>-13115.040000000037</v>
      </c>
      <c r="I19" s="17">
        <f>H19</f>
        <v>-13115.040000000037</v>
      </c>
    </row>
    <row r="20" spans="1:9" x14ac:dyDescent="0.25">
      <c r="A20" s="18" t="s">
        <v>36</v>
      </c>
      <c r="B20" s="18" t="s">
        <v>37</v>
      </c>
      <c r="C20" s="5">
        <v>2.62</v>
      </c>
      <c r="D20" s="45"/>
      <c r="E20" s="127">
        <f>E19*33%</f>
        <v>125061.3144</v>
      </c>
      <c r="F20" s="44">
        <f>F19*33%</f>
        <v>125536.30319999999</v>
      </c>
      <c r="G20" s="44">
        <f t="shared" si="0"/>
        <v>125061.3144</v>
      </c>
      <c r="H20" s="38"/>
      <c r="I20" s="75"/>
    </row>
    <row r="21" spans="1:9" x14ac:dyDescent="0.25">
      <c r="A21" s="31" t="s">
        <v>38</v>
      </c>
      <c r="B21" s="25" t="s">
        <v>39</v>
      </c>
      <c r="C21" s="68">
        <v>1.33</v>
      </c>
      <c r="D21" s="45"/>
      <c r="E21" s="45">
        <f>E19*17%</f>
        <v>64425.525600000001</v>
      </c>
      <c r="F21" s="45">
        <f>F19*17%</f>
        <v>64670.216800000002</v>
      </c>
      <c r="G21" s="45">
        <f t="shared" si="0"/>
        <v>64425.525600000001</v>
      </c>
      <c r="H21" s="105"/>
      <c r="I21" s="75"/>
    </row>
    <row r="22" spans="1:9" x14ac:dyDescent="0.25">
      <c r="A22" s="31" t="s">
        <v>40</v>
      </c>
      <c r="B22" s="25" t="s">
        <v>41</v>
      </c>
      <c r="C22" s="68">
        <v>1.63</v>
      </c>
      <c r="D22" s="45"/>
      <c r="E22" s="45">
        <f>E19*20%</f>
        <v>75794.736000000004</v>
      </c>
      <c r="F22" s="45">
        <f>F19*20%</f>
        <v>76082.607999999993</v>
      </c>
      <c r="G22" s="43">
        <f t="shared" si="0"/>
        <v>75794.736000000004</v>
      </c>
      <c r="H22" s="110"/>
      <c r="I22" s="75"/>
    </row>
    <row r="23" spans="1:9" x14ac:dyDescent="0.25">
      <c r="A23" s="101" t="s">
        <v>42</v>
      </c>
      <c r="B23" s="11" t="s">
        <v>43</v>
      </c>
      <c r="C23" s="41">
        <v>2.39</v>
      </c>
      <c r="D23" s="43"/>
      <c r="E23" s="43">
        <f>E19*30%</f>
        <v>113692.10399999999</v>
      </c>
      <c r="F23" s="43">
        <f>F19*30%</f>
        <v>114123.912</v>
      </c>
      <c r="G23" s="43">
        <f t="shared" si="0"/>
        <v>113692.10399999999</v>
      </c>
      <c r="H23" s="40"/>
      <c r="I23" s="29"/>
    </row>
    <row r="24" spans="1:9" x14ac:dyDescent="0.25">
      <c r="A24" s="36" t="s">
        <v>468</v>
      </c>
      <c r="B24" s="9" t="s">
        <v>45</v>
      </c>
      <c r="C24" s="10">
        <v>0.45219999999999999</v>
      </c>
      <c r="D24" s="29"/>
      <c r="E24" s="29">
        <v>12733.24</v>
      </c>
      <c r="F24" s="29">
        <v>13718.22</v>
      </c>
      <c r="G24" s="29">
        <f t="shared" si="0"/>
        <v>12733.24</v>
      </c>
      <c r="H24" s="34">
        <f>F24-E24</f>
        <v>984.97999999999956</v>
      </c>
      <c r="I24" s="43"/>
    </row>
    <row r="25" spans="1:9" x14ac:dyDescent="0.25">
      <c r="A25" s="73" t="s">
        <v>46</v>
      </c>
      <c r="B25" s="62" t="s">
        <v>47</v>
      </c>
      <c r="C25" s="74">
        <v>2.585</v>
      </c>
      <c r="D25" s="54"/>
      <c r="E25" s="9">
        <v>74874.19</v>
      </c>
      <c r="F25" s="10">
        <v>63477.760000000002</v>
      </c>
      <c r="G25" s="9">
        <f>E25</f>
        <v>74874.19</v>
      </c>
      <c r="H25" s="11">
        <f>F25-E25</f>
        <v>-11396.43</v>
      </c>
      <c r="I25" s="11">
        <f>H25</f>
        <v>-11396.43</v>
      </c>
    </row>
    <row r="26" spans="1:9" x14ac:dyDescent="0.25">
      <c r="A26" s="12" t="s">
        <v>48</v>
      </c>
      <c r="B26" s="12" t="s">
        <v>143</v>
      </c>
      <c r="C26" s="14">
        <v>3.15</v>
      </c>
      <c r="D26" s="17">
        <v>-16909.419999999998</v>
      </c>
      <c r="E26" s="108">
        <v>149188.32999999999</v>
      </c>
      <c r="F26" s="17">
        <v>150983.63</v>
      </c>
      <c r="G26" s="16">
        <f t="shared" si="0"/>
        <v>149188.32999999999</v>
      </c>
      <c r="H26" s="16">
        <f>D26+F26-G26</f>
        <v>-15114.119999999966</v>
      </c>
      <c r="I26" s="17">
        <f>H26</f>
        <v>-15114.119999999966</v>
      </c>
    </row>
    <row r="27" spans="1:9" x14ac:dyDescent="0.25">
      <c r="A27" s="12" t="s">
        <v>51</v>
      </c>
      <c r="B27" s="12" t="s">
        <v>194</v>
      </c>
      <c r="C27" s="14">
        <v>0.92</v>
      </c>
      <c r="D27" s="17">
        <v>-5255.14</v>
      </c>
      <c r="E27" s="12">
        <v>43746</v>
      </c>
      <c r="F27" s="17">
        <v>44262.46</v>
      </c>
      <c r="G27" s="5">
        <f t="shared" si="0"/>
        <v>43746</v>
      </c>
      <c r="H27" s="16">
        <f>D27+F27-G27</f>
        <v>-4738.68</v>
      </c>
      <c r="I27" s="17">
        <f>H27</f>
        <v>-4738.68</v>
      </c>
    </row>
    <row r="28" spans="1:9" x14ac:dyDescent="0.25">
      <c r="A28" s="11" t="s">
        <v>55</v>
      </c>
      <c r="B28" s="11" t="s">
        <v>49</v>
      </c>
      <c r="C28" s="11" t="s">
        <v>50</v>
      </c>
      <c r="D28" s="17">
        <v>-12722.3</v>
      </c>
      <c r="E28" s="12">
        <v>160956.75</v>
      </c>
      <c r="F28" s="17">
        <v>155719.67999999999</v>
      </c>
      <c r="G28" s="11">
        <f>E28</f>
        <v>160956.75</v>
      </c>
      <c r="H28" s="42">
        <f>D28+F28-G28</f>
        <v>-17959.369999999995</v>
      </c>
      <c r="I28" s="17">
        <f>H28</f>
        <v>-17959.369999999995</v>
      </c>
    </row>
    <row r="29" spans="1:9" x14ac:dyDescent="0.25">
      <c r="A29" s="25" t="s">
        <v>59</v>
      </c>
      <c r="B29" s="25" t="s">
        <v>459</v>
      </c>
      <c r="C29" s="14">
        <v>1.82</v>
      </c>
      <c r="D29" s="43">
        <v>19824.09</v>
      </c>
      <c r="E29" s="12">
        <v>86541</v>
      </c>
      <c r="F29" s="12">
        <f>F30+F31</f>
        <v>88252.52</v>
      </c>
      <c r="G29" s="12">
        <f>I58</f>
        <v>0</v>
      </c>
      <c r="H29" s="16">
        <f>D29+F29-G29</f>
        <v>108076.61</v>
      </c>
      <c r="I29" s="43"/>
    </row>
    <row r="30" spans="1:9" x14ac:dyDescent="0.25">
      <c r="A30" s="25"/>
      <c r="B30" s="6" t="s">
        <v>53</v>
      </c>
      <c r="C30" s="14"/>
      <c r="D30" s="16"/>
      <c r="E30" s="12"/>
      <c r="F30" s="12">
        <v>88252.52</v>
      </c>
      <c r="G30" s="14"/>
      <c r="H30" s="15"/>
      <c r="I30" s="44"/>
    </row>
    <row r="31" spans="1:9" x14ac:dyDescent="0.25">
      <c r="A31" s="25"/>
      <c r="B31" s="6" t="s">
        <v>71</v>
      </c>
      <c r="C31" s="14"/>
      <c r="D31" s="16"/>
      <c r="E31" s="12"/>
      <c r="F31" s="12">
        <v>0</v>
      </c>
      <c r="G31" s="14"/>
      <c r="H31" s="15"/>
      <c r="I31" s="43"/>
    </row>
    <row r="32" spans="1:9" x14ac:dyDescent="0.25">
      <c r="A32" s="11" t="s">
        <v>196</v>
      </c>
      <c r="B32" s="11" t="s">
        <v>469</v>
      </c>
      <c r="C32" s="85">
        <v>0</v>
      </c>
      <c r="D32" s="15">
        <v>0</v>
      </c>
      <c r="E32" s="12"/>
      <c r="F32" s="12">
        <v>0</v>
      </c>
      <c r="G32" s="14"/>
      <c r="H32" s="11">
        <f>D32+F32-G32</f>
        <v>0</v>
      </c>
      <c r="I32" s="133"/>
    </row>
    <row r="33" spans="1:9" x14ac:dyDescent="0.25">
      <c r="A33" s="7"/>
      <c r="B33" s="62" t="s">
        <v>112</v>
      </c>
      <c r="C33" s="60"/>
      <c r="D33" s="51"/>
      <c r="E33" s="7"/>
      <c r="F33" s="7"/>
      <c r="G33" s="60"/>
      <c r="H33" s="51"/>
      <c r="I33" s="22"/>
    </row>
    <row r="34" spans="1:9" x14ac:dyDescent="0.25">
      <c r="A34" s="9"/>
      <c r="B34" s="9" t="s">
        <v>53</v>
      </c>
      <c r="C34" s="10"/>
      <c r="D34" s="8"/>
      <c r="E34" s="9">
        <v>0</v>
      </c>
      <c r="F34" s="9">
        <v>0</v>
      </c>
      <c r="G34" s="10">
        <v>0</v>
      </c>
      <c r="H34" s="8"/>
      <c r="I34" s="29"/>
    </row>
    <row r="35" spans="1:9" x14ac:dyDescent="0.25">
      <c r="A35" s="8"/>
      <c r="B35" s="62"/>
      <c r="C35" s="10"/>
      <c r="D35" s="9"/>
      <c r="E35" s="10"/>
      <c r="F35" s="9"/>
      <c r="G35" s="10"/>
      <c r="H35" s="9"/>
      <c r="I35" s="35"/>
    </row>
    <row r="36" spans="1:9" x14ac:dyDescent="0.25">
      <c r="A36" s="1" t="s">
        <v>58</v>
      </c>
      <c r="B36" s="1"/>
      <c r="C36" s="1"/>
      <c r="D36" s="47"/>
      <c r="E36" s="1"/>
      <c r="F36" s="2"/>
      <c r="G36" s="2"/>
      <c r="H36" s="2"/>
      <c r="I36" s="2"/>
    </row>
    <row r="37" spans="1:9" x14ac:dyDescent="0.25">
      <c r="A37" s="25" t="s">
        <v>197</v>
      </c>
      <c r="B37" s="58" t="s">
        <v>60</v>
      </c>
      <c r="C37" s="6" t="s">
        <v>64</v>
      </c>
      <c r="D37" s="49" t="s">
        <v>62</v>
      </c>
      <c r="E37" s="58" t="s">
        <v>63</v>
      </c>
      <c r="F37" s="6" t="s">
        <v>154</v>
      </c>
      <c r="G37" s="6"/>
      <c r="H37" s="58" t="s">
        <v>199</v>
      </c>
      <c r="I37" s="49"/>
    </row>
    <row r="38" spans="1:9" x14ac:dyDescent="0.25">
      <c r="A38" s="7"/>
      <c r="B38" s="74" t="s">
        <v>68</v>
      </c>
      <c r="C38" s="62" t="s">
        <v>66</v>
      </c>
      <c r="D38" s="53" t="s">
        <v>23</v>
      </c>
      <c r="E38" s="74" t="s">
        <v>312</v>
      </c>
      <c r="F38" s="62" t="s">
        <v>470</v>
      </c>
      <c r="G38" s="62"/>
      <c r="H38" s="74"/>
      <c r="I38" s="53"/>
    </row>
    <row r="39" spans="1:9" x14ac:dyDescent="0.25">
      <c r="A39" s="18"/>
      <c r="C39" s="38">
        <v>8050.5</v>
      </c>
      <c r="D39" s="6">
        <v>5553</v>
      </c>
      <c r="E39" s="37">
        <f>D39*15%</f>
        <v>832.94999999999993</v>
      </c>
      <c r="F39" s="22"/>
      <c r="G39" s="22"/>
      <c r="H39" s="37">
        <f>C39+ D39-E39-F40</f>
        <v>12770.55</v>
      </c>
      <c r="I39" s="61"/>
    </row>
    <row r="40" spans="1:9" x14ac:dyDescent="0.25">
      <c r="A40" s="42"/>
      <c r="B40" s="9"/>
      <c r="C40" s="39"/>
      <c r="D40" s="9"/>
      <c r="E40" s="39"/>
      <c r="F40" s="29"/>
      <c r="G40" s="29"/>
      <c r="H40" s="39"/>
      <c r="I40" s="50"/>
    </row>
    <row r="41" spans="1:9" x14ac:dyDescent="0.25">
      <c r="A41" s="1" t="s">
        <v>252</v>
      </c>
      <c r="B41" s="1"/>
      <c r="C41" s="1"/>
      <c r="D41" s="47"/>
      <c r="E41" s="1"/>
      <c r="F41" s="1"/>
      <c r="G41" s="1"/>
      <c r="H41" s="1"/>
      <c r="I41" s="1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253</v>
      </c>
      <c r="H42" s="6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7" t="s">
        <v>85</v>
      </c>
      <c r="I43" s="7" t="s">
        <v>86</v>
      </c>
    </row>
    <row r="44" spans="1:9" x14ac:dyDescent="0.25">
      <c r="A44" s="7"/>
      <c r="B44" s="51"/>
      <c r="C44" s="62"/>
      <c r="D44" s="60"/>
      <c r="E44" s="7"/>
      <c r="F44" s="60" t="s">
        <v>87</v>
      </c>
      <c r="G44" s="7" t="s">
        <v>88</v>
      </c>
      <c r="H44" s="7"/>
      <c r="I44" s="7" t="s">
        <v>30</v>
      </c>
    </row>
    <row r="45" spans="1:9" x14ac:dyDescent="0.25">
      <c r="A45" s="9">
        <v>1</v>
      </c>
      <c r="B45" s="9" t="s">
        <v>90</v>
      </c>
      <c r="C45" s="41" t="s">
        <v>91</v>
      </c>
      <c r="D45" s="9">
        <v>-37059.85</v>
      </c>
      <c r="E45" s="65">
        <v>330324.99</v>
      </c>
      <c r="F45" s="9">
        <v>335145.81</v>
      </c>
      <c r="G45" s="65">
        <f>E45</f>
        <v>330324.99</v>
      </c>
      <c r="H45" s="9">
        <f>D45+F45-G45</f>
        <v>-32239.02999999997</v>
      </c>
      <c r="I45" s="9">
        <f>H45</f>
        <v>-32239.02999999997</v>
      </c>
    </row>
    <row r="46" spans="1:9" x14ac:dyDescent="0.25">
      <c r="A46" s="62"/>
      <c r="B46" s="62" t="s">
        <v>92</v>
      </c>
      <c r="C46" s="14"/>
      <c r="D46" s="62"/>
      <c r="E46" s="66"/>
      <c r="F46" s="62"/>
      <c r="G46" s="66"/>
      <c r="H46" s="62"/>
      <c r="I46" s="62"/>
    </row>
    <row r="47" spans="1:9" x14ac:dyDescent="0.25">
      <c r="A47" s="7">
        <v>2</v>
      </c>
      <c r="B47" s="7" t="s">
        <v>168</v>
      </c>
      <c r="C47" s="1" t="s">
        <v>95</v>
      </c>
      <c r="D47" s="7">
        <v>-108824.8</v>
      </c>
      <c r="E47" s="2">
        <v>535533.73</v>
      </c>
      <c r="F47" s="7">
        <v>537042.02</v>
      </c>
      <c r="G47" s="2">
        <f>E47</f>
        <v>535533.73</v>
      </c>
      <c r="H47" s="7">
        <f>D47+F47-G47</f>
        <v>-107316.50999999995</v>
      </c>
      <c r="I47" s="62">
        <f>H47</f>
        <v>-107316.50999999995</v>
      </c>
    </row>
    <row r="48" spans="1:9" x14ac:dyDescent="0.25">
      <c r="A48" s="9"/>
      <c r="B48" s="9" t="s">
        <v>471</v>
      </c>
      <c r="C48" s="41"/>
      <c r="D48" s="9"/>
      <c r="E48" s="10"/>
      <c r="F48" s="9"/>
      <c r="G48" s="50"/>
      <c r="H48" s="6"/>
      <c r="I48" s="9"/>
    </row>
    <row r="49" spans="1:9" x14ac:dyDescent="0.25">
      <c r="A49" s="9">
        <v>3</v>
      </c>
      <c r="B49" s="9" t="s">
        <v>98</v>
      </c>
      <c r="C49" s="41" t="s">
        <v>99</v>
      </c>
      <c r="D49" s="9">
        <v>-289544.01</v>
      </c>
      <c r="E49" s="10">
        <v>1003479.02</v>
      </c>
      <c r="F49" s="9">
        <v>1060427.3899999999</v>
      </c>
      <c r="G49" s="10">
        <f>E49</f>
        <v>1003479.02</v>
      </c>
      <c r="H49" s="9">
        <f>D49+F49-G49</f>
        <v>-232595.64000000013</v>
      </c>
      <c r="I49" s="9">
        <f>H49</f>
        <v>-232595.64000000013</v>
      </c>
    </row>
    <row r="50" spans="1:9" x14ac:dyDescent="0.25">
      <c r="A50" s="1" t="s">
        <v>255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5" t="s">
        <v>256</v>
      </c>
      <c r="B51" s="1"/>
      <c r="C51" s="1"/>
      <c r="D51" s="1"/>
      <c r="E51" s="1"/>
      <c r="F51" s="1"/>
      <c r="G51" s="1"/>
      <c r="H51" s="1"/>
      <c r="I51" s="2"/>
    </row>
    <row r="52" spans="1:9" x14ac:dyDescent="0.25">
      <c r="A52" s="48" t="s">
        <v>12</v>
      </c>
      <c r="B52" s="6" t="s">
        <v>221</v>
      </c>
      <c r="C52" s="58" t="s">
        <v>103</v>
      </c>
      <c r="D52" s="58"/>
      <c r="E52" s="58"/>
      <c r="F52" s="48" t="s">
        <v>428</v>
      </c>
      <c r="G52" s="58"/>
      <c r="H52" s="49"/>
      <c r="I52" s="6" t="s">
        <v>105</v>
      </c>
    </row>
    <row r="53" spans="1:9" x14ac:dyDescent="0.25">
      <c r="A53" s="51" t="s">
        <v>106</v>
      </c>
      <c r="B53" s="7" t="s">
        <v>223</v>
      </c>
      <c r="C53" s="60"/>
      <c r="D53" s="60"/>
      <c r="E53" s="60"/>
      <c r="F53" s="51" t="s">
        <v>472</v>
      </c>
      <c r="G53" s="60"/>
      <c r="H53" s="61"/>
      <c r="I53" s="7" t="s">
        <v>108</v>
      </c>
    </row>
    <row r="54" spans="1:9" x14ac:dyDescent="0.25">
      <c r="A54" s="51"/>
      <c r="B54" s="62"/>
      <c r="C54" s="60"/>
      <c r="D54" s="60"/>
      <c r="E54" s="60"/>
      <c r="F54" s="51" t="s">
        <v>258</v>
      </c>
      <c r="G54" s="60"/>
      <c r="H54" s="61"/>
      <c r="I54" s="62"/>
    </row>
    <row r="55" spans="1:9" x14ac:dyDescent="0.25">
      <c r="A55" s="67" t="s">
        <v>110</v>
      </c>
      <c r="B55" s="18"/>
      <c r="C55" s="68" t="s">
        <v>111</v>
      </c>
      <c r="D55" s="68"/>
      <c r="E55" s="68"/>
      <c r="F55" s="48"/>
      <c r="G55" s="58"/>
      <c r="H55" s="49"/>
      <c r="I55" s="7"/>
    </row>
    <row r="56" spans="1:9" x14ac:dyDescent="0.25">
      <c r="A56" s="69"/>
      <c r="B56" s="7"/>
      <c r="C56" s="60" t="s">
        <v>112</v>
      </c>
      <c r="D56" s="60"/>
      <c r="E56" s="60"/>
      <c r="F56" s="51" t="s">
        <v>71</v>
      </c>
      <c r="G56" s="60" t="s">
        <v>71</v>
      </c>
      <c r="H56" s="61" t="s">
        <v>71</v>
      </c>
      <c r="I56" s="7" t="s">
        <v>71</v>
      </c>
    </row>
    <row r="57" spans="1:9" x14ac:dyDescent="0.25">
      <c r="A57" s="69" t="s">
        <v>113</v>
      </c>
      <c r="B57" s="70"/>
      <c r="C57" s="60"/>
      <c r="D57" s="60"/>
      <c r="E57" s="60"/>
      <c r="F57" s="51"/>
      <c r="G57" s="37">
        <f>I57/3963.5</f>
        <v>0</v>
      </c>
      <c r="H57" s="61"/>
      <c r="I57" s="7"/>
    </row>
    <row r="58" spans="1:9" x14ac:dyDescent="0.25">
      <c r="A58" s="69"/>
      <c r="B58" s="7"/>
      <c r="C58" s="5" t="s">
        <v>118</v>
      </c>
      <c r="D58" s="5"/>
      <c r="E58" s="5"/>
      <c r="F58" s="59"/>
      <c r="G58" s="20">
        <f>SUM(G57:G57)</f>
        <v>0</v>
      </c>
      <c r="H58" s="71"/>
      <c r="I58" s="18">
        <f>SUM(I57:I57)</f>
        <v>0</v>
      </c>
    </row>
    <row r="59" spans="1:9" x14ac:dyDescent="0.25">
      <c r="A59" s="6"/>
      <c r="B59" s="6"/>
      <c r="C59" s="48"/>
      <c r="D59" s="58"/>
      <c r="E59" s="49"/>
      <c r="F59" s="48"/>
      <c r="G59" s="58"/>
      <c r="H59" s="49"/>
      <c r="I59" s="6"/>
    </row>
    <row r="60" spans="1:9" x14ac:dyDescent="0.25">
      <c r="A60" s="6" t="s">
        <v>48</v>
      </c>
      <c r="B60" s="25" t="s">
        <v>119</v>
      </c>
      <c r="C60" s="57" t="s">
        <v>120</v>
      </c>
      <c r="D60" s="58"/>
      <c r="E60" s="49"/>
      <c r="F60" s="48" t="s">
        <v>121</v>
      </c>
      <c r="G60" s="58"/>
      <c r="H60" s="49"/>
      <c r="I60" s="6"/>
    </row>
    <row r="61" spans="1:9" x14ac:dyDescent="0.25">
      <c r="A61" s="69" t="s">
        <v>182</v>
      </c>
      <c r="B61" s="70"/>
      <c r="C61" s="51"/>
      <c r="D61" s="60"/>
      <c r="E61" s="61"/>
      <c r="F61" s="51"/>
      <c r="G61" s="60"/>
      <c r="H61" s="61"/>
      <c r="I61" s="7"/>
    </row>
    <row r="62" spans="1:9" x14ac:dyDescent="0.25">
      <c r="A62" s="73"/>
      <c r="B62" s="62" t="s">
        <v>119</v>
      </c>
      <c r="C62" s="15" t="s">
        <v>118</v>
      </c>
      <c r="D62" s="14"/>
      <c r="E62" s="85"/>
      <c r="F62" s="15" t="s">
        <v>71</v>
      </c>
      <c r="G62" s="14">
        <v>0</v>
      </c>
      <c r="H62" s="85"/>
      <c r="I62" s="12">
        <v>0</v>
      </c>
    </row>
    <row r="63" spans="1:9" x14ac:dyDescent="0.25">
      <c r="A63" s="2" t="s">
        <v>473</v>
      </c>
      <c r="B63" s="2"/>
      <c r="C63" s="2" t="s">
        <v>474</v>
      </c>
      <c r="D63" s="114"/>
      <c r="F63" s="2"/>
      <c r="G63" s="2" t="s">
        <v>262</v>
      </c>
      <c r="H63" s="2"/>
      <c r="I63" s="2" t="s">
        <v>263</v>
      </c>
    </row>
    <row r="64" spans="1:9" x14ac:dyDescent="0.25">
      <c r="A64" s="2"/>
      <c r="B64" s="2"/>
    </row>
  </sheetData>
  <pageMargins left="0.7" right="0.7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="110" zoomScaleNormal="110" workbookViewId="0">
      <selection activeCell="A8" sqref="A8"/>
    </sheetView>
  </sheetViews>
  <sheetFormatPr defaultRowHeight="15" x14ac:dyDescent="0.25"/>
  <cols>
    <col min="1" max="1" width="4.5703125" style="3" customWidth="1"/>
    <col min="2" max="2" width="30.5703125" style="3" customWidth="1"/>
    <col min="3" max="3" width="10.140625" style="3" customWidth="1"/>
    <col min="4" max="4" width="10.5703125" style="3" customWidth="1"/>
    <col min="5" max="5" width="10.42578125" style="3" customWidth="1"/>
    <col min="6" max="6" width="12.5703125" style="3" customWidth="1"/>
    <col min="7" max="7" width="11.28515625" style="3" customWidth="1"/>
    <col min="8" max="8" width="12.140625" style="3" customWidth="1"/>
    <col min="9" max="9" width="18.140625" style="3" customWidth="1"/>
    <col min="10" max="16384" width="9.140625" style="3"/>
  </cols>
  <sheetData>
    <row r="1" spans="1:9" x14ac:dyDescent="0.25">
      <c r="A1" s="1" t="s">
        <v>475</v>
      </c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476</v>
      </c>
      <c r="B6" s="1"/>
      <c r="C6" s="1"/>
      <c r="D6" s="1"/>
      <c r="E6" s="1"/>
      <c r="F6" s="2"/>
      <c r="G6" s="2"/>
      <c r="H6" s="2"/>
      <c r="I6" s="2"/>
    </row>
    <row r="7" spans="1:9" x14ac:dyDescent="0.25">
      <c r="A7" s="2" t="s">
        <v>477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478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479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480</v>
      </c>
      <c r="B10" s="2"/>
      <c r="C10" s="1" t="s">
        <v>71</v>
      </c>
      <c r="D10" s="1" t="s">
        <v>247</v>
      </c>
      <c r="E10" s="1"/>
      <c r="F10" s="1"/>
      <c r="G10" s="1"/>
      <c r="H10" s="2"/>
      <c r="I10" s="2"/>
    </row>
    <row r="11" spans="1:9" x14ac:dyDescent="0.25">
      <c r="A11" s="1" t="s">
        <v>10</v>
      </c>
      <c r="B11" s="2"/>
      <c r="C11" s="1"/>
      <c r="D11" s="1"/>
      <c r="E11" s="1"/>
      <c r="F11" s="1"/>
      <c r="G11" s="1"/>
      <c r="H11" s="2"/>
      <c r="I11" s="2"/>
    </row>
    <row r="12" spans="1:9" x14ac:dyDescent="0.25">
      <c r="A12" s="60"/>
      <c r="B12" s="2"/>
      <c r="C12" s="1"/>
      <c r="D12" s="1" t="s">
        <v>481</v>
      </c>
      <c r="E12" s="1"/>
      <c r="F12" s="1"/>
      <c r="G12" s="1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62" t="s">
        <v>30</v>
      </c>
    </row>
    <row r="17" spans="1:9" x14ac:dyDescent="0.25">
      <c r="A17" s="5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25">
        <v>1</v>
      </c>
      <c r="B18" s="72" t="s">
        <v>191</v>
      </c>
      <c r="C18" s="25"/>
      <c r="D18" s="57" t="s">
        <v>71</v>
      </c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2"/>
      <c r="B19" s="85" t="s">
        <v>192</v>
      </c>
      <c r="C19" s="12">
        <v>7.97</v>
      </c>
      <c r="D19" s="16">
        <v>4768.24</v>
      </c>
      <c r="E19" s="12">
        <v>243576.24</v>
      </c>
      <c r="F19" s="12">
        <v>243030.1</v>
      </c>
      <c r="G19" s="12">
        <f t="shared" ref="G19:G25" si="0">E19</f>
        <v>243576.24</v>
      </c>
      <c r="H19" s="16">
        <f>D19+F19-G19</f>
        <v>4222.1000000000058</v>
      </c>
      <c r="I19" s="17"/>
    </row>
    <row r="20" spans="1:9" x14ac:dyDescent="0.25">
      <c r="A20" s="73" t="s">
        <v>113</v>
      </c>
      <c r="B20" s="62" t="s">
        <v>37</v>
      </c>
      <c r="C20" s="74">
        <v>2.62</v>
      </c>
      <c r="D20" s="55"/>
      <c r="E20" s="141">
        <f>E19*33%</f>
        <v>80380.159199999995</v>
      </c>
      <c r="F20" s="54">
        <f>F19*33%</f>
        <v>80199.933000000005</v>
      </c>
      <c r="G20" s="54">
        <f t="shared" si="0"/>
        <v>80380.159199999995</v>
      </c>
      <c r="H20" s="55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105"/>
      <c r="E21" s="75">
        <f>E19*17%</f>
        <v>41407.960800000001</v>
      </c>
      <c r="F21" s="75">
        <f>F19*17%</f>
        <v>41315.117000000006</v>
      </c>
      <c r="G21" s="75">
        <f t="shared" si="0"/>
        <v>41407.960800000001</v>
      </c>
      <c r="H21" s="10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142"/>
      <c r="E22" s="75">
        <f>E19*20%</f>
        <v>48715.248</v>
      </c>
      <c r="F22" s="75">
        <f>F19*20%</f>
        <v>48606.020000000004</v>
      </c>
      <c r="G22" s="29">
        <f t="shared" si="0"/>
        <v>48715.248</v>
      </c>
      <c r="H22" s="142"/>
      <c r="I22" s="29"/>
    </row>
    <row r="23" spans="1:9" x14ac:dyDescent="0.25">
      <c r="A23" s="36" t="s">
        <v>42</v>
      </c>
      <c r="B23" s="9" t="s">
        <v>43</v>
      </c>
      <c r="C23" s="10">
        <v>2.39</v>
      </c>
      <c r="D23" s="40"/>
      <c r="E23" s="29">
        <f>E19*30%</f>
        <v>73072.871999999988</v>
      </c>
      <c r="F23" s="29">
        <f>F19*30%</f>
        <v>72909.03</v>
      </c>
      <c r="G23" s="40">
        <f t="shared" si="0"/>
        <v>73072.871999999988</v>
      </c>
      <c r="H23" s="40"/>
      <c r="I23" s="29"/>
    </row>
    <row r="24" spans="1:9" x14ac:dyDescent="0.25">
      <c r="A24" s="73" t="s">
        <v>44</v>
      </c>
      <c r="B24" s="62" t="s">
        <v>47</v>
      </c>
      <c r="C24" s="74">
        <v>0.80435999999999996</v>
      </c>
      <c r="D24" s="55"/>
      <c r="E24" s="9">
        <v>23615.31</v>
      </c>
      <c r="F24" s="10">
        <v>20742.79</v>
      </c>
      <c r="G24" s="9">
        <f t="shared" si="0"/>
        <v>23615.31</v>
      </c>
      <c r="H24" s="9">
        <f>F24-E24</f>
        <v>-2872.5200000000004</v>
      </c>
      <c r="I24" s="9">
        <f>H24</f>
        <v>-2872.5200000000004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2">
        <v>891.5</v>
      </c>
      <c r="E25" s="11">
        <v>103450.71</v>
      </c>
      <c r="F25" s="11">
        <v>98760.66</v>
      </c>
      <c r="G25" s="41">
        <f t="shared" si="0"/>
        <v>103450.71</v>
      </c>
      <c r="H25" s="42">
        <f>D25+F25-G25</f>
        <v>-3798.5500000000029</v>
      </c>
      <c r="I25" s="43">
        <f>H25</f>
        <v>-3798.5500000000029</v>
      </c>
    </row>
    <row r="26" spans="1:9" x14ac:dyDescent="0.25">
      <c r="A26" s="12" t="s">
        <v>51</v>
      </c>
      <c r="B26" s="12" t="s">
        <v>459</v>
      </c>
      <c r="C26" s="14">
        <v>1.82</v>
      </c>
      <c r="D26" s="15">
        <v>72835.02</v>
      </c>
      <c r="E26" s="12">
        <v>55622.52</v>
      </c>
      <c r="F26" s="12">
        <f>F27+F28</f>
        <v>56508.33</v>
      </c>
      <c r="G26" s="12">
        <f>I56</f>
        <v>23780</v>
      </c>
      <c r="H26" s="15">
        <f>D26+F26-G26</f>
        <v>105563.35</v>
      </c>
      <c r="I26" s="17"/>
    </row>
    <row r="27" spans="1:9" x14ac:dyDescent="0.25">
      <c r="A27" s="12"/>
      <c r="B27" s="9" t="s">
        <v>53</v>
      </c>
      <c r="C27" s="14"/>
      <c r="D27" s="15"/>
      <c r="E27" s="12"/>
      <c r="F27" s="12">
        <v>55622.07</v>
      </c>
      <c r="G27" s="14"/>
      <c r="H27" s="15"/>
      <c r="I27" s="44"/>
    </row>
    <row r="28" spans="1:9" x14ac:dyDescent="0.25">
      <c r="A28" s="12"/>
      <c r="B28" s="9" t="s">
        <v>54</v>
      </c>
      <c r="C28" s="14"/>
      <c r="D28" s="15"/>
      <c r="E28" s="12"/>
      <c r="F28" s="12">
        <v>886.26</v>
      </c>
      <c r="G28" s="14"/>
      <c r="H28" s="15"/>
      <c r="I28" s="43"/>
    </row>
    <row r="29" spans="1:9" x14ac:dyDescent="0.25">
      <c r="A29" s="11" t="s">
        <v>55</v>
      </c>
      <c r="B29" s="11" t="s">
        <v>146</v>
      </c>
      <c r="C29" s="41"/>
      <c r="D29" s="42" t="s">
        <v>71</v>
      </c>
      <c r="E29" s="11"/>
      <c r="F29" s="11"/>
      <c r="G29" s="41" t="s">
        <v>147</v>
      </c>
      <c r="H29" s="42" t="s">
        <v>71</v>
      </c>
      <c r="I29" s="43" t="str">
        <f>H29</f>
        <v xml:space="preserve"> </v>
      </c>
    </row>
    <row r="30" spans="1:9" x14ac:dyDescent="0.25">
      <c r="A30" s="12"/>
      <c r="B30" s="12" t="s">
        <v>148</v>
      </c>
      <c r="C30" s="85">
        <v>0</v>
      </c>
      <c r="D30" s="42">
        <v>0.01</v>
      </c>
      <c r="E30" s="11">
        <v>0</v>
      </c>
      <c r="F30" s="11">
        <f>F31</f>
        <v>9.01</v>
      </c>
      <c r="G30" s="41">
        <v>0</v>
      </c>
      <c r="H30" s="11">
        <f>D30+F30</f>
        <v>9.02</v>
      </c>
      <c r="I30" s="17"/>
    </row>
    <row r="31" spans="1:9" x14ac:dyDescent="0.25">
      <c r="A31" s="9"/>
      <c r="B31" s="9" t="s">
        <v>482</v>
      </c>
      <c r="C31" s="10"/>
      <c r="D31" s="8"/>
      <c r="E31" s="9">
        <v>0</v>
      </c>
      <c r="F31" s="9">
        <v>9.01</v>
      </c>
      <c r="G31" s="10"/>
      <c r="H31" s="9"/>
      <c r="I31" s="29"/>
    </row>
    <row r="32" spans="1:9" x14ac:dyDescent="0.25">
      <c r="A32" s="1" t="s">
        <v>58</v>
      </c>
      <c r="B32" s="1"/>
      <c r="C32" s="1"/>
      <c r="D32" s="47"/>
      <c r="E32" s="1"/>
      <c r="F32" s="2"/>
      <c r="G32" s="2"/>
      <c r="H32" s="2"/>
      <c r="I32" s="2"/>
    </row>
    <row r="33" spans="1:9" x14ac:dyDescent="0.25">
      <c r="A33" s="25" t="s">
        <v>59</v>
      </c>
      <c r="B33" s="58" t="s">
        <v>60</v>
      </c>
      <c r="C33" s="6" t="s">
        <v>64</v>
      </c>
      <c r="D33" s="49" t="s">
        <v>62</v>
      </c>
      <c r="E33" s="58" t="s">
        <v>63</v>
      </c>
      <c r="F33" s="6" t="s">
        <v>64</v>
      </c>
      <c r="G33" s="6"/>
      <c r="H33" s="58" t="s">
        <v>199</v>
      </c>
      <c r="I33" s="49"/>
    </row>
    <row r="34" spans="1:9" x14ac:dyDescent="0.25">
      <c r="A34" s="7"/>
      <c r="B34" s="60"/>
      <c r="C34" s="7" t="s">
        <v>66</v>
      </c>
      <c r="D34" s="53" t="s">
        <v>23</v>
      </c>
      <c r="E34" s="74" t="s">
        <v>483</v>
      </c>
      <c r="F34" s="62" t="s">
        <v>30</v>
      </c>
      <c r="G34" s="62"/>
      <c r="H34" s="74"/>
      <c r="I34" s="53"/>
    </row>
    <row r="35" spans="1:9" x14ac:dyDescent="0.25">
      <c r="A35" s="12"/>
      <c r="B35" s="74" t="s">
        <v>68</v>
      </c>
      <c r="C35" s="29">
        <v>21444.69</v>
      </c>
      <c r="D35" s="50">
        <v>5553</v>
      </c>
      <c r="E35" s="79">
        <f>D35*15%</f>
        <v>832.94999999999993</v>
      </c>
      <c r="F35" s="54">
        <f>C35+(D35-E35)</f>
        <v>26164.739999999998</v>
      </c>
      <c r="G35" s="54"/>
      <c r="H35" s="79">
        <f>F35-G35</f>
        <v>26164.739999999998</v>
      </c>
      <c r="I35" s="53"/>
    </row>
    <row r="36" spans="1:9" x14ac:dyDescent="0.25">
      <c r="A36" s="1" t="s">
        <v>252</v>
      </c>
      <c r="B36" s="1"/>
      <c r="C36" s="1"/>
      <c r="D36" s="47"/>
      <c r="E36" s="1"/>
      <c r="F36" s="1"/>
      <c r="G36" s="1"/>
      <c r="H36" s="1"/>
      <c r="I36" s="1"/>
    </row>
    <row r="37" spans="1:9" x14ac:dyDescent="0.25">
      <c r="A37" s="6" t="s">
        <v>71</v>
      </c>
      <c r="B37" s="57" t="s">
        <v>72</v>
      </c>
      <c r="C37" s="6" t="s">
        <v>73</v>
      </c>
      <c r="D37" s="58" t="s">
        <v>74</v>
      </c>
      <c r="E37" s="6" t="s">
        <v>75</v>
      </c>
      <c r="F37" s="58" t="s">
        <v>76</v>
      </c>
      <c r="G37" s="6" t="s">
        <v>253</v>
      </c>
      <c r="H37" s="6" t="s">
        <v>78</v>
      </c>
      <c r="I37" s="6" t="s">
        <v>19</v>
      </c>
    </row>
    <row r="38" spans="1:9" x14ac:dyDescent="0.25">
      <c r="A38" s="7"/>
      <c r="B38" s="59" t="s">
        <v>79</v>
      </c>
      <c r="C38" s="7" t="s">
        <v>80</v>
      </c>
      <c r="D38" s="60" t="s">
        <v>81</v>
      </c>
      <c r="E38" s="7" t="s">
        <v>82</v>
      </c>
      <c r="F38" s="60" t="s">
        <v>83</v>
      </c>
      <c r="G38" s="7" t="s">
        <v>84</v>
      </c>
      <c r="H38" s="7" t="s">
        <v>85</v>
      </c>
      <c r="I38" s="7" t="s">
        <v>86</v>
      </c>
    </row>
    <row r="39" spans="1:9" x14ac:dyDescent="0.25">
      <c r="A39" s="7"/>
      <c r="B39" s="51"/>
      <c r="C39" s="7"/>
      <c r="D39" s="60"/>
      <c r="E39" s="7"/>
      <c r="F39" s="60" t="s">
        <v>87</v>
      </c>
      <c r="G39" s="7" t="s">
        <v>88</v>
      </c>
      <c r="H39" s="7"/>
      <c r="I39" s="7" t="s">
        <v>30</v>
      </c>
    </row>
    <row r="40" spans="1:9" x14ac:dyDescent="0.25">
      <c r="A40" s="9"/>
      <c r="B40" s="8"/>
      <c r="C40" s="9"/>
      <c r="D40" s="10"/>
      <c r="E40" s="9"/>
      <c r="F40" s="10"/>
      <c r="G40" s="9"/>
      <c r="H40" s="9"/>
      <c r="I40" s="9"/>
    </row>
    <row r="41" spans="1:9" x14ac:dyDescent="0.25">
      <c r="A41" s="7">
        <v>1</v>
      </c>
      <c r="B41" s="7" t="s">
        <v>90</v>
      </c>
      <c r="C41" s="5" t="s">
        <v>91</v>
      </c>
      <c r="D41" s="7">
        <v>-117324.05</v>
      </c>
      <c r="E41" s="112">
        <v>252071.14</v>
      </c>
      <c r="F41" s="7">
        <v>227566.17</v>
      </c>
      <c r="G41" s="112">
        <f>E41</f>
        <v>252071.14</v>
      </c>
      <c r="H41" s="7">
        <f>D41+F41-G41</f>
        <v>-141829.02000000002</v>
      </c>
      <c r="I41" s="7">
        <f>H41</f>
        <v>-141829.02000000002</v>
      </c>
    </row>
    <row r="42" spans="1:9" x14ac:dyDescent="0.25">
      <c r="A42" s="9"/>
      <c r="B42" s="9" t="s">
        <v>92</v>
      </c>
      <c r="C42" s="41" t="s">
        <v>484</v>
      </c>
      <c r="D42" s="9"/>
      <c r="E42" s="65"/>
      <c r="F42" s="9"/>
      <c r="G42" s="65"/>
      <c r="H42" s="9"/>
      <c r="I42" s="9"/>
    </row>
    <row r="43" spans="1:9" x14ac:dyDescent="0.25">
      <c r="A43" s="7">
        <v>2</v>
      </c>
      <c r="B43" s="7" t="s">
        <v>94</v>
      </c>
      <c r="C43" s="1" t="s">
        <v>95</v>
      </c>
      <c r="D43" s="62">
        <v>-135773.84</v>
      </c>
      <c r="E43" s="2">
        <v>413582.77</v>
      </c>
      <c r="F43" s="7">
        <v>393173.11</v>
      </c>
      <c r="G43" s="2">
        <f>E43</f>
        <v>413582.77</v>
      </c>
      <c r="H43" s="7">
        <f>D43+F43-G43</f>
        <v>-156183.50000000003</v>
      </c>
      <c r="I43" s="62">
        <f>H43</f>
        <v>-156183.50000000003</v>
      </c>
    </row>
    <row r="44" spans="1:9" x14ac:dyDescent="0.25">
      <c r="A44" s="9"/>
      <c r="B44" s="9" t="s">
        <v>96</v>
      </c>
      <c r="C44" s="41"/>
      <c r="D44" s="9"/>
      <c r="E44" s="10"/>
      <c r="F44" s="9"/>
      <c r="G44" s="10"/>
      <c r="H44" s="6" t="s">
        <v>71</v>
      </c>
      <c r="I44" s="9" t="str">
        <f>H44</f>
        <v xml:space="preserve"> </v>
      </c>
    </row>
    <row r="45" spans="1:9" x14ac:dyDescent="0.25">
      <c r="A45" s="9"/>
      <c r="B45" s="9" t="s">
        <v>313</v>
      </c>
      <c r="C45" s="41" t="s">
        <v>484</v>
      </c>
      <c r="D45" s="9"/>
      <c r="E45" s="10"/>
      <c r="F45" s="9"/>
      <c r="G45" s="10"/>
      <c r="H45" s="6"/>
      <c r="I45" s="9"/>
    </row>
    <row r="46" spans="1:9" x14ac:dyDescent="0.25">
      <c r="A46" s="9">
        <v>3</v>
      </c>
      <c r="B46" s="9" t="s">
        <v>98</v>
      </c>
      <c r="C46" s="41" t="s">
        <v>203</v>
      </c>
      <c r="D46" s="9">
        <v>-313997.84999999998</v>
      </c>
      <c r="E46" s="10">
        <v>893808.37</v>
      </c>
      <c r="F46" s="9">
        <v>894263.41</v>
      </c>
      <c r="G46" s="10">
        <f>E46</f>
        <v>893808.37</v>
      </c>
      <c r="H46" s="9">
        <f>D46+F46-G46</f>
        <v>-313542.80999999994</v>
      </c>
      <c r="I46" s="9">
        <f>H46</f>
        <v>-313542.80999999994</v>
      </c>
    </row>
    <row r="47" spans="1:9" x14ac:dyDescent="0.25">
      <c r="A47" s="1" t="s">
        <v>255</v>
      </c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5" t="s">
        <v>256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485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486</v>
      </c>
      <c r="G50" s="60"/>
      <c r="H50" s="61"/>
      <c r="I50" s="7" t="s">
        <v>108</v>
      </c>
    </row>
    <row r="51" spans="1:9" x14ac:dyDescent="0.25">
      <c r="A51" s="51"/>
      <c r="B51" s="62"/>
      <c r="C51" s="60"/>
      <c r="D51" s="60"/>
      <c r="E51" s="60"/>
      <c r="F51" s="51" t="s">
        <v>487</v>
      </c>
      <c r="G51" s="60"/>
      <c r="H51" s="61"/>
      <c r="I51" s="62"/>
    </row>
    <row r="52" spans="1:9" x14ac:dyDescent="0.25">
      <c r="A52" s="67" t="s">
        <v>110</v>
      </c>
      <c r="B52" s="18"/>
      <c r="C52" s="68" t="s">
        <v>111</v>
      </c>
      <c r="D52" s="68"/>
      <c r="E52" s="68"/>
      <c r="F52" s="48"/>
      <c r="G52" s="58"/>
      <c r="H52" s="49"/>
      <c r="I52" s="7"/>
    </row>
    <row r="53" spans="1:9" x14ac:dyDescent="0.25">
      <c r="A53" s="69"/>
      <c r="B53" s="7"/>
      <c r="C53" s="60" t="s">
        <v>112</v>
      </c>
      <c r="D53" s="60"/>
      <c r="E53" s="60"/>
      <c r="F53" s="51" t="s">
        <v>71</v>
      </c>
      <c r="G53" s="37"/>
      <c r="H53" s="61" t="s">
        <v>71</v>
      </c>
      <c r="I53" s="7" t="s">
        <v>71</v>
      </c>
    </row>
    <row r="54" spans="1:9" x14ac:dyDescent="0.25">
      <c r="A54" s="123" t="s">
        <v>113</v>
      </c>
      <c r="B54" s="70">
        <v>42974</v>
      </c>
      <c r="C54" s="60" t="s">
        <v>488</v>
      </c>
      <c r="D54" s="60"/>
      <c r="E54" s="60"/>
      <c r="F54" s="51"/>
      <c r="G54" s="37">
        <f>I54/2609.2</f>
        <v>9.1139046451019468</v>
      </c>
      <c r="H54" s="61"/>
      <c r="I54" s="7">
        <v>23780</v>
      </c>
    </row>
    <row r="55" spans="1:9" x14ac:dyDescent="0.25">
      <c r="A55" s="123"/>
      <c r="B55" s="70"/>
      <c r="C55" s="60"/>
      <c r="D55" s="60"/>
      <c r="E55" s="60"/>
      <c r="F55" s="51"/>
      <c r="G55" s="37"/>
      <c r="H55" s="61"/>
      <c r="I55" s="7"/>
    </row>
    <row r="56" spans="1:9" x14ac:dyDescent="0.25">
      <c r="A56" s="123"/>
      <c r="B56" s="70"/>
      <c r="C56" s="5" t="s">
        <v>118</v>
      </c>
      <c r="D56" s="5"/>
      <c r="E56" s="5"/>
      <c r="F56" s="59"/>
      <c r="G56" s="20">
        <f>I56/2546.8</f>
        <v>9.3372074760483734</v>
      </c>
      <c r="H56" s="71"/>
      <c r="I56" s="18">
        <f>SUM(I54:I55)</f>
        <v>23780</v>
      </c>
    </row>
    <row r="57" spans="1:9" x14ac:dyDescent="0.25">
      <c r="A57" s="6"/>
      <c r="B57" s="6"/>
      <c r="C57" s="48"/>
      <c r="D57" s="58"/>
      <c r="E57" s="49"/>
      <c r="F57" s="48"/>
      <c r="G57" s="58"/>
      <c r="H57" s="49"/>
      <c r="I57" s="48"/>
    </row>
    <row r="58" spans="1:9" x14ac:dyDescent="0.25">
      <c r="A58" s="6" t="s">
        <v>48</v>
      </c>
      <c r="B58" s="25" t="s">
        <v>119</v>
      </c>
      <c r="C58" s="57" t="s">
        <v>120</v>
      </c>
      <c r="D58" s="58"/>
      <c r="E58" s="58"/>
      <c r="F58" s="48" t="s">
        <v>121</v>
      </c>
      <c r="G58" s="86"/>
      <c r="H58" s="49"/>
      <c r="I58" s="49"/>
    </row>
    <row r="59" spans="1:9" x14ac:dyDescent="0.25">
      <c r="A59" s="69"/>
      <c r="B59" s="70"/>
      <c r="C59" s="51"/>
      <c r="D59" s="60"/>
      <c r="E59" s="60"/>
      <c r="F59" s="51"/>
      <c r="G59" s="37"/>
      <c r="H59" s="61"/>
      <c r="I59" s="61"/>
    </row>
    <row r="60" spans="1:9" x14ac:dyDescent="0.25">
      <c r="A60" s="73"/>
      <c r="B60" s="62" t="s">
        <v>119</v>
      </c>
      <c r="C60" s="15" t="s">
        <v>118</v>
      </c>
      <c r="D60" s="74"/>
      <c r="E60" s="74"/>
      <c r="F60" s="52" t="s">
        <v>71</v>
      </c>
      <c r="G60" s="79">
        <f>I60/2546.8</f>
        <v>0</v>
      </c>
      <c r="H60" s="53"/>
      <c r="I60" s="53"/>
    </row>
    <row r="61" spans="1:9" x14ac:dyDescent="0.25">
      <c r="A61" s="2" t="s">
        <v>209</v>
      </c>
      <c r="B61" s="2"/>
      <c r="C61" s="2"/>
      <c r="D61" s="114" t="s">
        <v>123</v>
      </c>
      <c r="F61" s="2" t="s">
        <v>124</v>
      </c>
      <c r="G61" s="2" t="s">
        <v>262</v>
      </c>
      <c r="H61" s="2"/>
      <c r="I61" s="2" t="s">
        <v>263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C9" sqref="C9"/>
    </sheetView>
  </sheetViews>
  <sheetFormatPr defaultRowHeight="15" x14ac:dyDescent="0.25"/>
  <cols>
    <col min="1" max="1" width="6.5703125" style="3" customWidth="1"/>
    <col min="2" max="2" width="32.140625" style="3" customWidth="1"/>
    <col min="3" max="3" width="13.140625" style="3" customWidth="1"/>
    <col min="4" max="4" width="9.140625" style="3" customWidth="1"/>
    <col min="5" max="5" width="10.28515625" style="3" customWidth="1"/>
    <col min="6" max="6" width="10.85546875" style="3" customWidth="1"/>
    <col min="7" max="7" width="11" style="3" customWidth="1"/>
    <col min="8" max="8" width="9.140625" style="3"/>
    <col min="9" max="9" width="19.42578125" style="3" customWidth="1"/>
    <col min="10" max="16384" width="9.140625" style="3"/>
  </cols>
  <sheetData>
    <row r="1" spans="1:13" x14ac:dyDescent="0.25">
      <c r="A1" s="143" t="s">
        <v>0</v>
      </c>
      <c r="B1" s="143"/>
      <c r="C1" s="143"/>
      <c r="D1" s="143"/>
      <c r="E1" s="143"/>
      <c r="F1" s="143"/>
      <c r="G1" s="143"/>
      <c r="H1" s="144"/>
      <c r="I1" s="144"/>
      <c r="J1" s="143"/>
      <c r="K1" s="144"/>
      <c r="L1" s="144"/>
      <c r="M1" s="144"/>
    </row>
    <row r="2" spans="1:13" x14ac:dyDescent="0.25">
      <c r="A2" s="143" t="s">
        <v>1</v>
      </c>
      <c r="B2" s="143"/>
      <c r="C2" s="143"/>
      <c r="D2" s="143"/>
      <c r="E2" s="143"/>
      <c r="F2" s="143"/>
      <c r="G2" s="143"/>
      <c r="H2" s="144"/>
      <c r="I2" s="144"/>
      <c r="J2" s="143"/>
      <c r="K2" s="144"/>
      <c r="L2" s="144"/>
      <c r="M2" s="144"/>
    </row>
    <row r="3" spans="1:13" x14ac:dyDescent="0.25">
      <c r="A3" s="143" t="s">
        <v>2</v>
      </c>
      <c r="B3" s="143"/>
      <c r="C3" s="143"/>
      <c r="D3" s="143"/>
      <c r="E3" s="143"/>
      <c r="F3" s="143"/>
      <c r="G3" s="143"/>
      <c r="H3" s="144"/>
      <c r="I3" s="144"/>
      <c r="J3" s="143"/>
      <c r="K3" s="144"/>
      <c r="L3" s="144"/>
      <c r="M3" s="144"/>
    </row>
    <row r="4" spans="1:13" x14ac:dyDescent="0.25">
      <c r="A4" s="143" t="s">
        <v>127</v>
      </c>
      <c r="B4" s="143"/>
      <c r="C4" s="143"/>
      <c r="D4" s="143"/>
      <c r="E4" s="143"/>
      <c r="F4" s="143"/>
      <c r="G4" s="143"/>
      <c r="H4" s="144"/>
      <c r="I4" s="144"/>
      <c r="J4" s="143"/>
      <c r="K4" s="144"/>
      <c r="L4" s="144"/>
      <c r="M4" s="144"/>
    </row>
    <row r="5" spans="1:13" x14ac:dyDescent="0.25">
      <c r="A5" s="143" t="s">
        <v>4</v>
      </c>
      <c r="B5" s="143"/>
      <c r="C5" s="143"/>
      <c r="D5" s="143"/>
      <c r="E5" s="143"/>
      <c r="F5" s="143"/>
      <c r="G5" s="143"/>
      <c r="H5" s="144"/>
      <c r="I5" s="144"/>
      <c r="J5" s="143"/>
      <c r="K5" s="144"/>
      <c r="L5" s="144"/>
      <c r="M5" s="144"/>
    </row>
    <row r="6" spans="1:13" x14ac:dyDescent="0.25">
      <c r="A6" s="143" t="s">
        <v>489</v>
      </c>
      <c r="B6" s="143"/>
      <c r="C6" s="143"/>
      <c r="D6" s="143"/>
      <c r="E6" s="143"/>
      <c r="F6" s="143"/>
      <c r="G6" s="143"/>
      <c r="H6" s="144"/>
      <c r="I6" s="144"/>
      <c r="J6" s="143"/>
      <c r="K6" s="144"/>
      <c r="L6" s="144"/>
      <c r="M6" s="144"/>
    </row>
    <row r="7" spans="1:13" x14ac:dyDescent="0.25">
      <c r="A7" s="143" t="s">
        <v>490</v>
      </c>
      <c r="B7" s="143"/>
      <c r="C7" s="143"/>
      <c r="D7" s="143"/>
      <c r="E7" s="143"/>
      <c r="F7" s="143"/>
      <c r="G7" s="143"/>
      <c r="H7" s="144"/>
      <c r="I7" s="144"/>
      <c r="J7" s="143"/>
      <c r="K7" s="144"/>
      <c r="L7" s="144"/>
      <c r="M7" s="144"/>
    </row>
    <row r="8" spans="1:13" x14ac:dyDescent="0.25">
      <c r="A8" s="143" t="s">
        <v>491</v>
      </c>
      <c r="B8" s="143"/>
      <c r="C8" s="143"/>
      <c r="D8" s="143"/>
      <c r="E8" s="143"/>
      <c r="F8" s="143"/>
      <c r="G8" s="143"/>
      <c r="H8" s="144"/>
      <c r="I8" s="144"/>
      <c r="J8" s="143"/>
      <c r="K8" s="144"/>
      <c r="L8" s="144"/>
      <c r="M8" s="144"/>
    </row>
    <row r="9" spans="1:13" x14ac:dyDescent="0.25">
      <c r="A9" s="143" t="s">
        <v>190</v>
      </c>
      <c r="B9" s="143"/>
      <c r="C9" s="143"/>
      <c r="D9" s="143"/>
      <c r="E9" s="143"/>
      <c r="F9" s="143"/>
      <c r="G9" s="143"/>
      <c r="H9" s="144"/>
      <c r="I9" s="144"/>
      <c r="J9" s="143"/>
      <c r="K9" s="144"/>
      <c r="L9" s="144"/>
      <c r="M9" s="144"/>
    </row>
    <row r="10" spans="1:13" x14ac:dyDescent="0.25">
      <c r="A10" s="144" t="s">
        <v>9</v>
      </c>
      <c r="B10" s="144"/>
      <c r="C10" s="143"/>
      <c r="D10" s="143"/>
      <c r="E10" s="143"/>
      <c r="F10" s="143"/>
      <c r="G10" s="143"/>
      <c r="H10" s="144"/>
      <c r="I10" s="144"/>
      <c r="J10" s="143"/>
      <c r="K10" s="144"/>
      <c r="L10" s="144"/>
      <c r="M10" s="144"/>
    </row>
    <row r="11" spans="1:13" x14ac:dyDescent="0.25">
      <c r="A11" s="144" t="s">
        <v>10</v>
      </c>
      <c r="B11" s="144"/>
      <c r="C11" s="143"/>
      <c r="D11" s="143"/>
      <c r="E11" s="143"/>
      <c r="F11" s="143"/>
      <c r="G11" s="143"/>
      <c r="H11" s="144"/>
      <c r="I11" s="144"/>
      <c r="J11" s="145"/>
      <c r="K11" s="144"/>
      <c r="L11" s="144"/>
      <c r="M11" s="144"/>
    </row>
    <row r="12" spans="1:13" x14ac:dyDescent="0.25">
      <c r="A12" s="144" t="s">
        <v>11</v>
      </c>
      <c r="B12" s="144"/>
      <c r="C12" s="143"/>
      <c r="D12" s="143"/>
      <c r="E12" s="143"/>
      <c r="F12" s="143"/>
      <c r="G12" s="143"/>
      <c r="H12" s="144"/>
      <c r="I12" s="144"/>
      <c r="J12" s="145"/>
      <c r="K12" s="144"/>
      <c r="L12" s="144"/>
      <c r="M12" s="144"/>
    </row>
    <row r="13" spans="1:13" x14ac:dyDescent="0.25">
      <c r="A13" s="146" t="s">
        <v>12</v>
      </c>
      <c r="B13" s="146" t="s">
        <v>13</v>
      </c>
      <c r="C13" s="147" t="s">
        <v>14</v>
      </c>
      <c r="D13" s="148" t="s">
        <v>15</v>
      </c>
      <c r="E13" s="146" t="s">
        <v>16</v>
      </c>
      <c r="F13" s="146" t="s">
        <v>17</v>
      </c>
      <c r="G13" s="146" t="s">
        <v>18</v>
      </c>
      <c r="H13" s="146" t="s">
        <v>15</v>
      </c>
      <c r="I13" s="146" t="s">
        <v>19</v>
      </c>
      <c r="J13" s="145"/>
      <c r="K13" s="144"/>
      <c r="L13" s="144"/>
      <c r="M13" s="144"/>
    </row>
    <row r="14" spans="1:13" x14ac:dyDescent="0.25">
      <c r="A14" s="149" t="s">
        <v>20</v>
      </c>
      <c r="B14" s="149"/>
      <c r="C14" s="150" t="s">
        <v>134</v>
      </c>
      <c r="D14" s="151" t="s">
        <v>22</v>
      </c>
      <c r="E14" s="149" t="s">
        <v>23</v>
      </c>
      <c r="F14" s="149" t="s">
        <v>23</v>
      </c>
      <c r="G14" s="149" t="s">
        <v>24</v>
      </c>
      <c r="H14" s="149" t="s">
        <v>25</v>
      </c>
      <c r="I14" s="149" t="s">
        <v>136</v>
      </c>
      <c r="J14" s="145"/>
      <c r="K14" s="144"/>
      <c r="L14" s="144"/>
      <c r="M14" s="144"/>
    </row>
    <row r="15" spans="1:13" x14ac:dyDescent="0.25">
      <c r="A15" s="149"/>
      <c r="B15" s="149"/>
      <c r="C15" s="150" t="s">
        <v>27</v>
      </c>
      <c r="D15" s="152" t="s">
        <v>28</v>
      </c>
      <c r="E15" s="149"/>
      <c r="F15" s="149"/>
      <c r="G15" s="149" t="s">
        <v>29</v>
      </c>
      <c r="H15" s="149" t="s">
        <v>30</v>
      </c>
      <c r="I15" s="149" t="s">
        <v>138</v>
      </c>
      <c r="J15" s="145"/>
      <c r="K15" s="144"/>
      <c r="L15" s="144"/>
      <c r="M15" s="144"/>
    </row>
    <row r="16" spans="1:13" x14ac:dyDescent="0.25">
      <c r="A16" s="149"/>
      <c r="B16" s="149"/>
      <c r="C16" s="150" t="s">
        <v>139</v>
      </c>
      <c r="D16" s="152" t="s">
        <v>33</v>
      </c>
      <c r="E16" s="149" t="s">
        <v>33</v>
      </c>
      <c r="F16" s="149" t="s">
        <v>33</v>
      </c>
      <c r="G16" s="149" t="s">
        <v>33</v>
      </c>
      <c r="H16" s="149" t="s">
        <v>33</v>
      </c>
      <c r="I16" s="149" t="s">
        <v>34</v>
      </c>
      <c r="J16" s="145"/>
      <c r="K16" s="144"/>
      <c r="L16" s="144"/>
      <c r="M16" s="144"/>
    </row>
    <row r="17" spans="1:13" x14ac:dyDescent="0.25">
      <c r="A17" s="148">
        <v>1</v>
      </c>
      <c r="B17" s="148">
        <v>2</v>
      </c>
      <c r="C17" s="153">
        <v>3</v>
      </c>
      <c r="D17" s="154">
        <v>4</v>
      </c>
      <c r="E17" s="148">
        <v>5</v>
      </c>
      <c r="F17" s="148">
        <v>6</v>
      </c>
      <c r="G17" s="148">
        <v>7</v>
      </c>
      <c r="H17" s="148">
        <v>8</v>
      </c>
      <c r="I17" s="148">
        <v>9</v>
      </c>
      <c r="J17" s="145"/>
      <c r="K17" s="144"/>
      <c r="L17" s="144"/>
      <c r="M17" s="144"/>
    </row>
    <row r="18" spans="1:13" x14ac:dyDescent="0.25">
      <c r="A18" s="149">
        <v>1</v>
      </c>
      <c r="B18" s="149" t="s">
        <v>323</v>
      </c>
      <c r="C18" s="145">
        <v>7.56</v>
      </c>
      <c r="D18" s="155">
        <v>-14063.74</v>
      </c>
      <c r="E18" s="149">
        <v>27292.080000000002</v>
      </c>
      <c r="F18" s="149">
        <v>25044.95</v>
      </c>
      <c r="G18" s="149">
        <v>27292.080000000002</v>
      </c>
      <c r="H18" s="156">
        <f>D18-E18+F18</f>
        <v>-16310.869999999999</v>
      </c>
      <c r="I18" s="156">
        <f>H18</f>
        <v>-16310.869999999999</v>
      </c>
      <c r="J18" s="145"/>
      <c r="K18" s="144"/>
      <c r="L18" s="144"/>
      <c r="M18" s="144"/>
    </row>
    <row r="19" spans="1:13" x14ac:dyDescent="0.25">
      <c r="A19" s="157" t="s">
        <v>38</v>
      </c>
      <c r="B19" s="148" t="s">
        <v>37</v>
      </c>
      <c r="C19" s="158">
        <v>2.62</v>
      </c>
      <c r="D19" s="159"/>
      <c r="E19" s="160">
        <f>E18*34.5%</f>
        <v>9415.7675999999992</v>
      </c>
      <c r="F19" s="160">
        <f>F18*34.5%</f>
        <v>8640.5077499999989</v>
      </c>
      <c r="G19" s="160">
        <f t="shared" ref="G19:G24" si="0">E19</f>
        <v>9415.7675999999992</v>
      </c>
      <c r="H19" s="161"/>
      <c r="I19" s="161"/>
      <c r="J19" s="145"/>
      <c r="K19" s="144"/>
      <c r="L19" s="144"/>
      <c r="M19" s="144"/>
    </row>
    <row r="20" spans="1:13" x14ac:dyDescent="0.25">
      <c r="A20" s="162" t="s">
        <v>40</v>
      </c>
      <c r="B20" s="146" t="s">
        <v>39</v>
      </c>
      <c r="C20" s="163">
        <v>1.33</v>
      </c>
      <c r="D20" s="164"/>
      <c r="E20" s="165">
        <f>E18*18%</f>
        <v>4912.5744000000004</v>
      </c>
      <c r="F20" s="165">
        <f>F18*18%</f>
        <v>4508.0910000000003</v>
      </c>
      <c r="G20" s="165">
        <f t="shared" si="0"/>
        <v>4912.5744000000004</v>
      </c>
      <c r="H20" s="156"/>
      <c r="I20" s="166"/>
      <c r="J20" s="145"/>
      <c r="K20" s="144"/>
      <c r="L20" s="144"/>
      <c r="M20" s="144"/>
    </row>
    <row r="21" spans="1:13" x14ac:dyDescent="0.25">
      <c r="A21" s="162" t="s">
        <v>42</v>
      </c>
      <c r="B21" s="146" t="s">
        <v>41</v>
      </c>
      <c r="C21" s="163">
        <v>1.22</v>
      </c>
      <c r="D21" s="164"/>
      <c r="E21" s="165">
        <f>E18*16%</f>
        <v>4366.7328000000007</v>
      </c>
      <c r="F21" s="165">
        <f>F18*16%</f>
        <v>4007.192</v>
      </c>
      <c r="G21" s="165">
        <f t="shared" si="0"/>
        <v>4366.7328000000007</v>
      </c>
      <c r="H21" s="161"/>
      <c r="I21" s="166"/>
      <c r="J21" s="145"/>
      <c r="K21" s="144"/>
      <c r="L21" s="144"/>
      <c r="M21" s="144"/>
    </row>
    <row r="22" spans="1:13" x14ac:dyDescent="0.25">
      <c r="A22" s="162" t="s">
        <v>44</v>
      </c>
      <c r="B22" s="146" t="s">
        <v>43</v>
      </c>
      <c r="C22" s="163">
        <v>2.39</v>
      </c>
      <c r="D22" s="164"/>
      <c r="E22" s="165">
        <f>E18*31.5%</f>
        <v>8597.0052000000014</v>
      </c>
      <c r="F22" s="165">
        <f>F18*31.5%</f>
        <v>7889.1592500000006</v>
      </c>
      <c r="G22" s="165">
        <f t="shared" si="0"/>
        <v>8597.0052000000014</v>
      </c>
      <c r="H22" s="156"/>
      <c r="I22" s="166"/>
      <c r="J22" s="145"/>
      <c r="K22" s="144"/>
      <c r="L22" s="144"/>
      <c r="M22" s="144"/>
    </row>
    <row r="23" spans="1:13" x14ac:dyDescent="0.25">
      <c r="A23" s="162" t="s">
        <v>46</v>
      </c>
      <c r="B23" s="146" t="s">
        <v>47</v>
      </c>
      <c r="C23" s="163">
        <v>1.58151</v>
      </c>
      <c r="D23" s="161"/>
      <c r="E23" s="153">
        <v>6197.97</v>
      </c>
      <c r="F23" s="148">
        <v>4445.54</v>
      </c>
      <c r="G23" s="153">
        <f t="shared" si="0"/>
        <v>6197.97</v>
      </c>
      <c r="H23" s="161">
        <f>D23-E23+F23</f>
        <v>-1752.4300000000003</v>
      </c>
      <c r="I23" s="161">
        <f>H23</f>
        <v>-1752.4300000000003</v>
      </c>
      <c r="J23" s="145"/>
      <c r="K23" s="144"/>
      <c r="L23" s="144"/>
      <c r="M23" s="144"/>
    </row>
    <row r="24" spans="1:13" x14ac:dyDescent="0.25">
      <c r="A24" s="157" t="s">
        <v>48</v>
      </c>
      <c r="B24" s="148" t="s">
        <v>49</v>
      </c>
      <c r="C24" s="158" t="s">
        <v>50</v>
      </c>
      <c r="D24" s="159">
        <v>-9330.91</v>
      </c>
      <c r="E24" s="148">
        <v>14688.21</v>
      </c>
      <c r="F24" s="148">
        <v>12922.87</v>
      </c>
      <c r="G24" s="148">
        <f t="shared" si="0"/>
        <v>14688.21</v>
      </c>
      <c r="H24" s="161">
        <f>D24+E24-F24</f>
        <v>-7565.5700000000015</v>
      </c>
      <c r="I24" s="161">
        <f>H24</f>
        <v>-7565.5700000000015</v>
      </c>
      <c r="J24" s="145"/>
      <c r="K24" s="144"/>
      <c r="L24" s="144"/>
      <c r="M24" s="144"/>
    </row>
    <row r="25" spans="1:13" x14ac:dyDescent="0.25">
      <c r="A25" s="167" t="s">
        <v>51</v>
      </c>
      <c r="B25" s="167" t="s">
        <v>459</v>
      </c>
      <c r="C25" s="168">
        <v>1.65</v>
      </c>
      <c r="D25" s="169">
        <v>37363.589999999997</v>
      </c>
      <c r="E25" s="167">
        <v>5956.8</v>
      </c>
      <c r="F25" s="167">
        <v>5479.33</v>
      </c>
      <c r="G25" s="167">
        <v>0</v>
      </c>
      <c r="H25" s="156">
        <f>D25+F25-G25</f>
        <v>42842.92</v>
      </c>
      <c r="I25" s="170"/>
      <c r="J25" s="145"/>
      <c r="K25" s="144"/>
      <c r="L25" s="144"/>
      <c r="M25" s="144"/>
    </row>
    <row r="26" spans="1:13" x14ac:dyDescent="0.25">
      <c r="A26" s="167" t="s">
        <v>55</v>
      </c>
      <c r="B26" s="167" t="s">
        <v>492</v>
      </c>
      <c r="C26" s="171">
        <v>0</v>
      </c>
      <c r="D26" s="169">
        <v>-19733.32</v>
      </c>
      <c r="E26" s="167">
        <v>0</v>
      </c>
      <c r="F26" s="167">
        <v>0</v>
      </c>
      <c r="G26" s="167"/>
      <c r="H26" s="161">
        <f>D26+E26-F26</f>
        <v>-19733.32</v>
      </c>
      <c r="I26" s="170">
        <v>-19733.32</v>
      </c>
      <c r="J26" s="145"/>
      <c r="K26" s="144"/>
      <c r="L26" s="144"/>
      <c r="M26" s="144"/>
    </row>
    <row r="27" spans="1:13" x14ac:dyDescent="0.25">
      <c r="A27" s="167"/>
      <c r="B27" s="167" t="s">
        <v>149</v>
      </c>
      <c r="C27" s="171">
        <v>0</v>
      </c>
      <c r="D27" s="172"/>
      <c r="E27" s="167">
        <v>0</v>
      </c>
      <c r="F27" s="167">
        <v>0</v>
      </c>
      <c r="G27" s="167"/>
      <c r="H27" s="170"/>
      <c r="I27" s="170"/>
      <c r="J27" s="145"/>
      <c r="K27" s="144"/>
      <c r="L27" s="144"/>
      <c r="M27" s="144"/>
    </row>
    <row r="28" spans="1:13" x14ac:dyDescent="0.25">
      <c r="A28" s="143" t="s">
        <v>58</v>
      </c>
      <c r="B28" s="143"/>
      <c r="C28" s="143"/>
      <c r="D28" s="143"/>
      <c r="E28" s="143"/>
      <c r="F28" s="143"/>
      <c r="G28" s="143"/>
      <c r="H28" s="143"/>
      <c r="I28" s="143"/>
      <c r="J28" s="145"/>
      <c r="K28" s="144"/>
      <c r="L28" s="144"/>
      <c r="M28" s="144"/>
    </row>
    <row r="29" spans="1:13" x14ac:dyDescent="0.25">
      <c r="A29" s="143" t="s">
        <v>493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  <c r="L29" s="144"/>
      <c r="M29" s="144"/>
    </row>
    <row r="30" spans="1:13" x14ac:dyDescent="0.25">
      <c r="A30" s="146" t="s">
        <v>71</v>
      </c>
      <c r="B30" s="147" t="s">
        <v>72</v>
      </c>
      <c r="C30" s="146" t="s">
        <v>73</v>
      </c>
      <c r="D30" s="146" t="s">
        <v>74</v>
      </c>
      <c r="E30" s="147" t="s">
        <v>75</v>
      </c>
      <c r="F30" s="146" t="s">
        <v>76</v>
      </c>
      <c r="G30" s="147" t="s">
        <v>77</v>
      </c>
      <c r="H30" s="146" t="s">
        <v>78</v>
      </c>
      <c r="I30" s="146" t="s">
        <v>19</v>
      </c>
      <c r="J30" s="145"/>
      <c r="K30" s="144"/>
      <c r="L30" s="144"/>
      <c r="M30" s="144"/>
    </row>
    <row r="31" spans="1:13" x14ac:dyDescent="0.25">
      <c r="A31" s="149"/>
      <c r="B31" s="150" t="s">
        <v>79</v>
      </c>
      <c r="C31" s="149" t="s">
        <v>80</v>
      </c>
      <c r="D31" s="149" t="s">
        <v>81</v>
      </c>
      <c r="E31" s="150" t="s">
        <v>82</v>
      </c>
      <c r="F31" s="149" t="s">
        <v>83</v>
      </c>
      <c r="G31" s="150" t="s">
        <v>84</v>
      </c>
      <c r="H31" s="149" t="s">
        <v>85</v>
      </c>
      <c r="I31" s="149" t="s">
        <v>86</v>
      </c>
      <c r="J31" s="145"/>
      <c r="K31" s="144"/>
      <c r="L31" s="144"/>
      <c r="M31" s="144"/>
    </row>
    <row r="32" spans="1:13" x14ac:dyDescent="0.25">
      <c r="A32" s="167"/>
      <c r="B32" s="171"/>
      <c r="C32" s="167"/>
      <c r="D32" s="167"/>
      <c r="E32" s="171"/>
      <c r="F32" s="167" t="s">
        <v>87</v>
      </c>
      <c r="G32" s="171" t="s">
        <v>88</v>
      </c>
      <c r="H32" s="167"/>
      <c r="I32" s="167" t="s">
        <v>30</v>
      </c>
      <c r="J32" s="145"/>
      <c r="K32" s="144"/>
      <c r="L32" s="144"/>
      <c r="M32" s="144"/>
    </row>
    <row r="33" spans="1:13" x14ac:dyDescent="0.25">
      <c r="A33" s="167">
        <v>1</v>
      </c>
      <c r="B33" s="171" t="s">
        <v>90</v>
      </c>
      <c r="C33" s="170" t="s">
        <v>91</v>
      </c>
      <c r="D33" s="167">
        <v>-17308.16</v>
      </c>
      <c r="E33" s="171">
        <v>51996.97</v>
      </c>
      <c r="F33" s="167">
        <v>47577.69</v>
      </c>
      <c r="G33" s="171">
        <v>32699.25</v>
      </c>
      <c r="H33" s="167">
        <v>-17308.16</v>
      </c>
      <c r="I33" s="167">
        <v>-17308.16</v>
      </c>
      <c r="J33" s="145"/>
      <c r="K33" s="144"/>
      <c r="L33" s="144"/>
      <c r="M33" s="144"/>
    </row>
    <row r="34" spans="1:13" x14ac:dyDescent="0.25">
      <c r="A34" s="153"/>
      <c r="B34" s="148" t="s">
        <v>92</v>
      </c>
      <c r="C34" s="148" t="s">
        <v>93</v>
      </c>
      <c r="D34" s="153"/>
      <c r="E34" s="148"/>
      <c r="F34" s="153"/>
      <c r="G34" s="148"/>
      <c r="H34" s="148"/>
      <c r="I34" s="153"/>
      <c r="J34" s="143"/>
      <c r="K34" s="144"/>
      <c r="L34" s="144"/>
      <c r="M34" s="144"/>
    </row>
    <row r="35" spans="1:13" x14ac:dyDescent="0.25">
      <c r="A35" s="144"/>
      <c r="B35" s="144" t="s">
        <v>494</v>
      </c>
      <c r="C35" s="144"/>
      <c r="D35" s="144"/>
      <c r="E35" s="144"/>
      <c r="F35" s="144"/>
      <c r="G35" s="144"/>
      <c r="H35" s="144"/>
      <c r="I35" s="144"/>
      <c r="J35" s="143"/>
      <c r="K35" s="144"/>
      <c r="L35" s="144"/>
      <c r="M35" s="144"/>
    </row>
    <row r="36" spans="1:13" x14ac:dyDescent="0.25">
      <c r="A36" s="144" t="s">
        <v>495</v>
      </c>
      <c r="B36" s="144"/>
      <c r="C36" s="144"/>
      <c r="D36" s="144"/>
      <c r="E36" s="144"/>
      <c r="F36" s="144"/>
      <c r="G36" s="144"/>
      <c r="H36" s="144"/>
      <c r="I36" s="144"/>
      <c r="J36" s="143"/>
      <c r="K36" s="144"/>
      <c r="L36" s="144"/>
      <c r="M36" s="144"/>
    </row>
    <row r="37" spans="1:13" x14ac:dyDescent="0.25">
      <c r="A37" s="146" t="s">
        <v>12</v>
      </c>
      <c r="B37" s="147" t="s">
        <v>221</v>
      </c>
      <c r="C37" s="151" t="s">
        <v>103</v>
      </c>
      <c r="D37" s="147"/>
      <c r="E37" s="173"/>
      <c r="F37" s="151" t="s">
        <v>172</v>
      </c>
      <c r="G37" s="147"/>
      <c r="H37" s="173"/>
      <c r="I37" s="173" t="s">
        <v>105</v>
      </c>
      <c r="J37" s="143"/>
      <c r="K37" s="144"/>
      <c r="L37" s="144"/>
      <c r="M37" s="144"/>
    </row>
    <row r="38" spans="1:13" x14ac:dyDescent="0.25">
      <c r="A38" s="149" t="s">
        <v>106</v>
      </c>
      <c r="B38" s="150" t="s">
        <v>223</v>
      </c>
      <c r="C38" s="152"/>
      <c r="D38" s="150"/>
      <c r="E38" s="174"/>
      <c r="F38" s="152" t="s">
        <v>496</v>
      </c>
      <c r="G38" s="150"/>
      <c r="H38" s="174"/>
      <c r="I38" s="174" t="s">
        <v>108</v>
      </c>
      <c r="J38" s="143"/>
      <c r="K38" s="144"/>
      <c r="L38" s="144"/>
      <c r="M38" s="144"/>
    </row>
    <row r="39" spans="1:13" x14ac:dyDescent="0.25">
      <c r="A39" s="167"/>
      <c r="B39" s="171"/>
      <c r="C39" s="172"/>
      <c r="D39" s="171"/>
      <c r="E39" s="175"/>
      <c r="F39" s="172" t="s">
        <v>497</v>
      </c>
      <c r="G39" s="171"/>
      <c r="H39" s="175"/>
      <c r="I39" s="175"/>
      <c r="J39" s="143"/>
      <c r="K39" s="144"/>
      <c r="L39" s="144"/>
      <c r="M39" s="144"/>
    </row>
    <row r="40" spans="1:13" x14ac:dyDescent="0.25">
      <c r="A40" s="146" t="s">
        <v>110</v>
      </c>
      <c r="B40" s="147"/>
      <c r="C40" s="151" t="s">
        <v>111</v>
      </c>
      <c r="D40" s="147"/>
      <c r="E40" s="173"/>
      <c r="F40" s="151"/>
      <c r="G40" s="147"/>
      <c r="H40" s="173"/>
      <c r="I40" s="173"/>
      <c r="J40" s="143"/>
      <c r="K40" s="144"/>
      <c r="L40" s="144"/>
      <c r="M40" s="144"/>
    </row>
    <row r="41" spans="1:13" x14ac:dyDescent="0.25">
      <c r="A41" s="149"/>
      <c r="B41" s="150"/>
      <c r="C41" s="152" t="s">
        <v>112</v>
      </c>
      <c r="D41" s="150"/>
      <c r="E41" s="174"/>
      <c r="F41" s="152" t="s">
        <v>71</v>
      </c>
      <c r="G41" s="150"/>
      <c r="H41" s="174" t="s">
        <v>71</v>
      </c>
      <c r="I41" s="174" t="s">
        <v>71</v>
      </c>
      <c r="J41" s="143"/>
      <c r="K41" s="144"/>
      <c r="L41" s="144"/>
      <c r="M41" s="144"/>
    </row>
    <row r="42" spans="1:13" x14ac:dyDescent="0.25">
      <c r="A42" s="167"/>
      <c r="B42" s="171"/>
      <c r="C42" s="172" t="s">
        <v>118</v>
      </c>
      <c r="D42" s="171"/>
      <c r="E42" s="175"/>
      <c r="F42" s="172"/>
      <c r="G42" s="171">
        <v>0</v>
      </c>
      <c r="H42" s="175"/>
      <c r="I42" s="175">
        <v>0</v>
      </c>
      <c r="J42" s="143"/>
      <c r="K42" s="144"/>
      <c r="L42" s="144"/>
      <c r="M42" s="144"/>
    </row>
    <row r="43" spans="1:13" x14ac:dyDescent="0.25">
      <c r="A43" s="149"/>
      <c r="B43" s="150"/>
      <c r="C43" s="152"/>
      <c r="D43" s="150"/>
      <c r="E43" s="174"/>
      <c r="F43" s="152"/>
      <c r="G43" s="150"/>
      <c r="H43" s="174"/>
      <c r="I43" s="174"/>
      <c r="J43" s="143"/>
      <c r="K43" s="144"/>
      <c r="L43" s="144"/>
      <c r="M43" s="144"/>
    </row>
    <row r="44" spans="1:13" x14ac:dyDescent="0.25">
      <c r="A44" s="146" t="s">
        <v>48</v>
      </c>
      <c r="B44" s="147" t="s">
        <v>119</v>
      </c>
      <c r="C44" s="151" t="s">
        <v>120</v>
      </c>
      <c r="D44" s="147"/>
      <c r="E44" s="173"/>
      <c r="F44" s="151" t="s">
        <v>121</v>
      </c>
      <c r="G44" s="147"/>
      <c r="H44" s="173"/>
      <c r="I44" s="173"/>
      <c r="J44" s="143"/>
      <c r="K44" s="144"/>
      <c r="L44" s="144"/>
      <c r="M44" s="144"/>
    </row>
    <row r="45" spans="1:13" x14ac:dyDescent="0.25">
      <c r="A45" s="149"/>
      <c r="B45" s="150"/>
      <c r="C45" s="152"/>
      <c r="D45" s="150"/>
      <c r="E45" s="174"/>
      <c r="F45" s="152"/>
      <c r="G45" s="150"/>
      <c r="H45" s="174"/>
      <c r="I45" s="174"/>
      <c r="J45" s="143"/>
      <c r="K45" s="144"/>
      <c r="L45" s="144"/>
      <c r="M45" s="144"/>
    </row>
    <row r="46" spans="1:13" x14ac:dyDescent="0.25">
      <c r="A46" s="167"/>
      <c r="B46" s="171" t="s">
        <v>119</v>
      </c>
      <c r="C46" s="172" t="s">
        <v>118</v>
      </c>
      <c r="D46" s="171"/>
      <c r="E46" s="175"/>
      <c r="F46" s="172" t="s">
        <v>71</v>
      </c>
      <c r="G46" s="171"/>
      <c r="H46" s="175"/>
      <c r="I46" s="175">
        <v>0</v>
      </c>
      <c r="J46" s="143"/>
      <c r="K46" s="144"/>
      <c r="L46" s="144"/>
      <c r="M46" s="144"/>
    </row>
    <row r="47" spans="1:13" x14ac:dyDescent="0.25">
      <c r="A47" s="144"/>
      <c r="B47" s="144"/>
      <c r="C47" s="144"/>
      <c r="D47" s="144"/>
      <c r="E47" s="144"/>
      <c r="F47" s="144"/>
      <c r="G47" s="144"/>
      <c r="H47" s="144"/>
      <c r="I47" s="144"/>
      <c r="J47" s="143"/>
      <c r="K47" s="144"/>
      <c r="L47" s="144"/>
      <c r="M47" s="144"/>
    </row>
    <row r="48" spans="1:13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43"/>
      <c r="K48" s="144"/>
      <c r="L48" s="144"/>
      <c r="M48" s="144"/>
    </row>
    <row r="49" spans="1:13" x14ac:dyDescent="0.25">
      <c r="A49" s="144" t="s">
        <v>498</v>
      </c>
      <c r="B49" s="144"/>
      <c r="C49" s="144" t="s">
        <v>499</v>
      </c>
      <c r="D49" s="144"/>
      <c r="E49" s="144"/>
      <c r="F49" s="144"/>
      <c r="G49" s="144"/>
      <c r="H49" s="144"/>
      <c r="I49" s="144"/>
      <c r="J49" s="143"/>
      <c r="K49" s="144"/>
      <c r="L49" s="144"/>
      <c r="M49" s="144"/>
    </row>
    <row r="50" spans="1:13" x14ac:dyDescent="0.25">
      <c r="A50" s="144"/>
      <c r="B50" s="144"/>
      <c r="C50" s="144"/>
      <c r="D50" s="144"/>
      <c r="E50" s="144"/>
      <c r="F50" s="144"/>
      <c r="G50" s="144"/>
      <c r="H50" s="144"/>
      <c r="I50" s="144"/>
      <c r="J50" s="143"/>
      <c r="K50" s="144"/>
      <c r="L50" s="144"/>
      <c r="M50" s="144"/>
    </row>
    <row r="51" spans="1:13" x14ac:dyDescent="0.25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</row>
    <row r="52" spans="1:13" x14ac:dyDescent="0.25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</row>
    <row r="53" spans="1:13" x14ac:dyDescent="0.25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</row>
  </sheetData>
  <pageMargins left="0.7" right="0.7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4" zoomScale="110" zoomScaleNormal="110" workbookViewId="0">
      <selection activeCell="A8" sqref="A8:XFD8"/>
    </sheetView>
  </sheetViews>
  <sheetFormatPr defaultRowHeight="15" x14ac:dyDescent="0.25"/>
  <cols>
    <col min="1" max="1" width="5" style="3" customWidth="1"/>
    <col min="2" max="2" width="32.28515625" style="3" customWidth="1"/>
    <col min="3" max="3" width="13.85546875" style="3" customWidth="1"/>
    <col min="4" max="4" width="11.42578125" style="3" customWidth="1"/>
    <col min="5" max="5" width="11.28515625" style="3" customWidth="1"/>
    <col min="6" max="7" width="10.7109375" style="3" customWidth="1"/>
    <col min="8" max="8" width="12.42578125" style="3" customWidth="1"/>
    <col min="9" max="9" width="17.7109375" style="3" customWidth="1"/>
    <col min="10" max="16384" width="9.140625" style="3"/>
  </cols>
  <sheetData>
    <row r="1" spans="1:9" x14ac:dyDescent="0.25">
      <c r="A1" s="1" t="s">
        <v>500</v>
      </c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1"/>
      <c r="D5" s="1"/>
      <c r="E5" s="1"/>
      <c r="F5" s="1"/>
      <c r="G5" s="1"/>
      <c r="H5" s="1"/>
      <c r="I5" s="1"/>
    </row>
    <row r="6" spans="1:9" x14ac:dyDescent="0.25">
      <c r="A6" s="1" t="s">
        <v>501</v>
      </c>
      <c r="B6" s="1"/>
      <c r="C6" s="1"/>
      <c r="D6" s="1"/>
      <c r="E6" s="1"/>
      <c r="F6" s="1"/>
      <c r="G6" s="2"/>
      <c r="H6" s="2"/>
      <c r="I6" s="2"/>
    </row>
    <row r="7" spans="1:9" x14ac:dyDescent="0.25">
      <c r="A7" s="2" t="s">
        <v>502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503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504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309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>
        <v>1</v>
      </c>
      <c r="B18" s="14" t="s">
        <v>505</v>
      </c>
      <c r="C18" s="11">
        <v>7.97</v>
      </c>
      <c r="D18" s="43">
        <v>-6444.76</v>
      </c>
      <c r="E18" s="12">
        <v>244408.44</v>
      </c>
      <c r="F18" s="14">
        <v>230504.59</v>
      </c>
      <c r="G18" s="12">
        <f>E18</f>
        <v>244408.44</v>
      </c>
      <c r="H18" s="17">
        <f>D18+F18-G18</f>
        <v>-20348.610000000015</v>
      </c>
      <c r="I18" s="13">
        <f>H18</f>
        <v>-20348.610000000015</v>
      </c>
    </row>
    <row r="19" spans="1:9" x14ac:dyDescent="0.25">
      <c r="A19" s="73" t="s">
        <v>113</v>
      </c>
      <c r="B19" s="62" t="s">
        <v>37</v>
      </c>
      <c r="C19" s="74">
        <v>2.62</v>
      </c>
      <c r="D19" s="55"/>
      <c r="E19" s="141">
        <f>E18*33%</f>
        <v>80654.785199999998</v>
      </c>
      <c r="F19" s="54">
        <f>18:18*33%</f>
        <v>76066.5147</v>
      </c>
      <c r="G19" s="54">
        <f t="shared" ref="G19:G26" si="0">E19</f>
        <v>80654.785199999998</v>
      </c>
      <c r="H19" s="55"/>
      <c r="I19" s="54"/>
    </row>
    <row r="20" spans="1:9" x14ac:dyDescent="0.25">
      <c r="A20" s="24" t="s">
        <v>38</v>
      </c>
      <c r="B20" s="6" t="s">
        <v>39</v>
      </c>
      <c r="C20" s="58">
        <v>1.33</v>
      </c>
      <c r="D20" s="105"/>
      <c r="E20" s="75">
        <f>E18*17%</f>
        <v>41549.434800000003</v>
      </c>
      <c r="F20" s="75">
        <f>F18*17%</f>
        <v>39185.780300000006</v>
      </c>
      <c r="G20" s="75">
        <f t="shared" si="0"/>
        <v>41549.434800000003</v>
      </c>
      <c r="H20" s="105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110"/>
      <c r="E21" s="75">
        <f>E18*20%</f>
        <v>48881.688000000002</v>
      </c>
      <c r="F21" s="75">
        <f>F18*20%</f>
        <v>46100.918000000005</v>
      </c>
      <c r="G21" s="75">
        <f t="shared" si="0"/>
        <v>48881.688000000002</v>
      </c>
      <c r="H21" s="110"/>
      <c r="I21" s="75"/>
    </row>
    <row r="22" spans="1:9" x14ac:dyDescent="0.25">
      <c r="A22" s="36" t="s">
        <v>42</v>
      </c>
      <c r="B22" s="9" t="s">
        <v>43</v>
      </c>
      <c r="C22" s="10">
        <v>2.39</v>
      </c>
      <c r="D22" s="40"/>
      <c r="E22" s="29">
        <f>E18*30%</f>
        <v>73322.531999999992</v>
      </c>
      <c r="F22" s="29">
        <f>F18*30%</f>
        <v>69151.376999999993</v>
      </c>
      <c r="G22" s="29">
        <f t="shared" si="0"/>
        <v>73322.531999999992</v>
      </c>
      <c r="H22" s="40"/>
      <c r="I22" s="29"/>
    </row>
    <row r="23" spans="1:9" x14ac:dyDescent="0.25">
      <c r="A23" s="73" t="s">
        <v>44</v>
      </c>
      <c r="B23" s="62" t="s">
        <v>506</v>
      </c>
      <c r="C23" s="74">
        <v>0.70057999999999998</v>
      </c>
      <c r="D23" s="55"/>
      <c r="E23" s="54">
        <v>12832.21</v>
      </c>
      <c r="F23" s="54">
        <v>13892.12</v>
      </c>
      <c r="G23" s="40">
        <f>E23</f>
        <v>12832.21</v>
      </c>
      <c r="H23" s="40">
        <f>F23-E23</f>
        <v>1059.9100000000017</v>
      </c>
      <c r="I23" s="29"/>
    </row>
    <row r="24" spans="1:9" x14ac:dyDescent="0.25">
      <c r="A24" s="73" t="s">
        <v>46</v>
      </c>
      <c r="B24" s="62" t="s">
        <v>47</v>
      </c>
      <c r="C24" s="74">
        <v>2.4207800000000002</v>
      </c>
      <c r="D24" s="40"/>
      <c r="E24" s="9">
        <v>83522.320000000007</v>
      </c>
      <c r="F24" s="9">
        <v>70665.83</v>
      </c>
      <c r="G24" s="10">
        <f>E24</f>
        <v>83522.320000000007</v>
      </c>
      <c r="H24" s="9">
        <f>F24-E24</f>
        <v>-12856.490000000005</v>
      </c>
      <c r="I24" s="9">
        <f>H24</f>
        <v>-12856.490000000005</v>
      </c>
    </row>
    <row r="25" spans="1:9" x14ac:dyDescent="0.25">
      <c r="A25" s="12" t="s">
        <v>48</v>
      </c>
      <c r="B25" s="12" t="s">
        <v>143</v>
      </c>
      <c r="C25" s="14">
        <v>3.15</v>
      </c>
      <c r="D25" s="44">
        <v>-18670.45</v>
      </c>
      <c r="E25" s="108">
        <v>96088.06</v>
      </c>
      <c r="F25" s="17">
        <v>90586.21</v>
      </c>
      <c r="G25" s="20">
        <f>E25</f>
        <v>96088.06</v>
      </c>
      <c r="H25" s="16">
        <f>D25+F25-G25</f>
        <v>-24172.299999999988</v>
      </c>
      <c r="I25" s="44">
        <f>H25</f>
        <v>-24172.299999999988</v>
      </c>
    </row>
    <row r="26" spans="1:9" x14ac:dyDescent="0.25">
      <c r="A26" s="11" t="s">
        <v>51</v>
      </c>
      <c r="B26" s="11" t="s">
        <v>49</v>
      </c>
      <c r="C26" s="11" t="s">
        <v>50</v>
      </c>
      <c r="D26" s="43">
        <v>-1979.38</v>
      </c>
      <c r="E26" s="11">
        <v>103804.05</v>
      </c>
      <c r="F26" s="11">
        <v>91998</v>
      </c>
      <c r="G26" s="41">
        <f t="shared" si="0"/>
        <v>103804.05</v>
      </c>
      <c r="H26" s="42">
        <f>D26+F26-G26</f>
        <v>-13785.430000000008</v>
      </c>
      <c r="I26" s="43">
        <f>H26</f>
        <v>-13785.430000000008</v>
      </c>
    </row>
    <row r="27" spans="1:9" x14ac:dyDescent="0.25">
      <c r="A27" s="12" t="s">
        <v>55</v>
      </c>
      <c r="B27" s="12" t="s">
        <v>52</v>
      </c>
      <c r="C27" s="14">
        <v>1.82</v>
      </c>
      <c r="D27" s="11">
        <v>-19326.05</v>
      </c>
      <c r="E27" s="11">
        <v>55812.6</v>
      </c>
      <c r="F27" s="11">
        <f>F28+F29</f>
        <v>54681.55</v>
      </c>
      <c r="G27" s="12">
        <f>I61</f>
        <v>66524.75</v>
      </c>
      <c r="H27" s="11">
        <f>D27+F27-G27</f>
        <v>-31169.25</v>
      </c>
      <c r="I27" s="43"/>
    </row>
    <row r="28" spans="1:9" x14ac:dyDescent="0.25">
      <c r="A28" s="18"/>
      <c r="B28" s="6" t="s">
        <v>53</v>
      </c>
      <c r="C28" s="5"/>
      <c r="D28" s="15"/>
      <c r="E28" s="62"/>
      <c r="F28" s="62">
        <v>52645.440000000002</v>
      </c>
      <c r="G28" s="2">
        <f>I61</f>
        <v>66524.75</v>
      </c>
      <c r="H28" s="15"/>
      <c r="I28" s="44"/>
    </row>
    <row r="29" spans="1:9" x14ac:dyDescent="0.25">
      <c r="A29" s="11"/>
      <c r="B29" s="9" t="s">
        <v>54</v>
      </c>
      <c r="C29" s="41"/>
      <c r="D29" s="42"/>
      <c r="E29" s="9">
        <v>0</v>
      </c>
      <c r="F29" s="9">
        <v>2036.11</v>
      </c>
      <c r="G29" s="10">
        <v>0</v>
      </c>
      <c r="H29" s="42"/>
      <c r="I29" s="43"/>
    </row>
    <row r="30" spans="1:9" x14ac:dyDescent="0.25">
      <c r="A30" s="12" t="s">
        <v>59</v>
      </c>
      <c r="B30" s="12" t="s">
        <v>146</v>
      </c>
      <c r="C30" s="5"/>
      <c r="D30" s="59" t="s">
        <v>71</v>
      </c>
      <c r="E30" s="18"/>
      <c r="F30" s="18"/>
      <c r="G30" s="5" t="s">
        <v>147</v>
      </c>
      <c r="H30" s="59" t="s">
        <v>71</v>
      </c>
      <c r="I30" s="44" t="str">
        <f>H30</f>
        <v xml:space="preserve"> </v>
      </c>
    </row>
    <row r="31" spans="1:9" x14ac:dyDescent="0.25">
      <c r="A31" s="12"/>
      <c r="B31" s="12" t="s">
        <v>303</v>
      </c>
      <c r="C31" s="11">
        <v>0</v>
      </c>
      <c r="D31" s="42">
        <v>93101.68</v>
      </c>
      <c r="E31" s="11">
        <v>0</v>
      </c>
      <c r="F31" s="11">
        <f>F32</f>
        <v>0</v>
      </c>
      <c r="G31" s="41">
        <f>G32</f>
        <v>0</v>
      </c>
      <c r="H31" s="42">
        <f>D31+F31-G31</f>
        <v>93101.68</v>
      </c>
      <c r="I31" s="43"/>
    </row>
    <row r="32" spans="1:9" x14ac:dyDescent="0.25">
      <c r="A32" s="7"/>
      <c r="B32" s="62" t="s">
        <v>145</v>
      </c>
      <c r="C32" s="60"/>
      <c r="D32" s="8">
        <v>0</v>
      </c>
      <c r="E32" s="9">
        <v>0</v>
      </c>
      <c r="F32" s="9">
        <v>0</v>
      </c>
      <c r="G32" s="10">
        <f>I65</f>
        <v>0</v>
      </c>
      <c r="H32" s="8"/>
      <c r="I32" s="29"/>
    </row>
    <row r="33" spans="1:9" x14ac:dyDescent="0.25">
      <c r="A33" s="9"/>
      <c r="B33" s="9" t="s">
        <v>54</v>
      </c>
      <c r="C33" s="10">
        <v>0</v>
      </c>
      <c r="D33" s="8">
        <v>0</v>
      </c>
      <c r="E33" s="9">
        <v>0</v>
      </c>
      <c r="F33" s="9">
        <v>0</v>
      </c>
      <c r="G33" s="10">
        <v>0</v>
      </c>
      <c r="H33" s="8"/>
      <c r="I33" s="54"/>
    </row>
    <row r="34" spans="1:9" x14ac:dyDescent="0.25">
      <c r="A34" s="1" t="s">
        <v>58</v>
      </c>
      <c r="B34" s="1"/>
      <c r="C34" s="1"/>
      <c r="D34" s="176"/>
      <c r="E34" s="177"/>
      <c r="F34" s="117"/>
      <c r="G34" s="102"/>
      <c r="H34" s="102"/>
      <c r="I34" s="2"/>
    </row>
    <row r="35" spans="1:9" x14ac:dyDescent="0.25">
      <c r="A35" s="57" t="s">
        <v>196</v>
      </c>
      <c r="B35" s="48" t="s">
        <v>60</v>
      </c>
      <c r="C35" s="9" t="s">
        <v>61</v>
      </c>
      <c r="D35" s="9" t="s">
        <v>62</v>
      </c>
      <c r="E35" s="9" t="s">
        <v>507</v>
      </c>
      <c r="F35" s="9" t="s">
        <v>64</v>
      </c>
      <c r="G35" s="50"/>
      <c r="H35" s="8" t="s">
        <v>199</v>
      </c>
      <c r="I35" s="50"/>
    </row>
    <row r="36" spans="1:9" x14ac:dyDescent="0.25">
      <c r="A36" s="59"/>
      <c r="B36" s="51"/>
      <c r="C36" s="9" t="s">
        <v>66</v>
      </c>
      <c r="D36" s="50" t="s">
        <v>23</v>
      </c>
      <c r="E36" s="9" t="s">
        <v>312</v>
      </c>
      <c r="F36" s="9" t="s">
        <v>30</v>
      </c>
      <c r="G36" s="50"/>
      <c r="H36" s="74"/>
      <c r="I36" s="53"/>
    </row>
    <row r="37" spans="1:9" x14ac:dyDescent="0.25">
      <c r="A37" s="52"/>
      <c r="B37" s="52" t="s">
        <v>508</v>
      </c>
      <c r="C37" s="9">
        <v>10900.5</v>
      </c>
      <c r="D37" s="50">
        <v>5553</v>
      </c>
      <c r="E37" s="29">
        <f>D37*15%</f>
        <v>832.94999999999993</v>
      </c>
      <c r="F37" s="29">
        <f>C37+(D37-E37)</f>
        <v>15620.55</v>
      </c>
      <c r="G37" s="35"/>
      <c r="H37" s="79">
        <f>F37-G37</f>
        <v>15620.55</v>
      </c>
      <c r="I37" s="53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253</v>
      </c>
      <c r="H39" s="6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7" t="s">
        <v>85</v>
      </c>
      <c r="I40" s="7" t="s">
        <v>86</v>
      </c>
    </row>
    <row r="41" spans="1:9" x14ac:dyDescent="0.25">
      <c r="A41" s="7"/>
      <c r="B41" s="59"/>
      <c r="C41" s="7"/>
      <c r="D41" s="60"/>
      <c r="E41" s="7"/>
      <c r="F41" s="60" t="s">
        <v>87</v>
      </c>
      <c r="G41" s="7" t="s">
        <v>88</v>
      </c>
      <c r="H41" s="7"/>
      <c r="I41" s="7" t="s">
        <v>30</v>
      </c>
    </row>
    <row r="42" spans="1:9" x14ac:dyDescent="0.25">
      <c r="A42" s="9"/>
      <c r="B42" s="8"/>
      <c r="C42" s="9"/>
      <c r="D42" s="10"/>
      <c r="E42" s="9"/>
      <c r="F42" s="9"/>
      <c r="G42" s="10"/>
      <c r="H42" s="9"/>
      <c r="I42" s="9"/>
    </row>
    <row r="43" spans="1:9" x14ac:dyDescent="0.25">
      <c r="A43" s="9">
        <v>1</v>
      </c>
      <c r="B43" s="7" t="s">
        <v>90</v>
      </c>
      <c r="C43" s="5" t="s">
        <v>91</v>
      </c>
      <c r="D43" s="7">
        <v>-24761.65</v>
      </c>
      <c r="E43" s="112">
        <v>137295.53</v>
      </c>
      <c r="F43" s="7">
        <v>116683.03</v>
      </c>
      <c r="G43" s="112">
        <f>E43</f>
        <v>137295.53</v>
      </c>
      <c r="H43" s="7">
        <f>D43+F43-G43</f>
        <v>-45374.149999999994</v>
      </c>
      <c r="I43" s="62">
        <f>H43</f>
        <v>-45374.149999999994</v>
      </c>
    </row>
    <row r="44" spans="1:9" x14ac:dyDescent="0.25">
      <c r="A44" s="7"/>
      <c r="B44" s="9" t="s">
        <v>92</v>
      </c>
      <c r="C44" s="41" t="s">
        <v>93</v>
      </c>
      <c r="D44" s="9"/>
      <c r="E44" s="65"/>
      <c r="F44" s="9"/>
      <c r="G44" s="65"/>
      <c r="H44" s="9"/>
      <c r="I44" s="62"/>
    </row>
    <row r="45" spans="1:9" x14ac:dyDescent="0.25">
      <c r="A45" s="9">
        <v>2</v>
      </c>
      <c r="B45" s="7" t="s">
        <v>94</v>
      </c>
      <c r="C45" s="1" t="s">
        <v>95</v>
      </c>
      <c r="D45" s="62">
        <v>-75288.39</v>
      </c>
      <c r="E45" s="2">
        <v>207526.82</v>
      </c>
      <c r="F45" s="7">
        <v>165711.93</v>
      </c>
      <c r="G45" s="2">
        <f>E45</f>
        <v>207526.82</v>
      </c>
      <c r="H45" s="7">
        <f>D45+F45-G45</f>
        <v>-117103.28000000001</v>
      </c>
      <c r="I45" s="9">
        <f>H45</f>
        <v>-117103.28000000001</v>
      </c>
    </row>
    <row r="46" spans="1:9" x14ac:dyDescent="0.25">
      <c r="A46" s="9"/>
      <c r="B46" s="9" t="s">
        <v>96</v>
      </c>
      <c r="C46" s="41"/>
      <c r="D46" s="9" t="s">
        <v>71</v>
      </c>
      <c r="E46" s="10"/>
      <c r="F46" s="9"/>
      <c r="G46" s="10"/>
      <c r="H46" s="6" t="s">
        <v>71</v>
      </c>
      <c r="I46" s="9" t="str">
        <f>H46</f>
        <v xml:space="preserve"> </v>
      </c>
    </row>
    <row r="47" spans="1:9" x14ac:dyDescent="0.25">
      <c r="A47" s="50"/>
      <c r="B47" s="9" t="s">
        <v>202</v>
      </c>
      <c r="C47" s="41" t="s">
        <v>93</v>
      </c>
      <c r="D47" s="9"/>
      <c r="E47" s="10"/>
      <c r="F47" s="9"/>
      <c r="G47" s="10"/>
      <c r="H47" s="6"/>
      <c r="I47" s="9"/>
    </row>
    <row r="48" spans="1:9" x14ac:dyDescent="0.25">
      <c r="A48" s="50">
        <v>3</v>
      </c>
      <c r="B48" s="9" t="s">
        <v>98</v>
      </c>
      <c r="C48" s="41" t="s">
        <v>203</v>
      </c>
      <c r="D48" s="9">
        <v>-317510.42</v>
      </c>
      <c r="E48" s="10">
        <v>666011</v>
      </c>
      <c r="F48" s="9">
        <v>653374.06000000006</v>
      </c>
      <c r="G48" s="10">
        <f>E48</f>
        <v>666011</v>
      </c>
      <c r="H48" s="9">
        <f>D48+F48-G48</f>
        <v>-330147.35999999993</v>
      </c>
      <c r="I48" s="9">
        <f>H48</f>
        <v>-330147.35999999993</v>
      </c>
    </row>
    <row r="49" spans="1:9" x14ac:dyDescent="0.25">
      <c r="A49" s="1" t="s">
        <v>255</v>
      </c>
      <c r="B49" s="60"/>
      <c r="C49" s="5"/>
      <c r="D49" s="60"/>
      <c r="E49" s="60"/>
      <c r="F49" s="60"/>
      <c r="G49" s="60"/>
      <c r="H49" s="60"/>
      <c r="I49" s="60"/>
    </row>
    <row r="50" spans="1:9" x14ac:dyDescent="0.25">
      <c r="A50" s="5" t="s">
        <v>256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509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510</v>
      </c>
      <c r="G52" s="60"/>
      <c r="H52" s="61"/>
      <c r="I52" s="7" t="s">
        <v>108</v>
      </c>
    </row>
    <row r="53" spans="1:9" x14ac:dyDescent="0.25">
      <c r="A53" s="51"/>
      <c r="B53" s="7"/>
      <c r="C53" s="60"/>
      <c r="D53" s="60"/>
      <c r="E53" s="60"/>
      <c r="F53" s="51" t="s">
        <v>258</v>
      </c>
      <c r="G53" s="60"/>
      <c r="H53" s="61"/>
      <c r="I53" s="62"/>
    </row>
    <row r="54" spans="1:9" x14ac:dyDescent="0.25">
      <c r="A54" s="178" t="s">
        <v>110</v>
      </c>
      <c r="B54" s="25"/>
      <c r="C54" s="68" t="s">
        <v>111</v>
      </c>
      <c r="D54" s="68"/>
      <c r="E54" s="68"/>
      <c r="F54" s="48"/>
      <c r="G54" s="58"/>
      <c r="H54" s="49"/>
      <c r="I54" s="7"/>
    </row>
    <row r="55" spans="1:9" x14ac:dyDescent="0.25">
      <c r="A55" s="84"/>
      <c r="B55" s="7"/>
      <c r="C55" s="60" t="s">
        <v>112</v>
      </c>
      <c r="D55" s="60"/>
      <c r="E55" s="60"/>
      <c r="F55" s="51" t="s">
        <v>71</v>
      </c>
      <c r="G55" s="37"/>
      <c r="H55" s="61" t="s">
        <v>71</v>
      </c>
      <c r="I55" s="7" t="s">
        <v>71</v>
      </c>
    </row>
    <row r="56" spans="1:9" x14ac:dyDescent="0.25">
      <c r="A56" s="84" t="s">
        <v>113</v>
      </c>
      <c r="B56" s="70">
        <v>42779</v>
      </c>
      <c r="C56" s="60" t="s">
        <v>511</v>
      </c>
      <c r="D56" s="60"/>
      <c r="E56" s="60"/>
      <c r="F56" s="51"/>
      <c r="G56" s="37">
        <f>I56/2655.9</f>
        <v>7.2115704657554875</v>
      </c>
      <c r="H56" s="61"/>
      <c r="I56" s="7">
        <v>19153.21</v>
      </c>
    </row>
    <row r="57" spans="1:9" x14ac:dyDescent="0.25">
      <c r="A57" s="84" t="s">
        <v>38</v>
      </c>
      <c r="B57" s="70">
        <v>42851</v>
      </c>
      <c r="C57" s="60" t="s">
        <v>114</v>
      </c>
      <c r="D57" s="60"/>
      <c r="E57" s="60"/>
      <c r="F57" s="51"/>
      <c r="G57" s="37">
        <f>I57/2655.9</f>
        <v>3.7652020030874653</v>
      </c>
      <c r="H57" s="61"/>
      <c r="I57" s="7">
        <v>10000</v>
      </c>
    </row>
    <row r="58" spans="1:9" x14ac:dyDescent="0.25">
      <c r="A58" s="84" t="s">
        <v>40</v>
      </c>
      <c r="B58" s="70">
        <v>43008</v>
      </c>
      <c r="C58" s="60" t="s">
        <v>512</v>
      </c>
      <c r="D58" s="60"/>
      <c r="E58" s="60"/>
      <c r="F58" s="51"/>
      <c r="G58" s="37">
        <f>I58/2655.9</f>
        <v>1.6007906924206483</v>
      </c>
      <c r="H58" s="61"/>
      <c r="I58" s="7">
        <v>4251.54</v>
      </c>
    </row>
    <row r="59" spans="1:9" x14ac:dyDescent="0.25">
      <c r="A59" s="84" t="s">
        <v>42</v>
      </c>
      <c r="B59" s="70">
        <v>43100</v>
      </c>
      <c r="C59" s="60" t="s">
        <v>513</v>
      </c>
      <c r="D59" s="60"/>
      <c r="E59" s="60"/>
      <c r="F59" s="51"/>
      <c r="G59" s="37">
        <f>I59/2655.9</f>
        <v>12.470349034225686</v>
      </c>
      <c r="H59" s="61"/>
      <c r="I59" s="7">
        <v>33120</v>
      </c>
    </row>
    <row r="60" spans="1:9" x14ac:dyDescent="0.25">
      <c r="A60" s="84"/>
      <c r="B60" s="70"/>
      <c r="C60" s="60"/>
      <c r="D60" s="60"/>
      <c r="E60" s="60"/>
      <c r="F60" s="51"/>
      <c r="G60" s="37"/>
      <c r="H60" s="61"/>
      <c r="I60" s="7"/>
    </row>
    <row r="61" spans="1:9" x14ac:dyDescent="0.25">
      <c r="A61" s="84"/>
      <c r="B61" s="62"/>
      <c r="C61" s="5" t="s">
        <v>118</v>
      </c>
      <c r="D61" s="5"/>
      <c r="E61" s="5"/>
      <c r="F61" s="59"/>
      <c r="G61" s="20">
        <f>SUM(G55:G60)</f>
        <v>25.047912195489289</v>
      </c>
      <c r="H61" s="71"/>
      <c r="I61" s="18">
        <f>SUM(I56:I60)</f>
        <v>66524.75</v>
      </c>
    </row>
    <row r="62" spans="1:9" x14ac:dyDescent="0.25">
      <c r="A62" s="6"/>
      <c r="C62" s="48"/>
      <c r="D62" s="58"/>
      <c r="E62" s="49"/>
      <c r="F62" s="48"/>
      <c r="G62" s="58"/>
      <c r="H62" s="49"/>
      <c r="I62" s="6"/>
    </row>
    <row r="63" spans="1:9" x14ac:dyDescent="0.25">
      <c r="A63" s="6" t="s">
        <v>48</v>
      </c>
      <c r="B63" s="25" t="s">
        <v>119</v>
      </c>
      <c r="C63" s="57" t="s">
        <v>120</v>
      </c>
      <c r="D63" s="58"/>
      <c r="E63" s="49"/>
      <c r="F63" s="48" t="s">
        <v>121</v>
      </c>
      <c r="G63" s="58"/>
      <c r="H63" s="49"/>
      <c r="I63" s="6"/>
    </row>
    <row r="64" spans="1:9" x14ac:dyDescent="0.25">
      <c r="A64" s="69" t="s">
        <v>182</v>
      </c>
      <c r="B64" s="70"/>
      <c r="C64" s="51"/>
      <c r="D64" s="60"/>
      <c r="E64" s="61"/>
      <c r="F64" s="51"/>
      <c r="G64" s="37"/>
      <c r="H64" s="61"/>
      <c r="I64" s="7"/>
    </row>
    <row r="65" spans="1:9" x14ac:dyDescent="0.25">
      <c r="A65" s="73"/>
      <c r="B65" s="62" t="s">
        <v>119</v>
      </c>
      <c r="C65" s="15" t="s">
        <v>118</v>
      </c>
      <c r="D65" s="14"/>
      <c r="E65" s="85"/>
      <c r="F65" s="15" t="s">
        <v>71</v>
      </c>
      <c r="G65" s="78">
        <f>I65/2558.4</f>
        <v>0</v>
      </c>
      <c r="H65" s="85"/>
      <c r="I65" s="12">
        <f>SUM(I64:I64)</f>
        <v>0</v>
      </c>
    </row>
    <row r="66" spans="1:9" x14ac:dyDescent="0.25">
      <c r="A66" s="2" t="s">
        <v>514</v>
      </c>
      <c r="B66" s="60"/>
      <c r="C66" s="60"/>
      <c r="D66" s="114" t="s">
        <v>123</v>
      </c>
      <c r="E66" s="2" t="s">
        <v>124</v>
      </c>
      <c r="F66" s="2"/>
      <c r="G66" s="2" t="s">
        <v>262</v>
      </c>
      <c r="H66" s="2"/>
      <c r="I66" s="2" t="s">
        <v>263</v>
      </c>
    </row>
    <row r="67" spans="1:9" x14ac:dyDescent="0.25">
      <c r="A67" s="2"/>
      <c r="B67" s="2"/>
      <c r="C67" s="2"/>
    </row>
    <row r="68" spans="1:9" x14ac:dyDescent="0.25">
      <c r="B68" s="2"/>
    </row>
  </sheetData>
  <pageMargins left="0.7" right="0.7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22" zoomScale="110" zoomScaleNormal="110" workbookViewId="0">
      <selection activeCell="A67" sqref="A67"/>
    </sheetView>
  </sheetViews>
  <sheetFormatPr defaultRowHeight="15" x14ac:dyDescent="0.25"/>
  <cols>
    <col min="1" max="1" width="5.140625" style="3" customWidth="1"/>
    <col min="2" max="2" width="31.42578125" style="3" customWidth="1"/>
    <col min="3" max="3" width="12.42578125" style="3" customWidth="1"/>
    <col min="4" max="4" width="10.5703125" style="3" customWidth="1"/>
    <col min="5" max="5" width="10.85546875" style="3" customWidth="1"/>
    <col min="6" max="6" width="9.5703125" style="3" customWidth="1"/>
    <col min="7" max="7" width="11.140625" style="3" customWidth="1"/>
    <col min="8" max="8" width="13" style="3" customWidth="1"/>
    <col min="9" max="9" width="19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1"/>
      <c r="H6" s="2"/>
      <c r="I6" s="2"/>
    </row>
    <row r="7" spans="1:9" x14ac:dyDescent="0.25">
      <c r="A7" s="1" t="s">
        <v>515</v>
      </c>
      <c r="B7" s="1"/>
      <c r="C7" s="1"/>
      <c r="D7" s="1"/>
      <c r="E7" s="2"/>
      <c r="F7" s="2"/>
      <c r="G7" s="2"/>
      <c r="H7" s="2"/>
      <c r="I7" s="2"/>
    </row>
    <row r="8" spans="1:9" x14ac:dyDescent="0.25">
      <c r="A8" s="2" t="s">
        <v>516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517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11</v>
      </c>
      <c r="B13" s="1"/>
      <c r="C13" s="1"/>
      <c r="D13" s="1"/>
      <c r="E13" s="1"/>
      <c r="F13" s="1"/>
      <c r="G13" s="1"/>
      <c r="H13" s="1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518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519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239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57">
        <v>1</v>
      </c>
      <c r="B19" s="25" t="s">
        <v>191</v>
      </c>
      <c r="C19" s="25"/>
      <c r="D19" s="25"/>
      <c r="E19" s="27" t="s">
        <v>71</v>
      </c>
      <c r="F19" s="25" t="s">
        <v>71</v>
      </c>
      <c r="G19" s="25"/>
      <c r="H19" s="57" t="s">
        <v>71</v>
      </c>
      <c r="I19" s="45"/>
    </row>
    <row r="20" spans="1:9" x14ac:dyDescent="0.25">
      <c r="A20" s="15"/>
      <c r="B20" s="12" t="s">
        <v>192</v>
      </c>
      <c r="C20" s="12">
        <v>7.97</v>
      </c>
      <c r="D20" s="17">
        <v>26561.7</v>
      </c>
      <c r="E20" s="13">
        <v>366542.52</v>
      </c>
      <c r="F20" s="14">
        <v>372381.2</v>
      </c>
      <c r="G20" s="17">
        <f>E20</f>
        <v>366542.52</v>
      </c>
      <c r="H20" s="16">
        <f>D20+F20-G20</f>
        <v>32400.380000000005</v>
      </c>
      <c r="I20" s="17"/>
    </row>
    <row r="21" spans="1:9" x14ac:dyDescent="0.25">
      <c r="A21" s="7" t="s">
        <v>36</v>
      </c>
      <c r="B21" s="7" t="s">
        <v>457</v>
      </c>
      <c r="C21" s="60"/>
      <c r="D21" s="75"/>
      <c r="E21" s="60"/>
      <c r="F21" s="22"/>
      <c r="G21" s="7" t="s">
        <v>71</v>
      </c>
      <c r="H21" s="51"/>
      <c r="I21" s="75"/>
    </row>
    <row r="22" spans="1:9" x14ac:dyDescent="0.25">
      <c r="A22" s="62"/>
      <c r="B22" s="62" t="s">
        <v>458</v>
      </c>
      <c r="C22" s="74">
        <v>2.62</v>
      </c>
      <c r="D22" s="54"/>
      <c r="E22" s="179">
        <f>E20*33%</f>
        <v>120959.03160000002</v>
      </c>
      <c r="F22" s="54">
        <f>F20*33%</f>
        <v>122885.79600000002</v>
      </c>
      <c r="G22" s="54">
        <f t="shared" ref="G22:G29" si="0">E22</f>
        <v>120959.03160000002</v>
      </c>
      <c r="H22" s="55"/>
      <c r="I22" s="54"/>
    </row>
    <row r="23" spans="1:9" x14ac:dyDescent="0.25">
      <c r="A23" s="24" t="s">
        <v>38</v>
      </c>
      <c r="B23" s="6" t="s">
        <v>39</v>
      </c>
      <c r="C23" s="58">
        <v>1.33</v>
      </c>
      <c r="D23" s="75"/>
      <c r="E23" s="86">
        <f>E20*17%</f>
        <v>62312.228400000007</v>
      </c>
      <c r="F23" s="75">
        <f>F20*17%</f>
        <v>63304.804000000004</v>
      </c>
      <c r="G23" s="75">
        <f t="shared" si="0"/>
        <v>62312.228400000007</v>
      </c>
      <c r="H23" s="105"/>
      <c r="I23" s="75"/>
    </row>
    <row r="24" spans="1:9" x14ac:dyDescent="0.25">
      <c r="A24" s="24" t="s">
        <v>40</v>
      </c>
      <c r="B24" s="6" t="s">
        <v>41</v>
      </c>
      <c r="C24" s="58">
        <v>1.63</v>
      </c>
      <c r="D24" s="75"/>
      <c r="E24" s="86">
        <f>E20*20%</f>
        <v>73308.504000000001</v>
      </c>
      <c r="F24" s="75">
        <f>F20*20%</f>
        <v>74476.240000000005</v>
      </c>
      <c r="G24" s="75">
        <f t="shared" si="0"/>
        <v>73308.504000000001</v>
      </c>
      <c r="H24" s="110"/>
      <c r="I24" s="75"/>
    </row>
    <row r="25" spans="1:9" x14ac:dyDescent="0.25">
      <c r="A25" s="24" t="s">
        <v>42</v>
      </c>
      <c r="B25" s="6" t="s">
        <v>43</v>
      </c>
      <c r="C25" s="58">
        <v>2.39</v>
      </c>
      <c r="D25" s="29"/>
      <c r="E25" s="86">
        <f>E20*30%</f>
        <v>109962.75600000001</v>
      </c>
      <c r="F25" s="75">
        <f>F20*30%</f>
        <v>111714.36</v>
      </c>
      <c r="G25" s="29">
        <f t="shared" si="0"/>
        <v>109962.75600000001</v>
      </c>
      <c r="H25" s="105"/>
      <c r="I25" s="29"/>
    </row>
    <row r="26" spans="1:9" x14ac:dyDescent="0.25">
      <c r="A26" s="24" t="s">
        <v>44</v>
      </c>
      <c r="B26" s="6" t="s">
        <v>45</v>
      </c>
      <c r="C26" s="58">
        <v>0.46710000000000002</v>
      </c>
      <c r="D26" s="29"/>
      <c r="E26" s="86">
        <v>12981.29</v>
      </c>
      <c r="F26" s="75">
        <v>14211.9</v>
      </c>
      <c r="G26" s="86">
        <f>E26</f>
        <v>12981.29</v>
      </c>
      <c r="H26" s="105">
        <f>F26-E26</f>
        <v>1230.6099999999988</v>
      </c>
      <c r="I26" s="22"/>
    </row>
    <row r="27" spans="1:9" x14ac:dyDescent="0.25">
      <c r="A27" s="24" t="s">
        <v>46</v>
      </c>
      <c r="B27" s="6" t="s">
        <v>274</v>
      </c>
      <c r="C27" s="58">
        <v>2.46095</v>
      </c>
      <c r="D27" s="29"/>
      <c r="E27" s="9">
        <v>99597.59</v>
      </c>
      <c r="F27" s="10">
        <v>83631.83</v>
      </c>
      <c r="G27" s="9">
        <f>E27</f>
        <v>99597.59</v>
      </c>
      <c r="H27" s="9">
        <f>F27-E27</f>
        <v>-15965.759999999995</v>
      </c>
      <c r="I27" s="9">
        <f>H27</f>
        <v>-15965.759999999995</v>
      </c>
    </row>
    <row r="28" spans="1:9" x14ac:dyDescent="0.25">
      <c r="A28" s="11" t="s">
        <v>48</v>
      </c>
      <c r="B28" s="11" t="s">
        <v>49</v>
      </c>
      <c r="C28" s="11" t="s">
        <v>50</v>
      </c>
      <c r="D28" s="43">
        <v>-16865.599999999999</v>
      </c>
      <c r="E28" s="41">
        <v>155725.29</v>
      </c>
      <c r="F28" s="11">
        <v>149283.25</v>
      </c>
      <c r="G28" s="41">
        <f t="shared" si="0"/>
        <v>155725.29</v>
      </c>
      <c r="H28" s="42">
        <f>D28+F28-G28</f>
        <v>-23307.640000000014</v>
      </c>
      <c r="I28" s="43">
        <f>H28</f>
        <v>-23307.640000000014</v>
      </c>
    </row>
    <row r="29" spans="1:9" x14ac:dyDescent="0.25">
      <c r="A29" s="11" t="s">
        <v>51</v>
      </c>
      <c r="B29" s="42" t="s">
        <v>143</v>
      </c>
      <c r="C29" s="11">
        <v>3.15</v>
      </c>
      <c r="D29" s="34">
        <v>-9537.2999999999993</v>
      </c>
      <c r="E29" s="121">
        <v>144724.92000000001</v>
      </c>
      <c r="F29" s="33">
        <v>146768.51999999999</v>
      </c>
      <c r="G29" s="43">
        <f t="shared" si="0"/>
        <v>144724.92000000001</v>
      </c>
      <c r="H29" s="32">
        <f>D29+F29-G29</f>
        <v>-7493.7000000000116</v>
      </c>
      <c r="I29" s="43">
        <f>H29</f>
        <v>-7493.7000000000116</v>
      </c>
    </row>
    <row r="30" spans="1:9" x14ac:dyDescent="0.25">
      <c r="A30" s="12" t="s">
        <v>55</v>
      </c>
      <c r="B30" s="12" t="s">
        <v>459</v>
      </c>
      <c r="C30" s="14">
        <v>1.82</v>
      </c>
      <c r="D30" s="15">
        <v>165533.91</v>
      </c>
      <c r="E30" s="12">
        <v>83677.56</v>
      </c>
      <c r="F30" s="12">
        <v>84920.98</v>
      </c>
      <c r="G30" s="12">
        <f>I64</f>
        <v>32427.409999999996</v>
      </c>
      <c r="H30" s="15">
        <f>D30+F30-G30</f>
        <v>218027.48</v>
      </c>
      <c r="I30" s="44"/>
    </row>
    <row r="31" spans="1:9" x14ac:dyDescent="0.25">
      <c r="A31" s="11" t="s">
        <v>59</v>
      </c>
      <c r="B31" s="11" t="s">
        <v>424</v>
      </c>
      <c r="C31" s="43">
        <v>0</v>
      </c>
      <c r="D31" s="42">
        <v>148879.88</v>
      </c>
      <c r="E31" s="11">
        <f>E33</f>
        <v>0</v>
      </c>
      <c r="F31" s="11">
        <f>F33</f>
        <v>1.39</v>
      </c>
      <c r="G31" s="46">
        <v>0</v>
      </c>
      <c r="H31" s="42">
        <f>D31+F31-G31</f>
        <v>148881.27000000002</v>
      </c>
      <c r="I31" s="43"/>
    </row>
    <row r="32" spans="1:9" x14ac:dyDescent="0.25">
      <c r="A32" s="7"/>
      <c r="B32" s="62" t="s">
        <v>112</v>
      </c>
      <c r="C32" s="60"/>
      <c r="D32" s="22"/>
      <c r="E32" s="125"/>
      <c r="F32" s="22"/>
      <c r="G32" s="37"/>
      <c r="H32" s="38"/>
      <c r="I32" s="22"/>
    </row>
    <row r="33" spans="1:9" x14ac:dyDescent="0.25">
      <c r="A33" s="9"/>
      <c r="B33" s="9" t="s">
        <v>53</v>
      </c>
      <c r="C33" s="39">
        <v>0</v>
      </c>
      <c r="D33" s="9"/>
      <c r="E33" s="41">
        <v>0</v>
      </c>
      <c r="F33" s="11">
        <v>1.39</v>
      </c>
      <c r="G33" s="10">
        <f>I68</f>
        <v>0</v>
      </c>
      <c r="H33" s="8"/>
      <c r="I33" s="29"/>
    </row>
    <row r="34" spans="1:9" x14ac:dyDescent="0.25">
      <c r="A34" s="9"/>
      <c r="B34" s="9" t="s">
        <v>54</v>
      </c>
      <c r="C34" s="10"/>
      <c r="D34" s="9"/>
      <c r="E34" s="10">
        <v>0</v>
      </c>
      <c r="F34" s="9">
        <v>0</v>
      </c>
      <c r="G34" s="10">
        <v>0</v>
      </c>
      <c r="H34" s="8"/>
      <c r="I34" s="54"/>
    </row>
    <row r="35" spans="1:9" x14ac:dyDescent="0.25">
      <c r="A35" s="1" t="s">
        <v>58</v>
      </c>
      <c r="B35" s="1"/>
      <c r="C35" s="1"/>
      <c r="D35" s="47"/>
      <c r="E35" s="1"/>
      <c r="F35" s="60"/>
      <c r="G35" s="60"/>
      <c r="H35" s="60"/>
      <c r="I35" s="37"/>
    </row>
    <row r="36" spans="1:9" x14ac:dyDescent="0.25">
      <c r="A36" s="1"/>
      <c r="B36" s="1"/>
      <c r="C36" s="1"/>
      <c r="D36" s="47"/>
      <c r="E36" s="1"/>
      <c r="F36" s="60"/>
      <c r="G36" s="60"/>
      <c r="H36" s="60"/>
      <c r="I36" s="37"/>
    </row>
    <row r="37" spans="1:9" x14ac:dyDescent="0.25">
      <c r="A37" s="57" t="s">
        <v>196</v>
      </c>
      <c r="B37" s="48" t="s">
        <v>60</v>
      </c>
      <c r="C37" s="9" t="s">
        <v>520</v>
      </c>
      <c r="D37" s="9" t="s">
        <v>62</v>
      </c>
      <c r="E37" s="9" t="s">
        <v>63</v>
      </c>
      <c r="F37" s="8" t="s">
        <v>375</v>
      </c>
      <c r="G37" s="9"/>
      <c r="H37" s="10" t="s">
        <v>199</v>
      </c>
      <c r="I37" s="50"/>
    </row>
    <row r="38" spans="1:9" x14ac:dyDescent="0.25">
      <c r="A38" s="59"/>
      <c r="B38" s="51"/>
      <c r="C38" s="9" t="s">
        <v>66</v>
      </c>
      <c r="D38" s="9" t="s">
        <v>23</v>
      </c>
      <c r="E38" s="9" t="s">
        <v>312</v>
      </c>
      <c r="F38" s="52" t="s">
        <v>66</v>
      </c>
      <c r="G38" s="62"/>
      <c r="H38" s="74"/>
      <c r="I38" s="53"/>
    </row>
    <row r="39" spans="1:9" x14ac:dyDescent="0.25">
      <c r="A39" s="52"/>
      <c r="B39" s="52" t="s">
        <v>68</v>
      </c>
      <c r="C39" s="9">
        <v>26484.080000000002</v>
      </c>
      <c r="D39" s="29">
        <v>10053</v>
      </c>
      <c r="E39" s="29">
        <f>D39*15%</f>
        <v>1507.95</v>
      </c>
      <c r="F39" s="40">
        <f>C39+(D39-E39)</f>
        <v>35029.130000000005</v>
      </c>
      <c r="G39" s="54"/>
      <c r="H39" s="79">
        <f>F39-G39</f>
        <v>35029.130000000005</v>
      </c>
      <c r="I39" s="53"/>
    </row>
    <row r="40" spans="1:9" x14ac:dyDescent="0.25">
      <c r="A40" s="60"/>
      <c r="B40" s="60"/>
      <c r="C40" s="60"/>
      <c r="D40" s="118"/>
      <c r="E40" s="37"/>
      <c r="F40" s="37"/>
      <c r="G40" s="37"/>
      <c r="H40" s="37"/>
      <c r="I40" s="60"/>
    </row>
    <row r="41" spans="1:9" x14ac:dyDescent="0.25">
      <c r="A41" s="1" t="s">
        <v>162</v>
      </c>
      <c r="B41" s="1"/>
      <c r="C41" s="1"/>
      <c r="D41" s="47"/>
      <c r="E41" s="1"/>
      <c r="F41" s="1"/>
      <c r="G41" s="1"/>
      <c r="H41" s="1"/>
      <c r="I41" s="1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253</v>
      </c>
      <c r="H42" s="58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60" t="s">
        <v>85</v>
      </c>
      <c r="I43" s="7" t="s">
        <v>86</v>
      </c>
    </row>
    <row r="44" spans="1:9" x14ac:dyDescent="0.25">
      <c r="A44" s="7"/>
      <c r="B44" s="51"/>
      <c r="C44" s="7"/>
      <c r="D44" s="60"/>
      <c r="E44" s="7"/>
      <c r="F44" s="60" t="s">
        <v>87</v>
      </c>
      <c r="G44" s="7" t="s">
        <v>88</v>
      </c>
      <c r="H44" s="60"/>
      <c r="I44" s="7" t="s">
        <v>30</v>
      </c>
    </row>
    <row r="45" spans="1:9" x14ac:dyDescent="0.25">
      <c r="A45" s="62"/>
      <c r="B45" s="52"/>
      <c r="C45" s="62"/>
      <c r="D45" s="74"/>
      <c r="E45" s="62"/>
      <c r="F45" s="74"/>
      <c r="G45" s="62"/>
      <c r="H45" s="74"/>
      <c r="I45" s="62"/>
    </row>
    <row r="46" spans="1:9" x14ac:dyDescent="0.25">
      <c r="A46" s="62"/>
      <c r="B46" s="52"/>
      <c r="C46" s="9"/>
      <c r="D46" s="74"/>
      <c r="E46" s="9"/>
      <c r="F46" s="74"/>
      <c r="G46" s="9"/>
      <c r="H46" s="9"/>
      <c r="I46" s="62"/>
    </row>
    <row r="47" spans="1:9" x14ac:dyDescent="0.25">
      <c r="A47" s="6">
        <v>1</v>
      </c>
      <c r="B47" s="6" t="s">
        <v>90</v>
      </c>
      <c r="C47" s="68" t="s">
        <v>91</v>
      </c>
      <c r="D47" s="6">
        <v>-20663.22</v>
      </c>
      <c r="E47" s="122">
        <v>223941.82</v>
      </c>
      <c r="F47" s="6">
        <v>216924.52</v>
      </c>
      <c r="G47" s="122">
        <f>E47</f>
        <v>223941.82</v>
      </c>
      <c r="H47" s="7">
        <f>D47+F47-G47</f>
        <v>-27680.520000000019</v>
      </c>
      <c r="I47" s="9">
        <f>H47</f>
        <v>-27680.520000000019</v>
      </c>
    </row>
    <row r="48" spans="1:9" x14ac:dyDescent="0.25">
      <c r="A48" s="9"/>
      <c r="B48" s="9" t="s">
        <v>521</v>
      </c>
      <c r="C48" s="41" t="s">
        <v>93</v>
      </c>
      <c r="D48" s="9"/>
      <c r="E48" s="65"/>
      <c r="F48" s="9"/>
      <c r="G48" s="65"/>
      <c r="H48" s="9"/>
      <c r="I48" s="9"/>
    </row>
    <row r="49" spans="1:9" x14ac:dyDescent="0.25">
      <c r="A49" s="7">
        <v>2</v>
      </c>
      <c r="B49" s="7" t="s">
        <v>168</v>
      </c>
      <c r="C49" s="1" t="s">
        <v>95</v>
      </c>
      <c r="D49" s="7">
        <v>-87755.75</v>
      </c>
      <c r="E49" s="2">
        <v>389221.76</v>
      </c>
      <c r="F49" s="7">
        <v>380016.82</v>
      </c>
      <c r="G49" s="2">
        <f>E49</f>
        <v>389221.76</v>
      </c>
      <c r="H49" s="7">
        <f>D49+F49-G49</f>
        <v>-96960.69</v>
      </c>
      <c r="I49" s="9">
        <f>H49</f>
        <v>-96960.69</v>
      </c>
    </row>
    <row r="50" spans="1:9" x14ac:dyDescent="0.25">
      <c r="A50" s="9"/>
      <c r="B50" s="9" t="s">
        <v>521</v>
      </c>
      <c r="C50" s="41" t="s">
        <v>93</v>
      </c>
      <c r="D50" s="9"/>
      <c r="E50" s="10"/>
      <c r="F50" s="9"/>
      <c r="G50" s="50"/>
      <c r="H50" s="6"/>
      <c r="I50" s="9"/>
    </row>
    <row r="51" spans="1:9" x14ac:dyDescent="0.25">
      <c r="A51" s="9">
        <v>3</v>
      </c>
      <c r="B51" s="9" t="s">
        <v>98</v>
      </c>
      <c r="C51" s="41" t="s">
        <v>203</v>
      </c>
      <c r="D51" s="9">
        <v>-334799.62</v>
      </c>
      <c r="E51" s="10">
        <v>1126123</v>
      </c>
      <c r="F51" s="9">
        <v>1138778.25</v>
      </c>
      <c r="G51" s="10">
        <f>E51</f>
        <v>1126123</v>
      </c>
      <c r="H51" s="9">
        <f>D51+F51-G51</f>
        <v>-322144.37</v>
      </c>
      <c r="I51" s="9">
        <f>H51</f>
        <v>-322144.37</v>
      </c>
    </row>
    <row r="52" spans="1:9" x14ac:dyDescent="0.25">
      <c r="A52" s="1" t="s">
        <v>255</v>
      </c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5" t="s">
        <v>256</v>
      </c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48" t="s">
        <v>12</v>
      </c>
      <c r="B54" s="6" t="s">
        <v>102</v>
      </c>
      <c r="C54" s="58" t="s">
        <v>103</v>
      </c>
      <c r="D54" s="58"/>
      <c r="E54" s="58"/>
      <c r="F54" s="48" t="s">
        <v>222</v>
      </c>
      <c r="G54" s="58"/>
      <c r="H54" s="49"/>
      <c r="I54" s="6" t="s">
        <v>105</v>
      </c>
    </row>
    <row r="55" spans="1:9" x14ac:dyDescent="0.25">
      <c r="A55" s="51" t="s">
        <v>106</v>
      </c>
      <c r="B55" s="7" t="s">
        <v>71</v>
      </c>
      <c r="C55" s="60"/>
      <c r="D55" s="60"/>
      <c r="E55" s="60"/>
      <c r="F55" s="51" t="s">
        <v>224</v>
      </c>
      <c r="G55" s="60"/>
      <c r="H55" s="61"/>
      <c r="I55" s="7" t="s">
        <v>108</v>
      </c>
    </row>
    <row r="56" spans="1:9" x14ac:dyDescent="0.25">
      <c r="A56" s="51"/>
      <c r="B56" s="7"/>
      <c r="C56" s="60"/>
      <c r="D56" s="60"/>
      <c r="E56" s="60"/>
      <c r="F56" s="51" t="s">
        <v>257</v>
      </c>
      <c r="G56" s="60"/>
      <c r="H56" s="61"/>
      <c r="I56" s="7"/>
    </row>
    <row r="57" spans="1:9" x14ac:dyDescent="0.25">
      <c r="A57" s="51"/>
      <c r="B57" s="62"/>
      <c r="C57" s="60"/>
      <c r="D57" s="60"/>
      <c r="E57" s="60"/>
      <c r="F57" s="51" t="s">
        <v>258</v>
      </c>
      <c r="G57" s="60"/>
      <c r="H57" s="61"/>
      <c r="I57" s="62"/>
    </row>
    <row r="58" spans="1:9" x14ac:dyDescent="0.25">
      <c r="A58" s="67" t="s">
        <v>110</v>
      </c>
      <c r="B58" s="18"/>
      <c r="C58" s="68" t="s">
        <v>111</v>
      </c>
      <c r="D58" s="68"/>
      <c r="E58" s="68"/>
      <c r="F58" s="48"/>
      <c r="G58" s="58"/>
      <c r="H58" s="49"/>
      <c r="I58" s="7"/>
    </row>
    <row r="59" spans="1:9" x14ac:dyDescent="0.25">
      <c r="A59" s="69"/>
      <c r="B59" s="7"/>
      <c r="C59" s="60" t="s">
        <v>112</v>
      </c>
      <c r="D59" s="60"/>
      <c r="E59" s="60"/>
      <c r="F59" s="51" t="s">
        <v>71</v>
      </c>
      <c r="G59" s="37"/>
      <c r="H59" s="61" t="s">
        <v>71</v>
      </c>
      <c r="I59" s="7" t="s">
        <v>71</v>
      </c>
    </row>
    <row r="60" spans="1:9" x14ac:dyDescent="0.25">
      <c r="A60" s="69" t="s">
        <v>113</v>
      </c>
      <c r="B60" s="70">
        <v>42825</v>
      </c>
      <c r="C60" s="60" t="s">
        <v>522</v>
      </c>
      <c r="D60" s="60"/>
      <c r="E60" s="60"/>
      <c r="F60" s="51"/>
      <c r="G60" s="37">
        <f>I60/3833.7</f>
        <v>2.9031979549782196</v>
      </c>
      <c r="H60" s="61"/>
      <c r="I60" s="7">
        <v>11129.99</v>
      </c>
    </row>
    <row r="61" spans="1:9" x14ac:dyDescent="0.25">
      <c r="A61" s="69" t="s">
        <v>38</v>
      </c>
      <c r="B61" s="70">
        <v>42849</v>
      </c>
      <c r="C61" s="60" t="s">
        <v>352</v>
      </c>
      <c r="D61" s="60"/>
      <c r="E61" s="60"/>
      <c r="F61" s="51"/>
      <c r="G61" s="37">
        <f>I61/3833.7</f>
        <v>2.4282025197589796</v>
      </c>
      <c r="H61" s="61"/>
      <c r="I61" s="7">
        <v>9309</v>
      </c>
    </row>
    <row r="62" spans="1:9" x14ac:dyDescent="0.25">
      <c r="A62" s="69" t="s">
        <v>40</v>
      </c>
      <c r="B62" s="70">
        <v>42851</v>
      </c>
      <c r="C62" s="60" t="s">
        <v>114</v>
      </c>
      <c r="D62" s="60"/>
      <c r="E62" s="60"/>
      <c r="F62" s="51"/>
      <c r="G62" s="37">
        <f>I62/3833.7</f>
        <v>2.7649529175470176</v>
      </c>
      <c r="H62" s="61"/>
      <c r="I62" s="7">
        <v>10600</v>
      </c>
    </row>
    <row r="63" spans="1:9" x14ac:dyDescent="0.25">
      <c r="A63" s="69" t="s">
        <v>42</v>
      </c>
      <c r="B63" s="70">
        <v>43098</v>
      </c>
      <c r="C63" s="60" t="s">
        <v>523</v>
      </c>
      <c r="D63" s="60"/>
      <c r="E63" s="60"/>
      <c r="F63" s="51"/>
      <c r="G63" s="37">
        <f>I63/3833.7</f>
        <v>0.36216188016798395</v>
      </c>
      <c r="H63" s="61"/>
      <c r="I63" s="7">
        <v>1388.42</v>
      </c>
    </row>
    <row r="64" spans="1:9" x14ac:dyDescent="0.25">
      <c r="A64" s="69"/>
      <c r="B64" s="7"/>
      <c r="C64" s="5" t="s">
        <v>118</v>
      </c>
      <c r="D64" s="5"/>
      <c r="E64" s="5"/>
      <c r="F64" s="59"/>
      <c r="G64" s="20">
        <f>SUM(G59:G63)</f>
        <v>8.4585152724521997</v>
      </c>
      <c r="H64" s="71"/>
      <c r="I64" s="18">
        <f>SUM(I60:I63)</f>
        <v>32427.409999999996</v>
      </c>
    </row>
    <row r="65" spans="1:9" x14ac:dyDescent="0.25">
      <c r="A65" s="6"/>
      <c r="B65" s="6"/>
      <c r="C65" s="48"/>
      <c r="D65" s="58"/>
      <c r="E65" s="49"/>
      <c r="F65" s="48"/>
      <c r="G65" s="58"/>
      <c r="H65" s="49"/>
      <c r="I65" s="6"/>
    </row>
    <row r="66" spans="1:9" x14ac:dyDescent="0.25">
      <c r="A66" s="6" t="s">
        <v>48</v>
      </c>
      <c r="B66" s="25" t="s">
        <v>119</v>
      </c>
      <c r="C66" s="57" t="s">
        <v>120</v>
      </c>
      <c r="D66" s="58"/>
      <c r="E66" s="49"/>
      <c r="F66" s="48" t="s">
        <v>121</v>
      </c>
      <c r="G66" s="58"/>
      <c r="H66" s="49"/>
      <c r="I66" s="6"/>
    </row>
    <row r="67" spans="1:9" x14ac:dyDescent="0.25">
      <c r="A67" s="69"/>
      <c r="B67" s="70"/>
      <c r="C67" s="51"/>
      <c r="D67" s="60"/>
      <c r="E67" s="61"/>
      <c r="F67" s="51"/>
      <c r="G67" s="37"/>
      <c r="H67" s="61"/>
      <c r="I67" s="7"/>
    </row>
    <row r="68" spans="1:9" x14ac:dyDescent="0.25">
      <c r="A68" s="73"/>
      <c r="B68" s="62" t="s">
        <v>119</v>
      </c>
      <c r="C68" s="15" t="s">
        <v>118</v>
      </c>
      <c r="D68" s="14"/>
      <c r="E68" s="85"/>
      <c r="F68" s="15" t="s">
        <v>71</v>
      </c>
      <c r="G68" s="79">
        <f>I68/3836</f>
        <v>0</v>
      </c>
      <c r="H68" s="85"/>
      <c r="I68" s="12">
        <f>SUM(I67:I67)</f>
        <v>0</v>
      </c>
    </row>
    <row r="69" spans="1:9" x14ac:dyDescent="0.25">
      <c r="A69" s="2" t="s">
        <v>524</v>
      </c>
      <c r="B69" s="2"/>
      <c r="C69" s="114" t="s">
        <v>123</v>
      </c>
      <c r="D69" s="114"/>
      <c r="E69" s="2" t="s">
        <v>124</v>
      </c>
      <c r="F69" s="2"/>
      <c r="G69" s="2" t="s">
        <v>262</v>
      </c>
      <c r="H69" s="2"/>
      <c r="I69" s="2" t="s">
        <v>263</v>
      </c>
    </row>
    <row r="70" spans="1:9" x14ac:dyDescent="0.25">
      <c r="A70" s="2"/>
      <c r="B70" s="2"/>
      <c r="G70" s="10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4" zoomScale="110" zoomScaleNormal="110" workbookViewId="0">
      <selection activeCell="A8" sqref="A8"/>
    </sheetView>
  </sheetViews>
  <sheetFormatPr defaultRowHeight="15" x14ac:dyDescent="0.25"/>
  <cols>
    <col min="1" max="1" width="5.85546875" style="3" customWidth="1"/>
    <col min="2" max="2" width="32.140625" style="3" customWidth="1"/>
    <col min="3" max="3" width="11.28515625" style="3" customWidth="1"/>
    <col min="4" max="4" width="11.5703125" style="3" customWidth="1"/>
    <col min="5" max="5" width="11.140625" style="3" customWidth="1"/>
    <col min="6" max="6" width="11" style="3" customWidth="1"/>
    <col min="7" max="7" width="11.5703125" style="3" customWidth="1"/>
    <col min="8" max="8" width="10.7109375" style="3" customWidth="1"/>
    <col min="9" max="9" width="18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525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526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527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528</v>
      </c>
    </row>
    <row r="15" spans="1:9" x14ac:dyDescent="0.25">
      <c r="A15" s="7"/>
      <c r="B15" s="7"/>
      <c r="C15" s="7" t="s">
        <v>529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530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57"/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17">
        <v>-35905.39</v>
      </c>
      <c r="E19" s="17">
        <v>543168.84</v>
      </c>
      <c r="F19" s="14">
        <v>546371.24</v>
      </c>
      <c r="G19" s="17">
        <f t="shared" ref="G19:G28" si="0">E19</f>
        <v>543168.84</v>
      </c>
      <c r="H19" s="16">
        <f>D19+F19-G19</f>
        <v>-32702.989999999991</v>
      </c>
      <c r="I19" s="17">
        <f>H19</f>
        <v>-32702.989999999991</v>
      </c>
    </row>
    <row r="20" spans="1:9" x14ac:dyDescent="0.25">
      <c r="A20" s="7" t="s">
        <v>36</v>
      </c>
      <c r="B20" s="62" t="s">
        <v>37</v>
      </c>
      <c r="C20" s="74">
        <v>2.62</v>
      </c>
      <c r="D20" s="55"/>
      <c r="E20" s="141">
        <f>E19*33%</f>
        <v>179245.71719999998</v>
      </c>
      <c r="F20" s="54">
        <f>F19*33%</f>
        <v>180302.5092</v>
      </c>
      <c r="G20" s="54">
        <f t="shared" si="0"/>
        <v>179245.71719999998</v>
      </c>
      <c r="H20" s="55"/>
      <c r="I20" s="29"/>
    </row>
    <row r="21" spans="1:9" x14ac:dyDescent="0.25">
      <c r="A21" s="24" t="s">
        <v>38</v>
      </c>
      <c r="B21" s="6" t="s">
        <v>39</v>
      </c>
      <c r="C21" s="58">
        <v>1.33</v>
      </c>
      <c r="D21" s="105"/>
      <c r="E21" s="75">
        <f>E19*17%</f>
        <v>92338.702799999999</v>
      </c>
      <c r="F21" s="75">
        <f>F19*17%</f>
        <v>92883.110800000009</v>
      </c>
      <c r="G21" s="75">
        <f t="shared" si="0"/>
        <v>92338.702799999999</v>
      </c>
      <c r="H21" s="10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110"/>
      <c r="E22" s="75">
        <f>E19*20%</f>
        <v>108633.768</v>
      </c>
      <c r="F22" s="75">
        <f>F19*20%</f>
        <v>109274.24800000001</v>
      </c>
      <c r="G22" s="29">
        <f t="shared" si="0"/>
        <v>108633.768</v>
      </c>
      <c r="H22" s="110"/>
      <c r="I22" s="75"/>
    </row>
    <row r="23" spans="1:9" x14ac:dyDescent="0.25">
      <c r="A23" s="24" t="s">
        <v>42</v>
      </c>
      <c r="B23" s="6" t="s">
        <v>43</v>
      </c>
      <c r="C23" s="58">
        <v>2.39</v>
      </c>
      <c r="D23" s="105"/>
      <c r="E23" s="75">
        <f>E19*30%</f>
        <v>162950.65199999997</v>
      </c>
      <c r="F23" s="75">
        <f>F19*30%</f>
        <v>163911.372</v>
      </c>
      <c r="G23" s="29">
        <f t="shared" si="0"/>
        <v>162950.65199999997</v>
      </c>
      <c r="H23" s="105"/>
      <c r="I23" s="29"/>
    </row>
    <row r="24" spans="1:9" x14ac:dyDescent="0.25">
      <c r="A24" s="24" t="s">
        <v>44</v>
      </c>
      <c r="B24" s="6" t="s">
        <v>45</v>
      </c>
      <c r="C24" s="58">
        <v>0.32194</v>
      </c>
      <c r="D24" s="105"/>
      <c r="E24" s="75">
        <v>13281.78</v>
      </c>
      <c r="F24" s="75">
        <v>14919.76</v>
      </c>
      <c r="G24" s="37">
        <f t="shared" si="0"/>
        <v>13281.78</v>
      </c>
      <c r="H24" s="105">
        <f>F24-E24</f>
        <v>1637.9799999999996</v>
      </c>
      <c r="I24" s="22"/>
    </row>
    <row r="25" spans="1:9" x14ac:dyDescent="0.25">
      <c r="A25" s="24" t="s">
        <v>46</v>
      </c>
      <c r="B25" s="6" t="s">
        <v>47</v>
      </c>
      <c r="C25" s="58">
        <v>2.4278300000000002</v>
      </c>
      <c r="D25" s="6">
        <v>-71910.880000000005</v>
      </c>
      <c r="E25" s="58">
        <v>874496.32</v>
      </c>
      <c r="F25" s="6">
        <v>847996.81</v>
      </c>
      <c r="G25" s="8">
        <f>E25</f>
        <v>874496.32</v>
      </c>
      <c r="H25" s="9">
        <f>D25+F25-G25</f>
        <v>-98410.389999999898</v>
      </c>
      <c r="I25" s="50">
        <f>H25</f>
        <v>-98410.389999999898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-26180.25</v>
      </c>
      <c r="E26" s="11">
        <v>230693.04</v>
      </c>
      <c r="F26" s="11">
        <v>218981.49</v>
      </c>
      <c r="G26" s="41">
        <f t="shared" si="0"/>
        <v>230693.04</v>
      </c>
      <c r="H26" s="34">
        <f>D26+F26-G26</f>
        <v>-37891.800000000017</v>
      </c>
      <c r="I26" s="43">
        <f>H26</f>
        <v>-37891.800000000017</v>
      </c>
    </row>
    <row r="27" spans="1:9" x14ac:dyDescent="0.25">
      <c r="A27" s="11" t="s">
        <v>51</v>
      </c>
      <c r="B27" s="11" t="s">
        <v>194</v>
      </c>
      <c r="C27" s="11">
        <v>0.92</v>
      </c>
      <c r="D27" s="43">
        <v>0</v>
      </c>
      <c r="E27" s="121">
        <v>0</v>
      </c>
      <c r="F27" s="33">
        <v>0</v>
      </c>
      <c r="G27" s="43">
        <f t="shared" si="0"/>
        <v>0</v>
      </c>
      <c r="H27" s="33">
        <f>D27+F27-G27</f>
        <v>0</v>
      </c>
      <c r="I27" s="43"/>
    </row>
    <row r="28" spans="1:9" x14ac:dyDescent="0.25">
      <c r="A28" s="11" t="s">
        <v>55</v>
      </c>
      <c r="B28" s="1" t="s">
        <v>143</v>
      </c>
      <c r="C28" s="11">
        <v>3.15</v>
      </c>
      <c r="D28" s="43">
        <v>-32065.43</v>
      </c>
      <c r="E28" s="121">
        <v>213919.4</v>
      </c>
      <c r="F28" s="33">
        <v>212034.9</v>
      </c>
      <c r="G28" s="43">
        <f t="shared" si="0"/>
        <v>213919.4</v>
      </c>
      <c r="H28" s="32">
        <f>D28+F28-G28</f>
        <v>-33949.929999999993</v>
      </c>
      <c r="I28" s="43">
        <f>H28</f>
        <v>-33949.929999999993</v>
      </c>
    </row>
    <row r="29" spans="1:9" x14ac:dyDescent="0.25">
      <c r="A29" s="25" t="s">
        <v>59</v>
      </c>
      <c r="B29" s="25" t="s">
        <v>459</v>
      </c>
      <c r="C29" s="5">
        <v>1.82</v>
      </c>
      <c r="D29" s="45">
        <v>107936.24</v>
      </c>
      <c r="E29" s="18">
        <v>129136.08</v>
      </c>
      <c r="F29" s="18">
        <f>F30+F31</f>
        <v>129854.25</v>
      </c>
      <c r="G29" s="18">
        <f>I64</f>
        <v>122549.37</v>
      </c>
      <c r="H29" s="59">
        <f>D29+F29-G29</f>
        <v>115241.12</v>
      </c>
      <c r="I29" s="44"/>
    </row>
    <row r="30" spans="1:9" x14ac:dyDescent="0.25">
      <c r="A30" s="11"/>
      <c r="B30" s="9" t="s">
        <v>53</v>
      </c>
      <c r="C30" s="41"/>
      <c r="D30" s="43"/>
      <c r="E30" s="11"/>
      <c r="F30" s="11">
        <v>128154.25</v>
      </c>
      <c r="G30" s="41"/>
      <c r="H30" s="42"/>
      <c r="I30" s="43"/>
    </row>
    <row r="31" spans="1:9" x14ac:dyDescent="0.25">
      <c r="A31" s="11"/>
      <c r="B31" s="11" t="s">
        <v>531</v>
      </c>
      <c r="C31" s="41"/>
      <c r="D31" s="43"/>
      <c r="E31" s="11"/>
      <c r="F31" s="11">
        <v>1700</v>
      </c>
      <c r="G31" s="41"/>
      <c r="H31" s="42"/>
      <c r="I31" s="43"/>
    </row>
    <row r="32" spans="1:9" x14ac:dyDescent="0.25">
      <c r="A32" s="18" t="s">
        <v>196</v>
      </c>
      <c r="B32" s="18" t="s">
        <v>146</v>
      </c>
      <c r="C32" s="5"/>
      <c r="D32" s="44"/>
      <c r="E32" s="18"/>
      <c r="F32" s="18"/>
      <c r="G32" s="5" t="s">
        <v>147</v>
      </c>
      <c r="H32" s="59" t="s">
        <v>71</v>
      </c>
      <c r="I32" s="44" t="str">
        <f>H32</f>
        <v xml:space="preserve"> </v>
      </c>
    </row>
    <row r="33" spans="1:9" x14ac:dyDescent="0.25">
      <c r="A33" s="11"/>
      <c r="B33" s="11" t="s">
        <v>148</v>
      </c>
      <c r="C33" s="43">
        <v>0</v>
      </c>
      <c r="D33" s="43">
        <v>43577.77</v>
      </c>
      <c r="E33" s="11">
        <v>0</v>
      </c>
      <c r="F33" s="11">
        <f>F35</f>
        <v>0</v>
      </c>
      <c r="G33" s="41">
        <f>G35</f>
        <v>0</v>
      </c>
      <c r="H33" s="42">
        <f>D33+F33-G33</f>
        <v>43577.77</v>
      </c>
      <c r="I33" s="43"/>
    </row>
    <row r="34" spans="1:9" x14ac:dyDescent="0.25">
      <c r="A34" s="7"/>
      <c r="B34" s="62" t="s">
        <v>112</v>
      </c>
      <c r="C34" s="60"/>
      <c r="D34" s="43">
        <v>0</v>
      </c>
      <c r="E34" s="7"/>
      <c r="F34" s="7"/>
      <c r="G34" s="60"/>
      <c r="H34" s="51"/>
      <c r="I34" s="22"/>
    </row>
    <row r="35" spans="1:9" x14ac:dyDescent="0.25">
      <c r="A35" s="9"/>
      <c r="B35" s="9" t="s">
        <v>53</v>
      </c>
      <c r="C35" s="39">
        <v>0</v>
      </c>
      <c r="D35" s="43"/>
      <c r="E35" s="9">
        <v>0</v>
      </c>
      <c r="F35" s="9">
        <v>0</v>
      </c>
      <c r="G35" s="10">
        <f>I68</f>
        <v>0</v>
      </c>
      <c r="H35" s="8"/>
      <c r="I35" s="29"/>
    </row>
    <row r="36" spans="1:9" x14ac:dyDescent="0.25">
      <c r="A36" s="1" t="s">
        <v>58</v>
      </c>
      <c r="B36" s="1"/>
      <c r="C36" s="1"/>
      <c r="D36" s="47"/>
      <c r="E36" s="1"/>
      <c r="F36" s="2"/>
      <c r="G36" s="2"/>
      <c r="H36" s="2"/>
      <c r="I36" s="2"/>
    </row>
    <row r="37" spans="1:9" x14ac:dyDescent="0.25">
      <c r="A37" s="1"/>
      <c r="B37" s="1"/>
      <c r="C37" s="1"/>
      <c r="D37" s="47"/>
      <c r="E37" s="1"/>
      <c r="F37" s="2"/>
      <c r="G37" s="2"/>
      <c r="H37" s="2"/>
      <c r="I37" s="2"/>
    </row>
    <row r="38" spans="1:9" x14ac:dyDescent="0.25">
      <c r="A38" s="25" t="s">
        <v>59</v>
      </c>
      <c r="B38" s="58" t="s">
        <v>60</v>
      </c>
      <c r="C38" s="6" t="s">
        <v>64</v>
      </c>
      <c r="D38" s="49" t="s">
        <v>62</v>
      </c>
      <c r="E38" s="58" t="s">
        <v>63</v>
      </c>
      <c r="F38" s="6" t="s">
        <v>64</v>
      </c>
      <c r="G38" s="6"/>
      <c r="H38" s="58" t="s">
        <v>199</v>
      </c>
      <c r="I38" s="49"/>
    </row>
    <row r="39" spans="1:9" x14ac:dyDescent="0.25">
      <c r="A39" s="7"/>
      <c r="B39" s="60"/>
      <c r="C39" s="62" t="s">
        <v>66</v>
      </c>
      <c r="D39" s="53" t="s">
        <v>23</v>
      </c>
      <c r="E39" s="74" t="s">
        <v>312</v>
      </c>
      <c r="F39" s="62" t="s">
        <v>30</v>
      </c>
      <c r="G39" s="62"/>
      <c r="H39" s="74"/>
      <c r="I39" s="53"/>
    </row>
    <row r="40" spans="1:9" x14ac:dyDescent="0.25">
      <c r="A40" s="12"/>
      <c r="B40" s="74" t="s">
        <v>68</v>
      </c>
      <c r="C40" s="29">
        <v>21747.41</v>
      </c>
      <c r="D40" s="9">
        <v>10053</v>
      </c>
      <c r="E40" s="79">
        <f>D40*15%</f>
        <v>1507.95</v>
      </c>
      <c r="F40" s="54">
        <f>C40+(D40-E40)</f>
        <v>30292.46</v>
      </c>
      <c r="G40" s="54"/>
      <c r="H40" s="79">
        <f>F40</f>
        <v>30292.46</v>
      </c>
      <c r="I40" s="53"/>
    </row>
    <row r="41" spans="1:9" x14ac:dyDescent="0.25">
      <c r="A41" s="1" t="s">
        <v>252</v>
      </c>
      <c r="B41" s="1"/>
      <c r="C41" s="1"/>
      <c r="D41" s="47"/>
      <c r="E41" s="1"/>
      <c r="F41" s="1"/>
      <c r="G41" s="1"/>
      <c r="H41" s="1"/>
      <c r="I41" s="1"/>
    </row>
    <row r="42" spans="1:9" x14ac:dyDescent="0.25">
      <c r="A42" s="6" t="s">
        <v>71</v>
      </c>
      <c r="B42" s="57" t="s">
        <v>72</v>
      </c>
      <c r="C42" s="6" t="s">
        <v>73</v>
      </c>
      <c r="D42" s="48" t="s">
        <v>74</v>
      </c>
      <c r="E42" s="6" t="s">
        <v>75</v>
      </c>
      <c r="F42" s="58" t="s">
        <v>76</v>
      </c>
      <c r="G42" s="6" t="s">
        <v>253</v>
      </c>
      <c r="H42" s="49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51" t="s">
        <v>81</v>
      </c>
      <c r="E43" s="7" t="s">
        <v>82</v>
      </c>
      <c r="F43" s="60" t="s">
        <v>83</v>
      </c>
      <c r="G43" s="7" t="s">
        <v>84</v>
      </c>
      <c r="H43" s="61" t="s">
        <v>85</v>
      </c>
      <c r="I43" s="7" t="s">
        <v>86</v>
      </c>
    </row>
    <row r="44" spans="1:9" x14ac:dyDescent="0.25">
      <c r="A44" s="7"/>
      <c r="B44" s="51"/>
      <c r="C44" s="7"/>
      <c r="D44" s="52"/>
      <c r="E44" s="62"/>
      <c r="F44" s="74" t="s">
        <v>87</v>
      </c>
      <c r="G44" s="62" t="s">
        <v>88</v>
      </c>
      <c r="H44" s="53"/>
      <c r="I44" s="7" t="s">
        <v>30</v>
      </c>
    </row>
    <row r="45" spans="1:9" x14ac:dyDescent="0.25">
      <c r="A45" s="6">
        <v>1</v>
      </c>
      <c r="B45" s="6" t="s">
        <v>90</v>
      </c>
      <c r="C45" s="68" t="s">
        <v>91</v>
      </c>
      <c r="D45" s="7">
        <v>-105481</v>
      </c>
      <c r="E45" s="112">
        <v>467521.73</v>
      </c>
      <c r="F45" s="7">
        <v>453634.99</v>
      </c>
      <c r="G45" s="112">
        <f>E45</f>
        <v>467521.73</v>
      </c>
      <c r="H45" s="7">
        <f>D45+F45-G45</f>
        <v>-119367.73999999999</v>
      </c>
      <c r="I45" s="9">
        <f>H45</f>
        <v>-119367.73999999999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65"/>
      <c r="H46" s="9"/>
      <c r="I46" s="9"/>
    </row>
    <row r="47" spans="1:9" x14ac:dyDescent="0.25">
      <c r="A47" s="7">
        <v>2</v>
      </c>
      <c r="B47" s="7" t="s">
        <v>94</v>
      </c>
      <c r="C47" s="1" t="s">
        <v>95</v>
      </c>
      <c r="D47" s="7">
        <v>-292839.07</v>
      </c>
      <c r="E47" s="2">
        <v>648908.17000000004</v>
      </c>
      <c r="F47" s="7">
        <v>642282.01</v>
      </c>
      <c r="G47" s="2">
        <f>E47</f>
        <v>648908.17000000004</v>
      </c>
      <c r="H47" s="7">
        <f>D47+F47-G47</f>
        <v>-299465.23000000004</v>
      </c>
      <c r="I47" s="9">
        <f>H47</f>
        <v>-299465.23000000004</v>
      </c>
    </row>
    <row r="48" spans="1:9" x14ac:dyDescent="0.25">
      <c r="A48" s="9"/>
      <c r="B48" s="9" t="s">
        <v>96</v>
      </c>
      <c r="C48" s="41"/>
      <c r="D48" s="6" t="s">
        <v>71</v>
      </c>
      <c r="E48" s="10"/>
      <c r="F48" s="9"/>
      <c r="G48" s="10"/>
      <c r="H48" s="6" t="s">
        <v>71</v>
      </c>
      <c r="I48" s="9" t="str">
        <f>H48</f>
        <v xml:space="preserve"> </v>
      </c>
    </row>
    <row r="49" spans="1:9" x14ac:dyDescent="0.25">
      <c r="A49" s="9"/>
      <c r="B49" s="9" t="s">
        <v>313</v>
      </c>
      <c r="C49" s="41" t="s">
        <v>93</v>
      </c>
      <c r="D49" s="6"/>
      <c r="E49" s="10"/>
      <c r="F49" s="9"/>
      <c r="G49" s="10"/>
      <c r="H49" s="6"/>
      <c r="I49" s="9"/>
    </row>
    <row r="50" spans="1:9" x14ac:dyDescent="0.25">
      <c r="A50" s="9">
        <v>3</v>
      </c>
      <c r="B50" s="9" t="s">
        <v>98</v>
      </c>
      <c r="C50" s="41" t="s">
        <v>203</v>
      </c>
      <c r="D50" s="9">
        <v>-478462.02</v>
      </c>
      <c r="E50" s="10">
        <v>1400953.86</v>
      </c>
      <c r="F50" s="9">
        <v>1449572.42</v>
      </c>
      <c r="G50" s="10">
        <f>E50</f>
        <v>1400953.86</v>
      </c>
      <c r="H50" s="9">
        <f>D50+F50-G50</f>
        <v>-429843.4600000002</v>
      </c>
      <c r="I50" s="9">
        <f>H50</f>
        <v>-429843.4600000002</v>
      </c>
    </row>
    <row r="51" spans="1:9" x14ac:dyDescent="0.25">
      <c r="A51" s="1" t="s">
        <v>255</v>
      </c>
      <c r="B51" s="60"/>
      <c r="C51" s="5"/>
      <c r="D51" s="60"/>
      <c r="E51" s="60"/>
      <c r="F51" s="60"/>
      <c r="G51" s="60"/>
      <c r="H51" s="60"/>
      <c r="I51" s="60"/>
    </row>
    <row r="52" spans="1:9" x14ac:dyDescent="0.25">
      <c r="A52" s="5" t="s">
        <v>256</v>
      </c>
      <c r="B52" s="1"/>
      <c r="C52" s="1"/>
      <c r="D52" s="1"/>
      <c r="E52" s="1"/>
      <c r="F52" s="1"/>
      <c r="G52" s="1"/>
      <c r="H52" s="1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257</v>
      </c>
      <c r="G55" s="60"/>
      <c r="H55" s="61"/>
      <c r="I55" s="7"/>
    </row>
    <row r="56" spans="1:9" x14ac:dyDescent="0.25">
      <c r="A56" s="51"/>
      <c r="B56" s="62"/>
      <c r="C56" s="60"/>
      <c r="D56" s="60"/>
      <c r="E56" s="60"/>
      <c r="F56" s="51" t="s">
        <v>258</v>
      </c>
      <c r="G56" s="60"/>
      <c r="H56" s="61"/>
      <c r="I56" s="62"/>
    </row>
    <row r="57" spans="1:9" x14ac:dyDescent="0.25">
      <c r="A57" s="67" t="s">
        <v>110</v>
      </c>
      <c r="B57" s="18"/>
      <c r="C57" s="68" t="s">
        <v>111</v>
      </c>
      <c r="D57" s="68"/>
      <c r="E57" s="68"/>
      <c r="F57" s="48"/>
      <c r="G57" s="58"/>
      <c r="H57" s="49"/>
      <c r="I57" s="7"/>
    </row>
    <row r="58" spans="1:9" x14ac:dyDescent="0.25">
      <c r="A58" s="69"/>
      <c r="B58" s="7"/>
      <c r="C58" s="60" t="s">
        <v>112</v>
      </c>
      <c r="D58" s="60"/>
      <c r="E58" s="60"/>
      <c r="F58" s="51" t="s">
        <v>71</v>
      </c>
      <c r="G58" s="37"/>
      <c r="H58" s="61" t="s">
        <v>71</v>
      </c>
      <c r="I58" s="7" t="s">
        <v>71</v>
      </c>
    </row>
    <row r="59" spans="1:9" x14ac:dyDescent="0.25">
      <c r="A59" s="69" t="s">
        <v>113</v>
      </c>
      <c r="B59" s="70">
        <v>42851</v>
      </c>
      <c r="C59" s="60" t="s">
        <v>259</v>
      </c>
      <c r="D59" s="60"/>
      <c r="E59" s="60"/>
      <c r="F59" s="51"/>
      <c r="G59" s="37">
        <f>I59/5679.3</f>
        <v>3.2398358952687829</v>
      </c>
      <c r="H59" s="61"/>
      <c r="I59" s="7">
        <v>18400</v>
      </c>
    </row>
    <row r="60" spans="1:9" x14ac:dyDescent="0.25">
      <c r="A60" s="69" t="s">
        <v>38</v>
      </c>
      <c r="B60" s="70">
        <v>42920</v>
      </c>
      <c r="C60" s="60" t="s">
        <v>532</v>
      </c>
      <c r="D60" s="60"/>
      <c r="E60" s="60"/>
      <c r="F60" s="51"/>
      <c r="G60" s="37">
        <f>I60/5679.3</f>
        <v>4.2852499427746382</v>
      </c>
      <c r="H60" s="61"/>
      <c r="I60" s="7">
        <v>24337.22</v>
      </c>
    </row>
    <row r="61" spans="1:9" x14ac:dyDescent="0.25">
      <c r="A61" s="69" t="s">
        <v>40</v>
      </c>
      <c r="B61" s="70">
        <v>43098</v>
      </c>
      <c r="C61" s="60" t="s">
        <v>533</v>
      </c>
      <c r="D61" s="60"/>
      <c r="E61" s="60"/>
      <c r="F61" s="51"/>
      <c r="G61" s="37">
        <f>I61/5679.3</f>
        <v>3.1891518320919832</v>
      </c>
      <c r="H61" s="61"/>
      <c r="I61" s="7">
        <v>18112.150000000001</v>
      </c>
    </row>
    <row r="62" spans="1:9" x14ac:dyDescent="0.25">
      <c r="A62" s="69" t="s">
        <v>42</v>
      </c>
      <c r="B62" s="70">
        <v>43087</v>
      </c>
      <c r="C62" s="60" t="s">
        <v>534</v>
      </c>
      <c r="D62" s="60"/>
      <c r="E62" s="60"/>
      <c r="F62" s="51"/>
      <c r="G62" s="37">
        <f>I62/5679.3</f>
        <v>10.564682267180814</v>
      </c>
      <c r="H62" s="61"/>
      <c r="I62" s="7">
        <v>60000</v>
      </c>
    </row>
    <row r="63" spans="1:9" x14ac:dyDescent="0.25">
      <c r="A63" s="69" t="s">
        <v>44</v>
      </c>
      <c r="B63" s="70" t="s">
        <v>535</v>
      </c>
      <c r="C63" s="60" t="s">
        <v>536</v>
      </c>
      <c r="D63" s="60"/>
      <c r="E63" s="60"/>
      <c r="F63" s="51"/>
      <c r="G63" s="37">
        <f>I63/5679.3</f>
        <v>0.29933266423678973</v>
      </c>
      <c r="H63" s="61"/>
      <c r="I63" s="7">
        <v>1700</v>
      </c>
    </row>
    <row r="64" spans="1:9" x14ac:dyDescent="0.25">
      <c r="A64" s="69"/>
      <c r="B64" s="7"/>
      <c r="C64" s="5" t="s">
        <v>118</v>
      </c>
      <c r="D64" s="5"/>
      <c r="E64" s="5"/>
      <c r="F64" s="59"/>
      <c r="G64" s="20">
        <f>SUM(G59:G61)</f>
        <v>10.714237670135404</v>
      </c>
      <c r="H64" s="71"/>
      <c r="I64" s="18">
        <f>SUM(I59:I63)</f>
        <v>122549.37</v>
      </c>
    </row>
    <row r="65" spans="1:9" x14ac:dyDescent="0.25">
      <c r="A65" s="6"/>
      <c r="B65" s="6"/>
      <c r="C65" s="48"/>
      <c r="D65" s="58"/>
      <c r="E65" s="49"/>
      <c r="F65" s="48"/>
      <c r="G65" s="86"/>
      <c r="H65" s="49"/>
      <c r="I65" s="6"/>
    </row>
    <row r="66" spans="1:9" x14ac:dyDescent="0.25">
      <c r="A66" s="6" t="s">
        <v>48</v>
      </c>
      <c r="B66" s="25" t="s">
        <v>119</v>
      </c>
      <c r="C66" s="57" t="s">
        <v>120</v>
      </c>
      <c r="D66" s="58"/>
      <c r="E66" s="49"/>
      <c r="F66" s="48" t="s">
        <v>121</v>
      </c>
      <c r="G66" s="58"/>
      <c r="H66" s="49"/>
      <c r="I66" s="6"/>
    </row>
    <row r="67" spans="1:9" x14ac:dyDescent="0.25">
      <c r="A67" s="69" t="s">
        <v>113</v>
      </c>
      <c r="B67" s="70"/>
      <c r="C67" s="60"/>
      <c r="D67" s="60"/>
      <c r="E67" s="60"/>
      <c r="F67" s="51"/>
      <c r="G67" s="37"/>
      <c r="H67" s="61"/>
      <c r="I67" s="7"/>
    </row>
    <row r="68" spans="1:9" x14ac:dyDescent="0.25">
      <c r="A68" s="73"/>
      <c r="B68" s="62" t="s">
        <v>119</v>
      </c>
      <c r="C68" s="15" t="s">
        <v>118</v>
      </c>
      <c r="D68" s="74"/>
      <c r="E68" s="53"/>
      <c r="F68" s="15" t="s">
        <v>71</v>
      </c>
      <c r="G68" s="78">
        <f>SUM(G67:G67)</f>
        <v>0</v>
      </c>
      <c r="H68" s="85"/>
      <c r="I68" s="12">
        <f>SUM(I67:I67)</f>
        <v>0</v>
      </c>
    </row>
    <row r="69" spans="1:9" x14ac:dyDescent="0.25">
      <c r="A69" s="2" t="s">
        <v>537</v>
      </c>
      <c r="B69" s="60"/>
      <c r="C69" s="2" t="s">
        <v>451</v>
      </c>
      <c r="D69" s="114" t="s">
        <v>123</v>
      </c>
      <c r="F69" s="2" t="s">
        <v>124</v>
      </c>
      <c r="G69" s="2" t="s">
        <v>262</v>
      </c>
      <c r="H69" s="2"/>
      <c r="I69" s="2" t="s">
        <v>263</v>
      </c>
    </row>
    <row r="70" spans="1:9" x14ac:dyDescent="0.25">
      <c r="A70" s="2"/>
      <c r="B70" s="2"/>
      <c r="G70" s="107"/>
    </row>
    <row r="71" spans="1:9" x14ac:dyDescent="0.25">
      <c r="A71" s="2"/>
      <c r="B71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zoomScale="110" zoomScaleNormal="110" workbookViewId="0">
      <selection activeCell="A67" sqref="A67"/>
    </sheetView>
  </sheetViews>
  <sheetFormatPr defaultRowHeight="15" x14ac:dyDescent="0.25"/>
  <cols>
    <col min="1" max="1" width="4.7109375" style="3" customWidth="1"/>
    <col min="2" max="2" width="30.7109375" style="3" customWidth="1"/>
    <col min="3" max="8" width="9.140625" style="3"/>
    <col min="9" max="9" width="16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2"/>
      <c r="I5" s="2"/>
    </row>
    <row r="6" spans="1:9" x14ac:dyDescent="0.25">
      <c r="A6" s="1" t="s">
        <v>538</v>
      </c>
      <c r="B6" s="2"/>
      <c r="C6" s="2"/>
      <c r="D6" s="2"/>
      <c r="E6" s="2"/>
      <c r="F6" s="2"/>
      <c r="G6" s="2"/>
      <c r="I6" s="2"/>
    </row>
    <row r="7" spans="1:9" x14ac:dyDescent="0.25">
      <c r="A7" s="2" t="s">
        <v>539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540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541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12" t="s">
        <v>323</v>
      </c>
      <c r="C18" s="12">
        <v>7.97</v>
      </c>
      <c r="D18" s="17">
        <v>1465.49</v>
      </c>
      <c r="E18" s="17">
        <v>365029.2</v>
      </c>
      <c r="F18" s="14">
        <v>364017.22</v>
      </c>
      <c r="G18" s="17">
        <f t="shared" ref="G18:G24" si="0">E18</f>
        <v>365029.2</v>
      </c>
      <c r="H18" s="16">
        <f>D18+F18-G18</f>
        <v>453.50999999995111</v>
      </c>
      <c r="I18" s="17"/>
    </row>
    <row r="19" spans="1:9" x14ac:dyDescent="0.25">
      <c r="A19" s="9" t="s">
        <v>36</v>
      </c>
      <c r="B19" s="62" t="s">
        <v>37</v>
      </c>
      <c r="C19" s="74">
        <v>2.62</v>
      </c>
      <c r="D19" s="54"/>
      <c r="E19" s="141">
        <f>E18*33%</f>
        <v>120459.63600000001</v>
      </c>
      <c r="F19" s="54">
        <f>F18*33%</f>
        <v>120125.6826</v>
      </c>
      <c r="G19" s="54">
        <f t="shared" si="0"/>
        <v>120459.63600000001</v>
      </c>
      <c r="H19" s="55"/>
      <c r="I19" s="54"/>
    </row>
    <row r="20" spans="1:9" x14ac:dyDescent="0.25">
      <c r="A20" s="24" t="s">
        <v>38</v>
      </c>
      <c r="B20" s="6" t="s">
        <v>39</v>
      </c>
      <c r="C20" s="58">
        <v>1.33</v>
      </c>
      <c r="D20" s="75"/>
      <c r="E20" s="75">
        <f>E18*17%</f>
        <v>62054.964000000007</v>
      </c>
      <c r="F20" s="75">
        <f>F18*17%</f>
        <v>61882.9274</v>
      </c>
      <c r="G20" s="75">
        <f t="shared" si="0"/>
        <v>62054.964000000007</v>
      </c>
      <c r="H20" s="105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29"/>
      <c r="E21" s="75">
        <f>E18*20%</f>
        <v>73005.840000000011</v>
      </c>
      <c r="F21" s="75">
        <f>F18*20%</f>
        <v>72803.444000000003</v>
      </c>
      <c r="G21" s="29">
        <f t="shared" si="0"/>
        <v>73005.840000000011</v>
      </c>
      <c r="H21" s="142"/>
      <c r="I21" s="29"/>
    </row>
    <row r="22" spans="1:9" x14ac:dyDescent="0.25">
      <c r="A22" s="24" t="s">
        <v>42</v>
      </c>
      <c r="B22" s="6" t="s">
        <v>43</v>
      </c>
      <c r="C22" s="58">
        <v>2.39</v>
      </c>
      <c r="D22" s="29"/>
      <c r="E22" s="75">
        <f>E18*30%</f>
        <v>109508.76</v>
      </c>
      <c r="F22" s="75">
        <f>F18*30%</f>
        <v>109205.16599999998</v>
      </c>
      <c r="G22" s="40">
        <f t="shared" si="0"/>
        <v>109508.76</v>
      </c>
      <c r="H22" s="40"/>
      <c r="I22" s="29"/>
    </row>
    <row r="23" spans="1:9" x14ac:dyDescent="0.25">
      <c r="A23" s="24" t="s">
        <v>44</v>
      </c>
      <c r="B23" s="6" t="s">
        <v>45</v>
      </c>
      <c r="C23" s="58">
        <v>0.46922000000000003</v>
      </c>
      <c r="D23" s="29"/>
      <c r="E23" s="29">
        <v>13017.7</v>
      </c>
      <c r="F23" s="29">
        <v>14834.58</v>
      </c>
      <c r="G23" s="39">
        <f t="shared" si="0"/>
        <v>13017.7</v>
      </c>
      <c r="H23" s="34">
        <f>F23-E23</f>
        <v>1816.8799999999992</v>
      </c>
      <c r="I23" s="29"/>
    </row>
    <row r="24" spans="1:9" x14ac:dyDescent="0.25">
      <c r="A24" s="24" t="s">
        <v>46</v>
      </c>
      <c r="B24" s="6" t="s">
        <v>542</v>
      </c>
      <c r="C24" s="8">
        <v>2.37</v>
      </c>
      <c r="D24" s="29">
        <v>-4816.16</v>
      </c>
      <c r="E24" s="29">
        <v>54445.68</v>
      </c>
      <c r="F24" s="29">
        <v>53728.3</v>
      </c>
      <c r="G24" s="39">
        <f t="shared" si="0"/>
        <v>54445.68</v>
      </c>
      <c r="H24" s="43">
        <f>D24+F24-G24</f>
        <v>-5533.5400000000009</v>
      </c>
      <c r="I24" s="43">
        <f>H24</f>
        <v>-5533.5400000000009</v>
      </c>
    </row>
    <row r="25" spans="1:9" x14ac:dyDescent="0.25">
      <c r="A25" s="24" t="s">
        <v>356</v>
      </c>
      <c r="B25" s="6" t="s">
        <v>274</v>
      </c>
      <c r="C25" s="8">
        <v>0.66041300000000003</v>
      </c>
      <c r="D25" s="29"/>
      <c r="E25" s="29">
        <v>75040.45</v>
      </c>
      <c r="F25" s="29">
        <v>70899.88</v>
      </c>
      <c r="G25" s="39">
        <f>F25-E25</f>
        <v>-4140.5699999999924</v>
      </c>
      <c r="H25" s="34">
        <f>G25</f>
        <v>-4140.5699999999924</v>
      </c>
      <c r="I25" s="43">
        <f>H25</f>
        <v>-4140.5699999999924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-9844.36</v>
      </c>
      <c r="E26" s="11">
        <v>155034.57</v>
      </c>
      <c r="F26" s="11">
        <v>148280.79</v>
      </c>
      <c r="G26" s="41">
        <f>E26</f>
        <v>155034.57</v>
      </c>
      <c r="H26" s="34">
        <f>D26+F26-G26</f>
        <v>-16598.140000000014</v>
      </c>
      <c r="I26" s="43">
        <f>H26</f>
        <v>-16598.140000000014</v>
      </c>
    </row>
    <row r="27" spans="1:9" x14ac:dyDescent="0.25">
      <c r="A27" s="11" t="s">
        <v>51</v>
      </c>
      <c r="B27" s="11" t="s">
        <v>194</v>
      </c>
      <c r="C27" s="11">
        <v>0.92</v>
      </c>
      <c r="D27" s="43">
        <v>-229.41</v>
      </c>
      <c r="E27" s="121">
        <v>21001.200000000001</v>
      </c>
      <c r="F27" s="33">
        <v>21162.81</v>
      </c>
      <c r="G27" s="43">
        <f>E27</f>
        <v>21001.200000000001</v>
      </c>
      <c r="H27" s="33">
        <f>D27+F27-G27</f>
        <v>-67.799999999999272</v>
      </c>
      <c r="I27" s="43">
        <f>H27</f>
        <v>-67.799999999999272</v>
      </c>
    </row>
    <row r="28" spans="1:9" x14ac:dyDescent="0.25">
      <c r="A28" s="11" t="s">
        <v>55</v>
      </c>
      <c r="B28" s="41" t="s">
        <v>143</v>
      </c>
      <c r="C28" s="11">
        <v>3.15</v>
      </c>
      <c r="D28" s="43">
        <v>-11942.38</v>
      </c>
      <c r="E28" s="43">
        <v>143700.25</v>
      </c>
      <c r="F28" s="43">
        <v>143291.25</v>
      </c>
      <c r="G28" s="43">
        <f>E28</f>
        <v>143700.25</v>
      </c>
      <c r="H28" s="32">
        <f>D28+F28-G28</f>
        <v>-12351.380000000005</v>
      </c>
      <c r="I28" s="43">
        <f>H28</f>
        <v>-12351.380000000005</v>
      </c>
    </row>
    <row r="29" spans="1:9" x14ac:dyDescent="0.25">
      <c r="A29" s="12" t="s">
        <v>59</v>
      </c>
      <c r="B29" s="12" t="s">
        <v>459</v>
      </c>
      <c r="C29" s="14">
        <v>1.82</v>
      </c>
      <c r="D29" s="44">
        <v>106258.18</v>
      </c>
      <c r="E29" s="12">
        <v>83356.44</v>
      </c>
      <c r="F29" s="12">
        <f>F30+F31</f>
        <v>83125.289999999994</v>
      </c>
      <c r="G29" s="12">
        <f>I64</f>
        <v>63368.68</v>
      </c>
      <c r="H29" s="16">
        <f>D29+F29-G29</f>
        <v>126014.78999999998</v>
      </c>
      <c r="I29" s="44"/>
    </row>
    <row r="30" spans="1:9" x14ac:dyDescent="0.25">
      <c r="A30" s="12"/>
      <c r="B30" s="9" t="s">
        <v>53</v>
      </c>
      <c r="C30" s="14"/>
      <c r="D30" s="43"/>
      <c r="E30" s="12">
        <v>0</v>
      </c>
      <c r="F30" s="12">
        <v>83125.289999999994</v>
      </c>
      <c r="G30" s="14"/>
      <c r="H30" s="16"/>
      <c r="I30" s="43"/>
    </row>
    <row r="31" spans="1:9" x14ac:dyDescent="0.25">
      <c r="A31" s="12"/>
      <c r="B31" s="9" t="s">
        <v>54</v>
      </c>
      <c r="C31" s="14"/>
      <c r="D31" s="43"/>
      <c r="E31" s="12"/>
      <c r="F31" s="12">
        <v>0</v>
      </c>
      <c r="G31" s="14"/>
      <c r="H31" s="16"/>
      <c r="I31" s="43"/>
    </row>
    <row r="32" spans="1:9" x14ac:dyDescent="0.25">
      <c r="A32" s="12" t="s">
        <v>196</v>
      </c>
      <c r="B32" s="12" t="s">
        <v>543</v>
      </c>
      <c r="C32" s="17">
        <v>0</v>
      </c>
      <c r="D32" s="15">
        <v>76728.179999999993</v>
      </c>
      <c r="E32" s="12">
        <v>0</v>
      </c>
      <c r="F32" s="12">
        <v>0</v>
      </c>
      <c r="G32" s="14">
        <f>I69</f>
        <v>0</v>
      </c>
      <c r="H32" s="15">
        <f>D32+F32-G32</f>
        <v>76728.179999999993</v>
      </c>
      <c r="I32" s="17"/>
    </row>
    <row r="33" spans="1:9" x14ac:dyDescent="0.25">
      <c r="A33" s="9"/>
      <c r="B33" s="9" t="s">
        <v>53</v>
      </c>
      <c r="C33" s="39"/>
      <c r="D33" s="8"/>
      <c r="E33" s="9">
        <v>0</v>
      </c>
      <c r="F33" s="9">
        <v>0</v>
      </c>
      <c r="G33" s="10">
        <f>I69</f>
        <v>0</v>
      </c>
      <c r="H33" s="8"/>
      <c r="I33" s="29"/>
    </row>
    <row r="34" spans="1:9" x14ac:dyDescent="0.25">
      <c r="A34" s="9"/>
      <c r="B34" s="9" t="s">
        <v>54</v>
      </c>
      <c r="C34" s="10"/>
      <c r="D34" s="8"/>
      <c r="E34" s="9">
        <v>0</v>
      </c>
      <c r="F34" s="9">
        <v>0</v>
      </c>
      <c r="G34" s="10" t="s">
        <v>147</v>
      </c>
      <c r="H34" s="8"/>
      <c r="I34" s="54"/>
    </row>
    <row r="35" spans="1:9" x14ac:dyDescent="0.25">
      <c r="A35" s="1" t="s">
        <v>58</v>
      </c>
      <c r="B35" s="2"/>
      <c r="C35" s="2"/>
      <c r="D35" s="107"/>
      <c r="E35" s="134"/>
      <c r="F35" s="102"/>
      <c r="G35" s="102"/>
      <c r="H35" s="102"/>
      <c r="I35" s="2"/>
    </row>
    <row r="36" spans="1:9" x14ac:dyDescent="0.25">
      <c r="A36" s="25" t="s">
        <v>197</v>
      </c>
      <c r="B36" s="58" t="s">
        <v>60</v>
      </c>
      <c r="C36" s="6" t="s">
        <v>64</v>
      </c>
      <c r="D36" s="49" t="s">
        <v>62</v>
      </c>
      <c r="E36" s="58" t="s">
        <v>63</v>
      </c>
      <c r="F36" s="6" t="s">
        <v>64</v>
      </c>
      <c r="G36" s="6"/>
      <c r="H36" s="58" t="s">
        <v>199</v>
      </c>
      <c r="I36" s="49"/>
    </row>
    <row r="37" spans="1:9" x14ac:dyDescent="0.25">
      <c r="A37" s="7"/>
      <c r="B37" s="60"/>
      <c r="C37" s="62" t="s">
        <v>66</v>
      </c>
      <c r="D37" s="53" t="s">
        <v>23</v>
      </c>
      <c r="E37" s="74" t="s">
        <v>312</v>
      </c>
      <c r="F37" s="62" t="s">
        <v>30</v>
      </c>
      <c r="G37" s="62"/>
      <c r="H37" s="74"/>
      <c r="I37" s="53"/>
    </row>
    <row r="38" spans="1:9" x14ac:dyDescent="0.25">
      <c r="A38" s="12"/>
      <c r="B38" s="74" t="s">
        <v>68</v>
      </c>
      <c r="C38" s="29">
        <v>21747.41</v>
      </c>
      <c r="D38" s="9">
        <v>10053</v>
      </c>
      <c r="E38" s="79">
        <f>D38*15%</f>
        <v>1507.95</v>
      </c>
      <c r="F38" s="54">
        <f>C38+D38-E38</f>
        <v>30292.46</v>
      </c>
      <c r="G38" s="54"/>
      <c r="H38" s="79">
        <f>F38</f>
        <v>30292.46</v>
      </c>
      <c r="I38" s="53"/>
    </row>
    <row r="39" spans="1:9" x14ac:dyDescent="0.25">
      <c r="A39" s="1" t="s">
        <v>252</v>
      </c>
      <c r="B39" s="1"/>
      <c r="C39" s="1"/>
      <c r="D39" s="47"/>
      <c r="E39" s="1"/>
      <c r="F39" s="1"/>
      <c r="G39" s="1"/>
      <c r="H39" s="1"/>
      <c r="I39" s="1"/>
    </row>
    <row r="40" spans="1:9" x14ac:dyDescent="0.25">
      <c r="A40" s="6" t="s">
        <v>71</v>
      </c>
      <c r="B40" s="57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253</v>
      </c>
      <c r="H40" s="6" t="s">
        <v>78</v>
      </c>
      <c r="I40" s="6" t="s">
        <v>19</v>
      </c>
    </row>
    <row r="41" spans="1:9" x14ac:dyDescent="0.25">
      <c r="A41" s="7"/>
      <c r="B41" s="59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7" t="s">
        <v>84</v>
      </c>
      <c r="H41" s="7" t="s">
        <v>85</v>
      </c>
      <c r="I41" s="7" t="s">
        <v>86</v>
      </c>
    </row>
    <row r="42" spans="1:9" x14ac:dyDescent="0.25">
      <c r="A42" s="7"/>
      <c r="B42" s="59"/>
      <c r="C42" s="7"/>
      <c r="D42" s="60"/>
      <c r="E42" s="7"/>
      <c r="F42" s="60" t="s">
        <v>87</v>
      </c>
      <c r="G42" s="7" t="s">
        <v>88</v>
      </c>
      <c r="H42" s="7"/>
      <c r="I42" s="7" t="s">
        <v>544</v>
      </c>
    </row>
    <row r="43" spans="1:9" x14ac:dyDescent="0.25">
      <c r="A43" s="7"/>
      <c r="B43" s="59"/>
      <c r="C43" s="7"/>
      <c r="D43" s="60"/>
      <c r="E43" s="7"/>
      <c r="F43" s="60"/>
      <c r="G43" s="7"/>
      <c r="H43" s="7"/>
      <c r="I43" s="7"/>
    </row>
    <row r="44" spans="1:9" x14ac:dyDescent="0.25">
      <c r="A44" s="9"/>
      <c r="B44" s="9"/>
      <c r="C44" s="10"/>
      <c r="D44" s="9"/>
      <c r="E44" s="10"/>
      <c r="F44" s="9"/>
      <c r="G44" s="10"/>
      <c r="H44" s="9"/>
      <c r="I44" s="9"/>
    </row>
    <row r="45" spans="1:9" x14ac:dyDescent="0.25">
      <c r="A45" s="7">
        <v>1</v>
      </c>
      <c r="B45" s="7" t="s">
        <v>90</v>
      </c>
      <c r="C45" s="5" t="s">
        <v>91</v>
      </c>
      <c r="D45" s="7">
        <v>-27347.53</v>
      </c>
      <c r="E45" s="112">
        <v>279857.43</v>
      </c>
      <c r="F45" s="7">
        <v>277307.52000000002</v>
      </c>
      <c r="G45" s="112">
        <f>E45</f>
        <v>279857.43</v>
      </c>
      <c r="H45" s="7">
        <f>D45+F45-G45</f>
        <v>-29897.439999999973</v>
      </c>
      <c r="I45" s="7">
        <f>H45</f>
        <v>-29897.439999999973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65"/>
      <c r="H46" s="9"/>
      <c r="I46" s="9"/>
    </row>
    <row r="47" spans="1:9" x14ac:dyDescent="0.25">
      <c r="A47" s="7">
        <v>2</v>
      </c>
      <c r="B47" s="7" t="s">
        <v>94</v>
      </c>
      <c r="C47" s="1" t="s">
        <v>95</v>
      </c>
      <c r="D47" s="62">
        <v>-104279.77</v>
      </c>
      <c r="E47" s="2">
        <v>455714.27</v>
      </c>
      <c r="F47" s="7">
        <v>449610.91</v>
      </c>
      <c r="G47" s="2">
        <f>E47</f>
        <v>455714.27</v>
      </c>
      <c r="H47" s="7">
        <f>D47+F47-G47</f>
        <v>-110383.13000000006</v>
      </c>
      <c r="I47" s="62">
        <f>H47</f>
        <v>-110383.13000000006</v>
      </c>
    </row>
    <row r="48" spans="1:9" x14ac:dyDescent="0.25">
      <c r="A48" s="9"/>
      <c r="B48" s="9" t="s">
        <v>96</v>
      </c>
      <c r="C48" s="41"/>
      <c r="D48" s="9" t="s">
        <v>71</v>
      </c>
      <c r="E48" s="10"/>
      <c r="F48" s="9"/>
      <c r="G48" s="10"/>
      <c r="H48" s="6" t="s">
        <v>71</v>
      </c>
      <c r="I48" s="9" t="str">
        <f>H48</f>
        <v xml:space="preserve"> </v>
      </c>
    </row>
    <row r="49" spans="1:9" x14ac:dyDescent="0.25">
      <c r="A49" s="9"/>
      <c r="B49" s="9" t="s">
        <v>313</v>
      </c>
      <c r="C49" s="41" t="s">
        <v>93</v>
      </c>
      <c r="D49" s="9"/>
      <c r="E49" s="10"/>
      <c r="F49" s="9"/>
      <c r="G49" s="10"/>
      <c r="H49" s="6"/>
      <c r="I49" s="9"/>
    </row>
    <row r="50" spans="1:9" x14ac:dyDescent="0.25">
      <c r="A50" s="9">
        <v>3</v>
      </c>
      <c r="B50" s="9" t="s">
        <v>98</v>
      </c>
      <c r="C50" s="41" t="s">
        <v>203</v>
      </c>
      <c r="D50" s="9">
        <v>-253627.04</v>
      </c>
      <c r="E50" s="10">
        <v>1025383.19</v>
      </c>
      <c r="F50" s="9">
        <v>1069582.72</v>
      </c>
      <c r="G50" s="10">
        <f>E50</f>
        <v>1025383.19</v>
      </c>
      <c r="H50" s="9">
        <f>D50+F50-G50</f>
        <v>-209427.51</v>
      </c>
      <c r="I50" s="9">
        <f>H50</f>
        <v>-209427.51</v>
      </c>
    </row>
    <row r="51" spans="1:9" x14ac:dyDescent="0.25">
      <c r="A51" s="5"/>
      <c r="B51" s="5" t="s">
        <v>255</v>
      </c>
      <c r="C51" s="1"/>
      <c r="D51" s="1"/>
      <c r="E51" s="1"/>
      <c r="F51" s="1"/>
      <c r="G51" s="1"/>
      <c r="H51" s="1"/>
      <c r="I51" s="1"/>
    </row>
    <row r="52" spans="1:9" x14ac:dyDescent="0.25">
      <c r="A52" s="5" t="s">
        <v>256</v>
      </c>
      <c r="B52" s="5"/>
      <c r="C52" s="1"/>
      <c r="D52" s="1"/>
      <c r="E52" s="1"/>
      <c r="F52" s="1"/>
      <c r="G52" s="1"/>
      <c r="H52" s="1"/>
      <c r="I52" s="1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257</v>
      </c>
      <c r="G55" s="60"/>
      <c r="H55" s="61"/>
      <c r="I55" s="7"/>
    </row>
    <row r="56" spans="1:9" x14ac:dyDescent="0.25">
      <c r="A56" s="51"/>
      <c r="B56" s="62"/>
      <c r="C56" s="60"/>
      <c r="D56" s="60"/>
      <c r="E56" s="60"/>
      <c r="F56" s="51" t="s">
        <v>258</v>
      </c>
      <c r="G56" s="60"/>
      <c r="H56" s="61"/>
      <c r="I56" s="62"/>
    </row>
    <row r="57" spans="1:9" x14ac:dyDescent="0.25">
      <c r="A57" s="67" t="s">
        <v>110</v>
      </c>
      <c r="B57" s="18"/>
      <c r="C57" s="68" t="s">
        <v>111</v>
      </c>
      <c r="D57" s="68"/>
      <c r="E57" s="68"/>
      <c r="F57" s="48"/>
      <c r="G57" s="58"/>
      <c r="H57" s="49"/>
      <c r="I57" s="7"/>
    </row>
    <row r="58" spans="1:9" x14ac:dyDescent="0.25">
      <c r="A58" s="69"/>
      <c r="B58" s="7"/>
      <c r="C58" s="60" t="s">
        <v>112</v>
      </c>
      <c r="D58" s="60"/>
      <c r="E58" s="60"/>
      <c r="F58" s="51" t="s">
        <v>71</v>
      </c>
      <c r="G58" s="37"/>
      <c r="H58" s="61" t="s">
        <v>71</v>
      </c>
      <c r="I58" s="7" t="s">
        <v>71</v>
      </c>
    </row>
    <row r="59" spans="1:9" x14ac:dyDescent="0.25">
      <c r="A59" s="69" t="s">
        <v>113</v>
      </c>
      <c r="B59" s="70">
        <v>42853</v>
      </c>
      <c r="C59" s="60" t="s">
        <v>545</v>
      </c>
      <c r="D59" s="60"/>
      <c r="E59" s="60"/>
      <c r="F59" s="51"/>
      <c r="G59" s="37">
        <f>I59/3833.5</f>
        <v>1.5329046563192905</v>
      </c>
      <c r="H59" s="61"/>
      <c r="I59" s="7">
        <v>5876.39</v>
      </c>
    </row>
    <row r="60" spans="1:9" x14ac:dyDescent="0.25">
      <c r="A60" s="69" t="s">
        <v>38</v>
      </c>
      <c r="B60" s="70">
        <v>42851</v>
      </c>
      <c r="C60" s="60" t="s">
        <v>114</v>
      </c>
      <c r="D60" s="60"/>
      <c r="E60" s="60"/>
      <c r="F60" s="51"/>
      <c r="G60" s="37">
        <f>I60/3833.5</f>
        <v>3.5476718403547673</v>
      </c>
      <c r="H60" s="61"/>
      <c r="I60" s="7">
        <v>13600</v>
      </c>
    </row>
    <row r="61" spans="1:9" x14ac:dyDescent="0.25">
      <c r="A61" s="69" t="s">
        <v>40</v>
      </c>
      <c r="B61" s="70">
        <v>43033</v>
      </c>
      <c r="C61" s="60" t="s">
        <v>546</v>
      </c>
      <c r="D61" s="60"/>
      <c r="E61" s="60"/>
      <c r="F61" s="51"/>
      <c r="G61" s="37">
        <f>I61/3833.5</f>
        <v>7.1874266336246251</v>
      </c>
      <c r="H61" s="61"/>
      <c r="I61" s="7">
        <v>27553</v>
      </c>
    </row>
    <row r="62" spans="1:9" x14ac:dyDescent="0.25">
      <c r="A62" s="69" t="s">
        <v>42</v>
      </c>
      <c r="B62" s="70" t="s">
        <v>433</v>
      </c>
      <c r="C62" s="60" t="s">
        <v>434</v>
      </c>
      <c r="D62" s="60"/>
      <c r="E62" s="60"/>
      <c r="F62" s="51"/>
      <c r="G62" s="37">
        <f>I62/3833.5</f>
        <v>4.2622381635581066</v>
      </c>
      <c r="H62" s="61"/>
      <c r="I62" s="7">
        <v>16339.29</v>
      </c>
    </row>
    <row r="63" spans="1:9" x14ac:dyDescent="0.25">
      <c r="A63" s="69" t="s">
        <v>71</v>
      </c>
      <c r="B63" s="70"/>
      <c r="C63" s="60"/>
      <c r="D63" s="60"/>
      <c r="E63" s="60"/>
      <c r="F63" s="51"/>
      <c r="G63" s="37" t="s">
        <v>71</v>
      </c>
      <c r="H63" s="61"/>
      <c r="I63" s="7"/>
    </row>
    <row r="64" spans="1:9" x14ac:dyDescent="0.25">
      <c r="A64" s="69"/>
      <c r="B64" s="7"/>
      <c r="C64" s="5" t="s">
        <v>118</v>
      </c>
      <c r="D64" s="60"/>
      <c r="E64" s="60"/>
      <c r="F64" s="51"/>
      <c r="G64" s="78">
        <f>SUM(G59:G63)</f>
        <v>16.53024129385679</v>
      </c>
      <c r="H64" s="61"/>
      <c r="I64" s="18">
        <f>SUM(I59:I63)</f>
        <v>63368.68</v>
      </c>
    </row>
    <row r="65" spans="1:9" x14ac:dyDescent="0.25">
      <c r="A65" s="6"/>
      <c r="B65" s="6"/>
      <c r="C65" s="48"/>
      <c r="D65" s="58"/>
      <c r="E65" s="49"/>
      <c r="F65" s="48"/>
      <c r="G65" s="37"/>
      <c r="H65" s="49"/>
      <c r="I65" s="6"/>
    </row>
    <row r="66" spans="1:9" x14ac:dyDescent="0.25">
      <c r="A66" s="6" t="s">
        <v>48</v>
      </c>
      <c r="B66" s="25" t="s">
        <v>119</v>
      </c>
      <c r="C66" s="57" t="s">
        <v>120</v>
      </c>
      <c r="D66" s="58"/>
      <c r="E66" s="49"/>
      <c r="F66" s="48" t="s">
        <v>121</v>
      </c>
      <c r="G66" s="58"/>
      <c r="H66" s="49"/>
      <c r="I66" s="6"/>
    </row>
    <row r="67" spans="1:9" x14ac:dyDescent="0.25">
      <c r="A67" s="69"/>
      <c r="B67" s="70"/>
      <c r="C67" s="114"/>
      <c r="D67" s="60"/>
      <c r="E67" s="60"/>
      <c r="F67" s="51"/>
      <c r="G67" s="37"/>
      <c r="H67" s="61"/>
      <c r="I67" s="7"/>
    </row>
    <row r="68" spans="1:9" x14ac:dyDescent="0.25">
      <c r="A68" s="69"/>
      <c r="B68" s="7"/>
      <c r="C68" s="51"/>
      <c r="D68" s="60"/>
      <c r="E68" s="61"/>
      <c r="F68" s="51"/>
      <c r="G68" s="37"/>
      <c r="H68" s="23"/>
      <c r="I68" s="7"/>
    </row>
    <row r="69" spans="1:9" x14ac:dyDescent="0.25">
      <c r="A69" s="73"/>
      <c r="B69" s="62" t="s">
        <v>119</v>
      </c>
      <c r="C69" s="15" t="s">
        <v>118</v>
      </c>
      <c r="D69" s="14"/>
      <c r="E69" s="85"/>
      <c r="F69" s="15" t="s">
        <v>71</v>
      </c>
      <c r="G69" s="79">
        <f>I69/3816.7</f>
        <v>0</v>
      </c>
      <c r="H69" s="13" t="s">
        <v>71</v>
      </c>
      <c r="I69" s="12">
        <f>SUM(I67:I68)</f>
        <v>0</v>
      </c>
    </row>
    <row r="70" spans="1:9" x14ac:dyDescent="0.25">
      <c r="A70" s="2" t="s">
        <v>209</v>
      </c>
      <c r="B70" s="2"/>
      <c r="C70" s="2"/>
      <c r="D70" s="114" t="s">
        <v>123</v>
      </c>
      <c r="F70" s="2" t="s">
        <v>124</v>
      </c>
      <c r="H70" s="2" t="s">
        <v>262</v>
      </c>
      <c r="I70" s="2" t="s">
        <v>263</v>
      </c>
    </row>
    <row r="71" spans="1:9" x14ac:dyDescent="0.25">
      <c r="A71" s="2"/>
      <c r="B71" s="2"/>
      <c r="H71" s="10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110" zoomScaleNormal="110" workbookViewId="0">
      <selection activeCell="A8" sqref="A8"/>
    </sheetView>
  </sheetViews>
  <sheetFormatPr defaultRowHeight="15" x14ac:dyDescent="0.25"/>
  <cols>
    <col min="1" max="1" width="5" style="3" customWidth="1"/>
    <col min="2" max="2" width="35" style="3" customWidth="1"/>
    <col min="3" max="3" width="12.5703125" style="3" customWidth="1"/>
    <col min="4" max="4" width="9.140625" style="3"/>
    <col min="5" max="5" width="10.5703125" style="3" customWidth="1"/>
    <col min="6" max="6" width="11.85546875" style="3" customWidth="1"/>
    <col min="7" max="7" width="11" style="3" customWidth="1"/>
    <col min="8" max="8" width="11.28515625" style="3" customWidth="1"/>
    <col min="9" max="9" width="17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2"/>
      <c r="H6" s="2"/>
      <c r="I6" s="2"/>
    </row>
    <row r="7" spans="1:9" x14ac:dyDescent="0.25">
      <c r="A7" s="1" t="s">
        <v>187</v>
      </c>
      <c r="B7" s="1"/>
      <c r="C7" s="1"/>
      <c r="D7" s="1"/>
      <c r="E7" s="1"/>
      <c r="F7" s="1"/>
      <c r="G7" s="2"/>
      <c r="H7" s="2"/>
      <c r="I7" s="2"/>
    </row>
    <row r="8" spans="1:9" x14ac:dyDescent="0.25">
      <c r="A8" s="2" t="s">
        <v>188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189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11</v>
      </c>
      <c r="B13" s="1"/>
      <c r="C13" s="1"/>
      <c r="D13" s="1"/>
      <c r="E13" s="1"/>
      <c r="F13" s="1"/>
      <c r="G13" s="1"/>
      <c r="H13" s="1"/>
      <c r="I13" s="2"/>
    </row>
    <row r="14" spans="1:9" x14ac:dyDescent="0.25">
      <c r="A14" s="49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61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61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61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30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58">
        <v>7</v>
      </c>
      <c r="H18" s="6">
        <v>8</v>
      </c>
      <c r="I18" s="6">
        <v>9</v>
      </c>
    </row>
    <row r="19" spans="1:9" x14ac:dyDescent="0.25">
      <c r="A19" s="68">
        <v>1</v>
      </c>
      <c r="B19" s="25" t="s">
        <v>191</v>
      </c>
      <c r="C19" s="25"/>
      <c r="D19" s="45"/>
      <c r="E19" s="27" t="s">
        <v>71</v>
      </c>
      <c r="F19" s="57" t="s">
        <v>71</v>
      </c>
      <c r="G19" s="28" t="str">
        <f t="shared" ref="G19:G28" si="0">E19</f>
        <v xml:space="preserve"> </v>
      </c>
      <c r="H19" s="45"/>
      <c r="I19" s="45" t="s">
        <v>71</v>
      </c>
    </row>
    <row r="20" spans="1:9" x14ac:dyDescent="0.25">
      <c r="A20" s="14"/>
      <c r="B20" s="12" t="s">
        <v>192</v>
      </c>
      <c r="C20" s="12">
        <v>7.97</v>
      </c>
      <c r="D20" s="88">
        <v>-28167.32</v>
      </c>
      <c r="E20" s="14">
        <v>223185.51</v>
      </c>
      <c r="F20" s="15">
        <v>228891.82</v>
      </c>
      <c r="G20" s="16">
        <f t="shared" si="0"/>
        <v>223185.51</v>
      </c>
      <c r="H20" s="17">
        <f>D20+F20-G20</f>
        <v>-22461.010000000009</v>
      </c>
      <c r="I20" s="88">
        <f>H20+H25</f>
        <v>-22466.100000000009</v>
      </c>
    </row>
    <row r="21" spans="1:9" x14ac:dyDescent="0.25">
      <c r="A21" s="89" t="s">
        <v>113</v>
      </c>
      <c r="B21" s="18" t="s">
        <v>37</v>
      </c>
      <c r="C21" s="18">
        <v>2.62</v>
      </c>
      <c r="D21" s="45"/>
      <c r="E21" s="20">
        <f>E20*33/100</f>
        <v>73651.218300000008</v>
      </c>
      <c r="F21" s="21">
        <f>F20*33/100</f>
        <v>75534.300600000002</v>
      </c>
      <c r="G21" s="21">
        <f t="shared" si="0"/>
        <v>73651.218300000008</v>
      </c>
      <c r="H21" s="22"/>
      <c r="I21" s="43"/>
    </row>
    <row r="22" spans="1:9" x14ac:dyDescent="0.25">
      <c r="A22" s="90" t="s">
        <v>38</v>
      </c>
      <c r="B22" s="25" t="s">
        <v>39</v>
      </c>
      <c r="C22" s="25">
        <v>1.33</v>
      </c>
      <c r="D22" s="45"/>
      <c r="E22" s="27">
        <f>E20*17/100</f>
        <v>37941.536699999997</v>
      </c>
      <c r="F22" s="28">
        <f>F20*17/100</f>
        <v>38911.609400000001</v>
      </c>
      <c r="G22" s="28">
        <f t="shared" si="0"/>
        <v>37941.536699999997</v>
      </c>
      <c r="H22" s="44"/>
      <c r="I22" s="45"/>
    </row>
    <row r="23" spans="1:9" x14ac:dyDescent="0.25">
      <c r="A23" s="90" t="s">
        <v>40</v>
      </c>
      <c r="B23" s="25" t="s">
        <v>41</v>
      </c>
      <c r="C23" s="25">
        <v>1.63</v>
      </c>
      <c r="D23" s="45"/>
      <c r="E23" s="27">
        <f>E20*20/100</f>
        <v>44637.101999999999</v>
      </c>
      <c r="F23" s="28">
        <f>F20*20/100</f>
        <v>45778.364000000001</v>
      </c>
      <c r="G23" s="28">
        <f t="shared" si="0"/>
        <v>44637.101999999999</v>
      </c>
      <c r="H23" s="29"/>
      <c r="I23" s="75"/>
    </row>
    <row r="24" spans="1:9" x14ac:dyDescent="0.25">
      <c r="A24" s="91" t="s">
        <v>42</v>
      </c>
      <c r="B24" s="25" t="s">
        <v>43</v>
      </c>
      <c r="C24" s="25">
        <v>2.39</v>
      </c>
      <c r="D24" s="45"/>
      <c r="E24" s="33">
        <f>E20*30/100</f>
        <v>66955.653000000006</v>
      </c>
      <c r="F24" s="34">
        <f>F20*30/100</f>
        <v>68667.546000000002</v>
      </c>
      <c r="G24" s="34">
        <f t="shared" si="0"/>
        <v>66955.653000000006</v>
      </c>
      <c r="H24" s="29"/>
      <c r="I24" s="75"/>
    </row>
    <row r="25" spans="1:9" x14ac:dyDescent="0.25">
      <c r="A25" s="91" t="s">
        <v>44</v>
      </c>
      <c r="B25" s="6" t="s">
        <v>193</v>
      </c>
      <c r="C25" s="6">
        <v>1.5900000000000001E-2</v>
      </c>
      <c r="D25" s="75"/>
      <c r="E25" s="37">
        <v>445.41</v>
      </c>
      <c r="F25" s="38">
        <v>440.32</v>
      </c>
      <c r="G25" s="38">
        <f t="shared" si="0"/>
        <v>445.41</v>
      </c>
      <c r="H25" s="22">
        <f>F25-E25</f>
        <v>-5.0900000000000318</v>
      </c>
      <c r="I25" s="75">
        <f t="shared" ref="I25:I30" si="1">H25</f>
        <v>-5.0900000000000318</v>
      </c>
    </row>
    <row r="26" spans="1:9" x14ac:dyDescent="0.25">
      <c r="A26" s="91" t="s">
        <v>46</v>
      </c>
      <c r="B26" s="6" t="s">
        <v>47</v>
      </c>
      <c r="C26" s="92">
        <v>2.2939500000000002</v>
      </c>
      <c r="D26" s="75"/>
      <c r="E26" s="40">
        <v>58864.31</v>
      </c>
      <c r="F26" s="40">
        <v>48058.94</v>
      </c>
      <c r="G26" s="40">
        <f>E26</f>
        <v>58864.31</v>
      </c>
      <c r="H26" s="29">
        <f>F26-E26</f>
        <v>-10805.369999999995</v>
      </c>
      <c r="I26" s="75">
        <f>H26</f>
        <v>-10805.369999999995</v>
      </c>
    </row>
    <row r="27" spans="1:9" x14ac:dyDescent="0.25">
      <c r="A27" s="46" t="s">
        <v>48</v>
      </c>
      <c r="B27" s="11" t="s">
        <v>143</v>
      </c>
      <c r="C27" s="11">
        <v>3.15</v>
      </c>
      <c r="D27" s="43">
        <v>-20492.62</v>
      </c>
      <c r="E27" s="41">
        <v>88211.64</v>
      </c>
      <c r="F27" s="42">
        <v>89822.17</v>
      </c>
      <c r="G27" s="34">
        <f t="shared" si="0"/>
        <v>88211.64</v>
      </c>
      <c r="H27" s="43">
        <f>D27+F27-G27</f>
        <v>-18882.089999999997</v>
      </c>
      <c r="I27" s="43">
        <f t="shared" si="1"/>
        <v>-18882.089999999997</v>
      </c>
    </row>
    <row r="28" spans="1:9" x14ac:dyDescent="0.25">
      <c r="A28" s="46" t="s">
        <v>51</v>
      </c>
      <c r="B28" s="11" t="s">
        <v>49</v>
      </c>
      <c r="C28" s="11" t="s">
        <v>50</v>
      </c>
      <c r="D28" s="43">
        <v>-13613.83</v>
      </c>
      <c r="E28" s="41">
        <v>93401.79</v>
      </c>
      <c r="F28" s="42">
        <v>92496.07</v>
      </c>
      <c r="G28" s="34">
        <f t="shared" si="0"/>
        <v>93401.79</v>
      </c>
      <c r="H28" s="17">
        <f>D28+F28-G28</f>
        <v>-14519.549999999988</v>
      </c>
      <c r="I28" s="43">
        <f t="shared" si="1"/>
        <v>-14519.549999999988</v>
      </c>
    </row>
    <row r="29" spans="1:9" x14ac:dyDescent="0.25">
      <c r="A29" s="46" t="s">
        <v>55</v>
      </c>
      <c r="B29" s="42" t="s">
        <v>194</v>
      </c>
      <c r="C29" s="11">
        <v>0.92</v>
      </c>
      <c r="D29" s="43">
        <f>-23.7*9</f>
        <v>-213.29999999999998</v>
      </c>
      <c r="E29" s="41">
        <v>0</v>
      </c>
      <c r="F29" s="42">
        <v>1.67</v>
      </c>
      <c r="G29" s="43">
        <v>0</v>
      </c>
      <c r="H29" s="34">
        <f>D29+F29-G29</f>
        <v>-211.63</v>
      </c>
      <c r="I29" s="43">
        <f t="shared" si="1"/>
        <v>-211.63</v>
      </c>
    </row>
    <row r="30" spans="1:9" x14ac:dyDescent="0.25">
      <c r="A30" s="46" t="s">
        <v>59</v>
      </c>
      <c r="B30" s="11" t="s">
        <v>195</v>
      </c>
      <c r="C30" s="12">
        <v>1.82</v>
      </c>
      <c r="D30" s="43">
        <v>-43380.77</v>
      </c>
      <c r="E30" s="41">
        <v>50965.59</v>
      </c>
      <c r="F30" s="17">
        <v>52324.14</v>
      </c>
      <c r="G30" s="11">
        <f>I61</f>
        <v>22467.14</v>
      </c>
      <c r="H30" s="21">
        <f>D30+F30-G30</f>
        <v>-13523.769999999997</v>
      </c>
      <c r="I30" s="43">
        <f t="shared" si="1"/>
        <v>-13523.769999999997</v>
      </c>
    </row>
    <row r="31" spans="1:9" x14ac:dyDescent="0.25">
      <c r="A31" s="85"/>
      <c r="B31" s="11" t="s">
        <v>53</v>
      </c>
      <c r="C31" s="14"/>
      <c r="D31" s="34"/>
      <c r="E31" s="11"/>
      <c r="F31" s="17"/>
      <c r="G31" s="15"/>
      <c r="H31" s="43"/>
      <c r="I31" s="43"/>
    </row>
    <row r="32" spans="1:9" x14ac:dyDescent="0.25">
      <c r="A32" s="71" t="s">
        <v>196</v>
      </c>
      <c r="B32" s="18" t="s">
        <v>146</v>
      </c>
      <c r="C32" s="5"/>
      <c r="D32" s="21"/>
      <c r="E32" s="44"/>
      <c r="F32" s="44"/>
      <c r="G32" s="21"/>
      <c r="H32" s="21"/>
      <c r="I32" s="44"/>
    </row>
    <row r="33" spans="1:9" x14ac:dyDescent="0.25">
      <c r="A33" s="11"/>
      <c r="B33" s="11" t="s">
        <v>148</v>
      </c>
      <c r="C33" s="41">
        <v>0</v>
      </c>
      <c r="D33" s="34">
        <v>0</v>
      </c>
      <c r="E33" s="11">
        <v>0</v>
      </c>
      <c r="F33" s="11"/>
      <c r="G33" s="42">
        <f>G35</f>
        <v>0</v>
      </c>
      <c r="H33" s="34">
        <v>0</v>
      </c>
      <c r="I33" s="43"/>
    </row>
    <row r="34" spans="1:9" x14ac:dyDescent="0.25">
      <c r="A34" s="61"/>
      <c r="B34" s="62" t="s">
        <v>112</v>
      </c>
      <c r="C34" s="60"/>
      <c r="D34" s="38"/>
      <c r="E34" s="7"/>
      <c r="F34" s="7"/>
      <c r="G34" s="60"/>
      <c r="H34" s="38"/>
      <c r="I34" s="22"/>
    </row>
    <row r="35" spans="1:9" x14ac:dyDescent="0.25">
      <c r="A35" s="50"/>
      <c r="B35" s="9" t="s">
        <v>53</v>
      </c>
      <c r="C35" s="10"/>
      <c r="D35" s="40">
        <v>0</v>
      </c>
      <c r="E35" s="9">
        <v>0</v>
      </c>
      <c r="F35" s="9"/>
      <c r="G35" s="8">
        <f>I64</f>
        <v>0</v>
      </c>
      <c r="H35" s="40">
        <v>0</v>
      </c>
      <c r="I35" s="29"/>
    </row>
    <row r="36" spans="1:9" x14ac:dyDescent="0.25">
      <c r="A36" s="1" t="s">
        <v>58</v>
      </c>
      <c r="B36" s="1"/>
      <c r="C36" s="1"/>
      <c r="D36" s="47"/>
      <c r="E36" s="1"/>
      <c r="F36" s="1"/>
      <c r="G36" s="2"/>
      <c r="H36" s="2"/>
      <c r="I36" s="2"/>
    </row>
    <row r="37" spans="1:9" x14ac:dyDescent="0.25">
      <c r="A37" s="58" t="s">
        <v>197</v>
      </c>
      <c r="B37" s="48" t="s">
        <v>60</v>
      </c>
      <c r="C37" s="8" t="s">
        <v>61</v>
      </c>
      <c r="D37" s="9" t="s">
        <v>62</v>
      </c>
      <c r="E37" s="9" t="s">
        <v>198</v>
      </c>
      <c r="F37" s="9" t="s">
        <v>61</v>
      </c>
      <c r="G37" s="50"/>
      <c r="H37" s="8" t="s">
        <v>199</v>
      </c>
      <c r="I37" s="50"/>
    </row>
    <row r="38" spans="1:9" x14ac:dyDescent="0.25">
      <c r="A38" s="60"/>
      <c r="B38" s="51"/>
      <c r="C38" s="8" t="s">
        <v>66</v>
      </c>
      <c r="D38" s="9" t="s">
        <v>23</v>
      </c>
      <c r="E38" s="93">
        <v>0.15</v>
      </c>
      <c r="F38" s="9" t="s">
        <v>30</v>
      </c>
      <c r="G38" s="50"/>
      <c r="H38" s="52"/>
      <c r="I38" s="53"/>
    </row>
    <row r="39" spans="1:9" x14ac:dyDescent="0.25">
      <c r="A39" s="74"/>
      <c r="B39" s="52" t="s">
        <v>68</v>
      </c>
      <c r="C39" s="55">
        <v>12960.53</v>
      </c>
      <c r="D39" s="9">
        <v>5553</v>
      </c>
      <c r="E39" s="29">
        <f>D39*15%</f>
        <v>832.94999999999993</v>
      </c>
      <c r="F39" s="29">
        <f>C39+(D39-E39)</f>
        <v>17680.580000000002</v>
      </c>
      <c r="G39" s="35"/>
      <c r="H39" s="55">
        <f>F39-G39</f>
        <v>17680.580000000002</v>
      </c>
      <c r="I39" s="53"/>
    </row>
    <row r="40" spans="1:9" x14ac:dyDescent="0.25">
      <c r="A40" s="5" t="s">
        <v>69</v>
      </c>
      <c r="B40" s="5"/>
      <c r="C40" s="5"/>
      <c r="D40" s="56"/>
      <c r="E40" s="5"/>
      <c r="F40" s="5"/>
      <c r="G40" s="5"/>
      <c r="H40" s="5"/>
      <c r="I40" s="5"/>
    </row>
    <row r="41" spans="1:9" x14ac:dyDescent="0.25">
      <c r="A41" s="1" t="s">
        <v>70</v>
      </c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49" t="s">
        <v>71</v>
      </c>
      <c r="B42" s="48" t="s">
        <v>72</v>
      </c>
      <c r="C42" s="6" t="s">
        <v>73</v>
      </c>
      <c r="D42" s="48" t="s">
        <v>74</v>
      </c>
      <c r="E42" s="6" t="s">
        <v>75</v>
      </c>
      <c r="F42" s="58" t="s">
        <v>76</v>
      </c>
      <c r="G42" s="6" t="s">
        <v>77</v>
      </c>
      <c r="H42" s="58" t="s">
        <v>78</v>
      </c>
      <c r="I42" s="6" t="s">
        <v>200</v>
      </c>
    </row>
    <row r="43" spans="1:9" x14ac:dyDescent="0.25">
      <c r="A43" s="61"/>
      <c r="B43" s="51" t="s">
        <v>79</v>
      </c>
      <c r="C43" s="7" t="s">
        <v>80</v>
      </c>
      <c r="D43" s="51" t="s">
        <v>81</v>
      </c>
      <c r="E43" s="7" t="s">
        <v>82</v>
      </c>
      <c r="F43" s="60" t="s">
        <v>83</v>
      </c>
      <c r="G43" s="7" t="s">
        <v>84</v>
      </c>
      <c r="H43" s="60" t="s">
        <v>85</v>
      </c>
      <c r="I43" s="7" t="s">
        <v>201</v>
      </c>
    </row>
    <row r="44" spans="1:9" x14ac:dyDescent="0.25">
      <c r="A44" s="61"/>
      <c r="B44" s="51"/>
      <c r="C44" s="7"/>
      <c r="D44" s="52"/>
      <c r="E44" s="62"/>
      <c r="F44" s="74" t="s">
        <v>87</v>
      </c>
      <c r="G44" s="62" t="s">
        <v>88</v>
      </c>
      <c r="H44" s="74"/>
      <c r="I44" s="62" t="s">
        <v>157</v>
      </c>
    </row>
    <row r="45" spans="1:9" x14ac:dyDescent="0.25">
      <c r="A45" s="50">
        <v>1</v>
      </c>
      <c r="B45" s="9" t="s">
        <v>90</v>
      </c>
      <c r="C45" s="11" t="s">
        <v>91</v>
      </c>
      <c r="D45" s="61">
        <v>-21274.84</v>
      </c>
      <c r="E45" s="94">
        <v>196224.91</v>
      </c>
      <c r="F45" s="7">
        <v>174106.65</v>
      </c>
      <c r="G45" s="60">
        <f>E45</f>
        <v>196224.91</v>
      </c>
      <c r="H45" s="7">
        <f>D45+F45-G45</f>
        <v>-43393.100000000006</v>
      </c>
      <c r="I45" s="61">
        <f>H45</f>
        <v>-43393.100000000006</v>
      </c>
    </row>
    <row r="46" spans="1:9" x14ac:dyDescent="0.25">
      <c r="A46" s="50"/>
      <c r="B46" s="9" t="s">
        <v>92</v>
      </c>
      <c r="C46" s="41" t="s">
        <v>93</v>
      </c>
      <c r="D46" s="9"/>
      <c r="E46" s="95"/>
      <c r="F46" s="9"/>
      <c r="G46" s="10"/>
      <c r="H46" s="9"/>
      <c r="I46" s="50"/>
    </row>
    <row r="47" spans="1:9" x14ac:dyDescent="0.25">
      <c r="A47" s="50">
        <v>2</v>
      </c>
      <c r="B47" s="9" t="s">
        <v>94</v>
      </c>
      <c r="C47" s="41" t="s">
        <v>95</v>
      </c>
      <c r="D47" s="9">
        <v>-88904.49</v>
      </c>
      <c r="E47" s="95">
        <v>295275.42</v>
      </c>
      <c r="F47" s="9">
        <v>267107.92</v>
      </c>
      <c r="G47" s="10">
        <f>E47</f>
        <v>295275.42</v>
      </c>
      <c r="H47" s="9">
        <f>D47+F47-E47</f>
        <v>-117071.98999999999</v>
      </c>
      <c r="I47" s="9">
        <f>H47</f>
        <v>-117071.98999999999</v>
      </c>
    </row>
    <row r="48" spans="1:9" x14ac:dyDescent="0.25">
      <c r="A48" s="50"/>
      <c r="B48" s="9" t="s">
        <v>96</v>
      </c>
      <c r="C48" s="41" t="s">
        <v>93</v>
      </c>
      <c r="D48" s="9"/>
      <c r="E48" s="65"/>
      <c r="F48" s="9"/>
      <c r="G48" s="9"/>
      <c r="H48" s="9"/>
      <c r="I48" s="9"/>
    </row>
    <row r="49" spans="1:9" x14ac:dyDescent="0.25">
      <c r="A49" s="50"/>
      <c r="B49" s="9" t="s">
        <v>202</v>
      </c>
      <c r="C49" s="41"/>
      <c r="D49" s="9"/>
      <c r="E49" s="65"/>
      <c r="F49" s="9"/>
      <c r="G49" s="8"/>
      <c r="H49" s="9"/>
      <c r="I49" s="9"/>
    </row>
    <row r="50" spans="1:9" x14ac:dyDescent="0.25">
      <c r="A50" s="50">
        <v>3</v>
      </c>
      <c r="B50" s="9" t="s">
        <v>98</v>
      </c>
      <c r="C50" s="41" t="s">
        <v>203</v>
      </c>
      <c r="D50" s="9">
        <v>-325851.78000000003</v>
      </c>
      <c r="E50" s="10">
        <v>816207</v>
      </c>
      <c r="F50" s="9">
        <v>817404.82</v>
      </c>
      <c r="G50" s="8">
        <f>E50</f>
        <v>816207</v>
      </c>
      <c r="H50" s="9">
        <f>D50+F50-G50</f>
        <v>-324653.96000000008</v>
      </c>
      <c r="I50" s="9">
        <f>H50</f>
        <v>-324653.96000000008</v>
      </c>
    </row>
    <row r="51" spans="1:9" x14ac:dyDescent="0.25">
      <c r="A51" s="1" t="s">
        <v>100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5" t="s">
        <v>101</v>
      </c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58" t="s">
        <v>12</v>
      </c>
      <c r="B53" s="6" t="s">
        <v>102</v>
      </c>
      <c r="C53" s="58" t="s">
        <v>103</v>
      </c>
      <c r="D53" s="58"/>
      <c r="E53" s="58"/>
      <c r="F53" s="48" t="s">
        <v>172</v>
      </c>
      <c r="G53" s="58"/>
      <c r="H53" s="49"/>
      <c r="I53" s="6" t="s">
        <v>105</v>
      </c>
    </row>
    <row r="54" spans="1:9" x14ac:dyDescent="0.25">
      <c r="A54" s="60" t="s">
        <v>106</v>
      </c>
      <c r="B54" s="7"/>
      <c r="C54" s="60"/>
      <c r="D54" s="60"/>
      <c r="E54" s="60"/>
      <c r="F54" s="51" t="s">
        <v>204</v>
      </c>
      <c r="G54" s="60"/>
      <c r="H54" s="61"/>
      <c r="I54" s="7" t="s">
        <v>108</v>
      </c>
    </row>
    <row r="55" spans="1:9" x14ac:dyDescent="0.25">
      <c r="A55" s="60"/>
      <c r="B55" s="62"/>
      <c r="C55" s="60"/>
      <c r="D55" s="60"/>
      <c r="E55" s="60"/>
      <c r="F55" s="51" t="s">
        <v>205</v>
      </c>
      <c r="G55" s="60"/>
      <c r="H55" s="61"/>
      <c r="I55" s="7"/>
    </row>
    <row r="56" spans="1:9" x14ac:dyDescent="0.25">
      <c r="A56" s="96" t="s">
        <v>110</v>
      </c>
      <c r="B56" s="18"/>
      <c r="C56" s="68" t="s">
        <v>111</v>
      </c>
      <c r="D56" s="68"/>
      <c r="E56" s="68"/>
      <c r="F56" s="48"/>
      <c r="G56" s="58"/>
      <c r="H56" s="49"/>
      <c r="I56" s="6"/>
    </row>
    <row r="57" spans="1:9" x14ac:dyDescent="0.25">
      <c r="A57" s="89"/>
      <c r="B57" s="7"/>
      <c r="C57" s="60" t="s">
        <v>112</v>
      </c>
      <c r="D57" s="60"/>
      <c r="E57" s="60"/>
      <c r="F57" s="51" t="s">
        <v>71</v>
      </c>
      <c r="G57" s="37"/>
      <c r="H57" s="61" t="s">
        <v>71</v>
      </c>
      <c r="I57" s="7" t="s">
        <v>71</v>
      </c>
    </row>
    <row r="58" spans="1:9" x14ac:dyDescent="0.25">
      <c r="A58" s="89" t="s">
        <v>113</v>
      </c>
      <c r="B58" s="70">
        <v>42851</v>
      </c>
      <c r="C58" s="60" t="s">
        <v>114</v>
      </c>
      <c r="D58" s="60"/>
      <c r="E58" s="60"/>
      <c r="F58" s="51"/>
      <c r="G58" s="37">
        <f>I58/2299.4</f>
        <v>4.0010437505436203</v>
      </c>
      <c r="H58" s="61"/>
      <c r="I58" s="7">
        <v>9200</v>
      </c>
    </row>
    <row r="59" spans="1:9" x14ac:dyDescent="0.25">
      <c r="A59" s="89" t="s">
        <v>38</v>
      </c>
      <c r="B59" s="70">
        <v>43098</v>
      </c>
      <c r="C59" s="60" t="s">
        <v>206</v>
      </c>
      <c r="D59" s="60"/>
      <c r="E59" s="60"/>
      <c r="F59" s="51"/>
      <c r="G59" s="37">
        <f>I59/2299.4</f>
        <v>3.3380099156301641</v>
      </c>
      <c r="H59" s="61"/>
      <c r="I59" s="7">
        <v>7675.42</v>
      </c>
    </row>
    <row r="60" spans="1:9" x14ac:dyDescent="0.25">
      <c r="A60" s="89" t="s">
        <v>40</v>
      </c>
      <c r="B60" s="70" t="s">
        <v>207</v>
      </c>
      <c r="C60" s="60" t="s">
        <v>208</v>
      </c>
      <c r="D60" s="60"/>
      <c r="E60" s="60"/>
      <c r="F60" s="51"/>
      <c r="G60" s="37">
        <f>I60/2299.4</f>
        <v>2.4318169957380187</v>
      </c>
      <c r="H60" s="61"/>
      <c r="I60" s="7">
        <v>5591.72</v>
      </c>
    </row>
    <row r="61" spans="1:9" x14ac:dyDescent="0.25">
      <c r="A61" s="89"/>
      <c r="B61" s="7"/>
      <c r="C61" s="5" t="s">
        <v>118</v>
      </c>
      <c r="D61" s="5"/>
      <c r="E61" s="5"/>
      <c r="F61" s="59"/>
      <c r="G61" s="20">
        <f>SUM(G57:G60)</f>
        <v>9.770870661911804</v>
      </c>
      <c r="H61" s="71"/>
      <c r="I61" s="18">
        <f>SUM(I58:I60)</f>
        <v>22467.14</v>
      </c>
    </row>
    <row r="62" spans="1:9" x14ac:dyDescent="0.25">
      <c r="A62" s="49"/>
      <c r="B62" s="97"/>
      <c r="C62" s="48"/>
      <c r="D62" s="58"/>
      <c r="E62" s="49"/>
      <c r="F62" s="48"/>
      <c r="G62" s="58"/>
      <c r="H62" s="49"/>
      <c r="I62" s="6"/>
    </row>
    <row r="63" spans="1:9" x14ac:dyDescent="0.25">
      <c r="A63" s="49" t="s">
        <v>48</v>
      </c>
      <c r="B63" s="25" t="s">
        <v>119</v>
      </c>
      <c r="C63" s="57" t="s">
        <v>120</v>
      </c>
      <c r="D63" s="58"/>
      <c r="E63" s="49"/>
      <c r="F63" s="48" t="s">
        <v>121</v>
      </c>
      <c r="G63" s="58"/>
      <c r="H63" s="49"/>
      <c r="I63" s="6"/>
    </row>
    <row r="64" spans="1:9" x14ac:dyDescent="0.25">
      <c r="A64" s="98"/>
      <c r="B64" s="70"/>
      <c r="C64" s="60"/>
      <c r="D64" s="60"/>
      <c r="E64" s="60"/>
      <c r="F64" s="51"/>
      <c r="G64" s="37" t="s">
        <v>71</v>
      </c>
      <c r="H64" s="61"/>
      <c r="I64" s="7"/>
    </row>
    <row r="65" spans="1:9" x14ac:dyDescent="0.25">
      <c r="A65" s="99"/>
      <c r="B65" s="62" t="s">
        <v>119</v>
      </c>
      <c r="C65" s="15" t="s">
        <v>118</v>
      </c>
      <c r="D65" s="74"/>
      <c r="E65" s="53"/>
      <c r="F65" s="52" t="s">
        <v>71</v>
      </c>
      <c r="G65" s="79">
        <f>SUM(G64)</f>
        <v>0</v>
      </c>
      <c r="H65" s="53"/>
      <c r="I65" s="12">
        <f>SUM(I64)</f>
        <v>0</v>
      </c>
    </row>
    <row r="66" spans="1:9" x14ac:dyDescent="0.25">
      <c r="A66" s="2" t="s">
        <v>209</v>
      </c>
      <c r="B66" s="2"/>
      <c r="C66" s="2"/>
      <c r="D66" s="2" t="s">
        <v>123</v>
      </c>
      <c r="E66" s="2" t="s">
        <v>210</v>
      </c>
      <c r="F66" s="2"/>
      <c r="G66" s="2"/>
      <c r="H66" s="2" t="s">
        <v>125</v>
      </c>
      <c r="I66" s="2" t="s">
        <v>126</v>
      </c>
    </row>
    <row r="67" spans="1:9" x14ac:dyDescent="0.25">
      <c r="A67" s="2"/>
      <c r="B67" s="2"/>
      <c r="C67" s="2"/>
      <c r="E67" s="2"/>
      <c r="F67" s="2"/>
      <c r="G67" s="2"/>
      <c r="H67" s="2"/>
      <c r="I67" s="2"/>
    </row>
  </sheetData>
  <pageMargins left="0.7" right="0.7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110" zoomScaleNormal="110" workbookViewId="0">
      <selection activeCell="G35" sqref="G35"/>
    </sheetView>
  </sheetViews>
  <sheetFormatPr defaultRowHeight="15" x14ac:dyDescent="0.25"/>
  <cols>
    <col min="1" max="1" width="4.85546875" style="3" customWidth="1"/>
    <col min="2" max="2" width="30.7109375" style="3" customWidth="1"/>
    <col min="3" max="3" width="13.42578125" style="3" customWidth="1"/>
    <col min="4" max="4" width="9.85546875" style="3" customWidth="1"/>
    <col min="5" max="5" width="11.140625" style="3" customWidth="1"/>
    <col min="6" max="6" width="10.42578125" style="3" customWidth="1"/>
    <col min="7" max="7" width="11" style="3" customWidth="1"/>
    <col min="8" max="8" width="11.85546875" style="3" customWidth="1"/>
    <col min="9" max="9" width="20.85546875" style="3" customWidth="1"/>
    <col min="10" max="16384" width="9.140625" style="3"/>
  </cols>
  <sheetData>
    <row r="1" spans="1:9" x14ac:dyDescent="0.25">
      <c r="A1" s="265" t="s">
        <v>0</v>
      </c>
      <c r="B1" s="266"/>
      <c r="C1" s="266"/>
      <c r="D1" s="266"/>
      <c r="E1" s="266"/>
      <c r="F1" s="266"/>
      <c r="G1" s="266"/>
      <c r="H1" s="266"/>
      <c r="I1" s="266"/>
    </row>
    <row r="2" spans="1:9" x14ac:dyDescent="0.25">
      <c r="A2" s="265"/>
      <c r="B2" s="266"/>
      <c r="C2" s="266"/>
      <c r="D2" s="266"/>
      <c r="E2" s="266"/>
      <c r="F2" s="266"/>
      <c r="G2" s="266"/>
      <c r="H2" s="266"/>
      <c r="I2" s="267"/>
    </row>
    <row r="3" spans="1:9" x14ac:dyDescent="0.25">
      <c r="A3" s="265" t="s">
        <v>2</v>
      </c>
      <c r="B3" s="266"/>
      <c r="C3" s="266"/>
      <c r="D3" s="266"/>
      <c r="E3" s="266"/>
      <c r="F3" s="266"/>
      <c r="G3" s="266"/>
      <c r="H3" s="266"/>
      <c r="I3" s="266"/>
    </row>
    <row r="4" spans="1:9" x14ac:dyDescent="0.25">
      <c r="A4" s="265" t="s">
        <v>127</v>
      </c>
      <c r="B4" s="266"/>
      <c r="C4" s="266"/>
      <c r="D4" s="266"/>
      <c r="E4" s="266"/>
      <c r="F4" s="266"/>
      <c r="G4" s="266"/>
      <c r="H4" s="266"/>
      <c r="I4" s="266"/>
    </row>
    <row r="5" spans="1:9" x14ac:dyDescent="0.25">
      <c r="A5" s="265" t="s">
        <v>4</v>
      </c>
      <c r="B5" s="266"/>
      <c r="C5" s="266"/>
      <c r="D5" s="266"/>
      <c r="E5" s="266"/>
      <c r="F5" s="266"/>
      <c r="G5" s="266"/>
      <c r="H5" s="266"/>
      <c r="I5" s="266"/>
    </row>
    <row r="6" spans="1:9" x14ac:dyDescent="0.25">
      <c r="A6" s="266"/>
      <c r="B6" s="266"/>
      <c r="C6" s="266"/>
      <c r="D6" s="266"/>
      <c r="E6" s="266"/>
      <c r="F6" s="266"/>
      <c r="G6" s="266"/>
      <c r="H6" s="266"/>
      <c r="I6" s="266"/>
    </row>
    <row r="7" spans="1:9" x14ac:dyDescent="0.25">
      <c r="A7" s="265" t="s">
        <v>547</v>
      </c>
      <c r="B7" s="265"/>
      <c r="C7" s="265"/>
      <c r="D7" s="265"/>
      <c r="E7" s="266"/>
      <c r="F7" s="266"/>
      <c r="G7" s="266"/>
      <c r="H7" s="266"/>
      <c r="I7" s="266"/>
    </row>
    <row r="8" spans="1:9" x14ac:dyDescent="0.25">
      <c r="A8" s="266" t="s">
        <v>1277</v>
      </c>
      <c r="B8" s="266"/>
      <c r="C8" s="266"/>
      <c r="D8" s="266"/>
      <c r="E8" s="266"/>
      <c r="F8" s="266"/>
      <c r="G8" s="266"/>
      <c r="H8" s="266"/>
      <c r="I8" s="266"/>
    </row>
    <row r="9" spans="1:9" x14ac:dyDescent="0.25">
      <c r="A9" s="266" t="s">
        <v>1278</v>
      </c>
      <c r="B9" s="266"/>
      <c r="C9" s="266"/>
      <c r="D9" s="266"/>
      <c r="E9" s="266"/>
      <c r="F9" s="266"/>
      <c r="G9" s="266"/>
      <c r="H9" s="266"/>
      <c r="I9" s="266"/>
    </row>
    <row r="10" spans="1:9" x14ac:dyDescent="0.25">
      <c r="A10" s="266" t="s">
        <v>190</v>
      </c>
      <c r="B10" s="266"/>
      <c r="C10" s="266"/>
      <c r="D10" s="266"/>
      <c r="E10" s="266"/>
      <c r="F10" s="266"/>
      <c r="G10" s="266"/>
      <c r="H10" s="266"/>
      <c r="I10" s="266"/>
    </row>
    <row r="11" spans="1:9" x14ac:dyDescent="0.25">
      <c r="A11" s="265" t="s">
        <v>9</v>
      </c>
      <c r="B11" s="266"/>
      <c r="C11" s="266"/>
      <c r="D11" s="266"/>
      <c r="E11" s="266"/>
      <c r="F11" s="266"/>
      <c r="G11" s="266"/>
      <c r="H11" s="266"/>
      <c r="I11" s="266"/>
    </row>
    <row r="12" spans="1:9" x14ac:dyDescent="0.25">
      <c r="A12" s="265" t="s">
        <v>10</v>
      </c>
      <c r="B12" s="266"/>
      <c r="C12" s="266"/>
      <c r="D12" s="266"/>
      <c r="E12" s="266"/>
      <c r="F12" s="266"/>
      <c r="G12" s="266"/>
      <c r="H12" s="266"/>
      <c r="I12" s="266"/>
    </row>
    <row r="13" spans="1:9" x14ac:dyDescent="0.25">
      <c r="A13" s="268" t="s">
        <v>11</v>
      </c>
      <c r="B13" s="266"/>
      <c r="C13" s="266"/>
      <c r="D13" s="266"/>
      <c r="E13" s="266"/>
      <c r="F13" s="266"/>
      <c r="G13" s="266"/>
      <c r="H13" s="266"/>
      <c r="I13" s="266"/>
    </row>
    <row r="14" spans="1:9" x14ac:dyDescent="0.25">
      <c r="A14" s="269" t="s">
        <v>12</v>
      </c>
      <c r="B14" s="269" t="s">
        <v>13</v>
      </c>
      <c r="C14" s="269" t="s">
        <v>14</v>
      </c>
      <c r="D14" s="269" t="s">
        <v>15</v>
      </c>
      <c r="E14" s="269" t="s">
        <v>16</v>
      </c>
      <c r="F14" s="269" t="s">
        <v>17</v>
      </c>
      <c r="G14" s="269" t="s">
        <v>18</v>
      </c>
      <c r="H14" s="269" t="s">
        <v>15</v>
      </c>
      <c r="I14" s="269" t="s">
        <v>19</v>
      </c>
    </row>
    <row r="15" spans="1:9" x14ac:dyDescent="0.25">
      <c r="A15" s="270" t="s">
        <v>20</v>
      </c>
      <c r="B15" s="270"/>
      <c r="C15" s="270" t="s">
        <v>232</v>
      </c>
      <c r="D15" s="270" t="s">
        <v>22</v>
      </c>
      <c r="E15" s="270" t="s">
        <v>23</v>
      </c>
      <c r="F15" s="270" t="s">
        <v>23</v>
      </c>
      <c r="G15" s="270" t="s">
        <v>24</v>
      </c>
      <c r="H15" s="270" t="s">
        <v>25</v>
      </c>
      <c r="I15" s="270" t="s">
        <v>548</v>
      </c>
    </row>
    <row r="16" spans="1:9" x14ac:dyDescent="0.25">
      <c r="A16" s="270"/>
      <c r="B16" s="270"/>
      <c r="C16" s="270" t="s">
        <v>27</v>
      </c>
      <c r="D16" s="270" t="s">
        <v>28</v>
      </c>
      <c r="E16" s="270"/>
      <c r="F16" s="270"/>
      <c r="G16" s="270" t="s">
        <v>29</v>
      </c>
      <c r="H16" s="270" t="s">
        <v>30</v>
      </c>
      <c r="I16" s="270" t="s">
        <v>549</v>
      </c>
    </row>
    <row r="17" spans="1:9" x14ac:dyDescent="0.25">
      <c r="A17" s="270"/>
      <c r="B17" s="270"/>
      <c r="C17" s="270" t="s">
        <v>32</v>
      </c>
      <c r="D17" s="270" t="s">
        <v>33</v>
      </c>
      <c r="E17" s="270" t="s">
        <v>33</v>
      </c>
      <c r="F17" s="270" t="s">
        <v>33</v>
      </c>
      <c r="G17" s="270" t="s">
        <v>33</v>
      </c>
      <c r="H17" s="270" t="s">
        <v>33</v>
      </c>
      <c r="I17" s="270" t="s">
        <v>550</v>
      </c>
    </row>
    <row r="18" spans="1:9" x14ac:dyDescent="0.25">
      <c r="A18" s="271">
        <v>1</v>
      </c>
      <c r="B18" s="272">
        <v>2</v>
      </c>
      <c r="C18" s="273">
        <v>3</v>
      </c>
      <c r="D18" s="272">
        <v>4</v>
      </c>
      <c r="E18" s="273">
        <v>5</v>
      </c>
      <c r="F18" s="272">
        <v>6</v>
      </c>
      <c r="G18" s="273">
        <v>7</v>
      </c>
      <c r="H18" s="272">
        <v>8</v>
      </c>
      <c r="I18" s="273">
        <v>9</v>
      </c>
    </row>
    <row r="19" spans="1:9" x14ac:dyDescent="0.25">
      <c r="A19" s="274">
        <v>1</v>
      </c>
      <c r="B19" s="275" t="s">
        <v>191</v>
      </c>
      <c r="C19" s="274"/>
      <c r="D19" s="275"/>
      <c r="E19" s="276" t="s">
        <v>71</v>
      </c>
      <c r="F19" s="275" t="s">
        <v>71</v>
      </c>
      <c r="G19" s="277"/>
      <c r="H19" s="275" t="s">
        <v>71</v>
      </c>
      <c r="I19" s="278" t="s">
        <v>71</v>
      </c>
    </row>
    <row r="20" spans="1:9" x14ac:dyDescent="0.25">
      <c r="A20" s="279"/>
      <c r="B20" s="280" t="s">
        <v>192</v>
      </c>
      <c r="C20" s="279">
        <v>7.56</v>
      </c>
      <c r="D20" s="281">
        <v>1459.78</v>
      </c>
      <c r="E20" s="279">
        <v>47795.16</v>
      </c>
      <c r="F20" s="280">
        <v>49529</v>
      </c>
      <c r="G20" s="282">
        <v>47795.16</v>
      </c>
      <c r="H20" s="281">
        <v>3193.6199999999953</v>
      </c>
      <c r="I20" s="281">
        <v>3193.6199999999953</v>
      </c>
    </row>
    <row r="21" spans="1:9" x14ac:dyDescent="0.25">
      <c r="A21" s="270" t="s">
        <v>36</v>
      </c>
      <c r="B21" s="283" t="s">
        <v>37</v>
      </c>
      <c r="C21" s="284">
        <v>2.62</v>
      </c>
      <c r="D21" s="285"/>
      <c r="E21" s="286">
        <v>16489.3302</v>
      </c>
      <c r="F21" s="285">
        <v>17087.505000000001</v>
      </c>
      <c r="G21" s="286">
        <v>16489.3302</v>
      </c>
      <c r="H21" s="285"/>
      <c r="I21" s="285"/>
    </row>
    <row r="22" spans="1:9" x14ac:dyDescent="0.25">
      <c r="A22" s="287" t="s">
        <v>40</v>
      </c>
      <c r="B22" s="269" t="s">
        <v>39</v>
      </c>
      <c r="C22" s="288">
        <v>1.33</v>
      </c>
      <c r="D22" s="289"/>
      <c r="E22" s="290">
        <v>8603.1288000000004</v>
      </c>
      <c r="F22" s="289">
        <v>8915.2199999999993</v>
      </c>
      <c r="G22" s="291">
        <v>8603.1288000000004</v>
      </c>
      <c r="H22" s="289"/>
      <c r="I22" s="289"/>
    </row>
    <row r="23" spans="1:9" x14ac:dyDescent="0.25">
      <c r="A23" s="287" t="s">
        <v>42</v>
      </c>
      <c r="B23" s="269" t="s">
        <v>41</v>
      </c>
      <c r="C23" s="288">
        <v>1.22</v>
      </c>
      <c r="D23" s="292"/>
      <c r="E23" s="290">
        <v>7647.2256000000007</v>
      </c>
      <c r="F23" s="289">
        <v>7924.64</v>
      </c>
      <c r="G23" s="293">
        <v>7647.2256000000007</v>
      </c>
      <c r="H23" s="292"/>
      <c r="I23" s="292"/>
    </row>
    <row r="24" spans="1:9" x14ac:dyDescent="0.25">
      <c r="A24" s="294" t="s">
        <v>44</v>
      </c>
      <c r="B24" s="273" t="s">
        <v>43</v>
      </c>
      <c r="C24" s="272">
        <v>2.39</v>
      </c>
      <c r="D24" s="289"/>
      <c r="E24" s="295">
        <v>15055.475400000001</v>
      </c>
      <c r="F24" s="292">
        <v>15601.635</v>
      </c>
      <c r="G24" s="292">
        <v>15055.475400000001</v>
      </c>
      <c r="H24" s="289"/>
      <c r="I24" s="289"/>
    </row>
    <row r="25" spans="1:9" x14ac:dyDescent="0.25">
      <c r="A25" s="296" t="s">
        <v>46</v>
      </c>
      <c r="B25" s="273" t="s">
        <v>47</v>
      </c>
      <c r="C25" s="272">
        <v>1.54234</v>
      </c>
      <c r="D25" s="273">
        <v>-86.83</v>
      </c>
      <c r="E25" s="273">
        <v>8194.6</v>
      </c>
      <c r="F25" s="273">
        <v>6824.29</v>
      </c>
      <c r="G25" s="297">
        <v>8194.6</v>
      </c>
      <c r="H25" s="273">
        <v>-1457.1400000000003</v>
      </c>
      <c r="I25" s="269">
        <v>-1457.1400000000003</v>
      </c>
    </row>
    <row r="26" spans="1:9" x14ac:dyDescent="0.25">
      <c r="A26" s="265" t="s">
        <v>48</v>
      </c>
      <c r="B26" s="280" t="s">
        <v>49</v>
      </c>
      <c r="C26" s="280" t="s">
        <v>50</v>
      </c>
      <c r="D26" s="280">
        <v>1892.14</v>
      </c>
      <c r="E26" s="280">
        <v>22722.81</v>
      </c>
      <c r="F26" s="265">
        <v>22382.76</v>
      </c>
      <c r="G26" s="280">
        <v>22722.81</v>
      </c>
      <c r="H26" s="298">
        <v>1552.0899999999965</v>
      </c>
      <c r="I26" s="298"/>
    </row>
    <row r="27" spans="1:9" x14ac:dyDescent="0.25">
      <c r="A27" s="275" t="s">
        <v>51</v>
      </c>
      <c r="B27" s="275" t="s">
        <v>216</v>
      </c>
      <c r="C27" s="274"/>
      <c r="D27" s="278"/>
      <c r="E27" s="276"/>
      <c r="F27" s="278"/>
      <c r="G27" s="276"/>
      <c r="H27" s="278"/>
      <c r="I27" s="299"/>
    </row>
    <row r="28" spans="1:9" x14ac:dyDescent="0.25">
      <c r="A28" s="299"/>
      <c r="B28" s="280" t="s">
        <v>217</v>
      </c>
      <c r="C28" s="268">
        <v>1.65</v>
      </c>
      <c r="D28" s="280">
        <v>48613.01</v>
      </c>
      <c r="E28" s="265">
        <v>9934.92</v>
      </c>
      <c r="F28" s="280">
        <v>10304.15</v>
      </c>
      <c r="G28" s="265">
        <v>0</v>
      </c>
      <c r="H28" s="280">
        <v>58917.16</v>
      </c>
      <c r="I28" s="299"/>
    </row>
    <row r="29" spans="1:9" x14ac:dyDescent="0.25">
      <c r="A29" s="298" t="s">
        <v>55</v>
      </c>
      <c r="B29" s="298" t="s">
        <v>146</v>
      </c>
      <c r="C29" s="300"/>
      <c r="D29" s="299" t="s">
        <v>71</v>
      </c>
      <c r="E29" s="274"/>
      <c r="F29" s="299"/>
      <c r="G29" s="274" t="s">
        <v>147</v>
      </c>
      <c r="H29" s="299" t="s">
        <v>71</v>
      </c>
      <c r="I29" s="275"/>
    </row>
    <row r="30" spans="1:9" x14ac:dyDescent="0.25">
      <c r="A30" s="280"/>
      <c r="B30" s="280" t="s">
        <v>551</v>
      </c>
      <c r="C30" s="279">
        <v>0</v>
      </c>
      <c r="D30" s="298">
        <v>20673.3</v>
      </c>
      <c r="E30" s="298">
        <v>0</v>
      </c>
      <c r="F30" s="298">
        <v>0</v>
      </c>
      <c r="G30" s="301">
        <v>0</v>
      </c>
      <c r="H30" s="298">
        <v>20673.3</v>
      </c>
      <c r="I30" s="298"/>
    </row>
    <row r="31" spans="1:9" x14ac:dyDescent="0.25">
      <c r="A31" s="270"/>
      <c r="B31" s="283" t="s">
        <v>112</v>
      </c>
      <c r="C31" s="302"/>
      <c r="D31" s="270"/>
      <c r="E31" s="302"/>
      <c r="F31" s="270"/>
      <c r="G31" s="302"/>
      <c r="H31" s="270"/>
      <c r="I31" s="270"/>
    </row>
    <row r="32" spans="1:9" x14ac:dyDescent="0.25">
      <c r="A32" s="273"/>
      <c r="B32" s="273" t="s">
        <v>53</v>
      </c>
      <c r="C32" s="272" t="s">
        <v>71</v>
      </c>
      <c r="D32" s="273" t="s">
        <v>71</v>
      </c>
      <c r="E32" s="273">
        <v>0</v>
      </c>
      <c r="F32" s="273">
        <v>0</v>
      </c>
      <c r="G32" s="272">
        <v>0</v>
      </c>
      <c r="H32" s="273"/>
      <c r="I32" s="273"/>
    </row>
    <row r="33" spans="1:9" x14ac:dyDescent="0.25">
      <c r="A33" s="273"/>
      <c r="B33" s="273" t="s">
        <v>54</v>
      </c>
      <c r="C33" s="272" t="s">
        <v>71</v>
      </c>
      <c r="D33" s="273"/>
      <c r="E33" s="272">
        <v>0</v>
      </c>
      <c r="F33" s="273">
        <v>0</v>
      </c>
      <c r="G33" s="272">
        <v>0</v>
      </c>
      <c r="H33" s="273"/>
      <c r="I33" s="273"/>
    </row>
    <row r="34" spans="1:9" x14ac:dyDescent="0.25">
      <c r="A34" s="302"/>
      <c r="B34" s="302"/>
      <c r="C34" s="302"/>
      <c r="D34" s="302"/>
      <c r="E34" s="302"/>
      <c r="F34" s="302"/>
      <c r="G34" s="302"/>
      <c r="H34" s="302"/>
      <c r="I34" s="302"/>
    </row>
    <row r="35" spans="1:9" x14ac:dyDescent="0.25">
      <c r="A35" s="265" t="s">
        <v>58</v>
      </c>
      <c r="B35" s="266"/>
      <c r="C35" s="266"/>
      <c r="D35" s="264"/>
      <c r="E35" s="266"/>
      <c r="F35" s="266"/>
      <c r="G35" s="266"/>
      <c r="H35" s="266"/>
      <c r="I35" s="266"/>
    </row>
    <row r="36" spans="1:9" x14ac:dyDescent="0.25">
      <c r="A36" s="265"/>
      <c r="B36" s="266"/>
      <c r="C36" s="266"/>
      <c r="D36" s="264"/>
      <c r="E36" s="266"/>
      <c r="F36" s="266"/>
      <c r="G36" s="266"/>
      <c r="H36" s="266"/>
      <c r="I36" s="266"/>
    </row>
    <row r="37" spans="1:9" x14ac:dyDescent="0.25">
      <c r="A37" s="265"/>
      <c r="B37" s="266"/>
      <c r="C37" s="266"/>
      <c r="D37" s="264"/>
      <c r="E37" s="266"/>
      <c r="F37" s="266"/>
      <c r="G37" s="266"/>
      <c r="H37" s="266"/>
      <c r="I37" s="266"/>
    </row>
    <row r="38" spans="1:9" x14ac:dyDescent="0.25">
      <c r="A38" s="268" t="s">
        <v>69</v>
      </c>
      <c r="B38" s="266"/>
      <c r="C38" s="266"/>
      <c r="D38" s="264"/>
      <c r="E38" s="266"/>
      <c r="F38" s="266"/>
      <c r="G38" s="266"/>
      <c r="H38" s="266"/>
      <c r="I38" s="266"/>
    </row>
    <row r="39" spans="1:9" x14ac:dyDescent="0.25">
      <c r="A39" s="265" t="s">
        <v>70</v>
      </c>
      <c r="B39" s="266"/>
      <c r="C39" s="266"/>
      <c r="D39" s="266"/>
      <c r="E39" s="266"/>
      <c r="F39" s="266"/>
      <c r="G39" s="266"/>
      <c r="H39" s="266"/>
      <c r="I39" s="266"/>
    </row>
    <row r="40" spans="1:9" x14ac:dyDescent="0.25">
      <c r="A40" s="269" t="s">
        <v>71</v>
      </c>
      <c r="B40" s="277" t="s">
        <v>72</v>
      </c>
      <c r="C40" s="269" t="s">
        <v>73</v>
      </c>
      <c r="D40" s="288" t="s">
        <v>74</v>
      </c>
      <c r="E40" s="269" t="s">
        <v>75</v>
      </c>
      <c r="F40" s="288" t="s">
        <v>76</v>
      </c>
      <c r="G40" s="269" t="s">
        <v>552</v>
      </c>
      <c r="H40" s="288" t="s">
        <v>78</v>
      </c>
      <c r="I40" s="269" t="s">
        <v>19</v>
      </c>
    </row>
    <row r="41" spans="1:9" x14ac:dyDescent="0.25">
      <c r="A41" s="270"/>
      <c r="B41" s="303" t="s">
        <v>79</v>
      </c>
      <c r="C41" s="270" t="s">
        <v>80</v>
      </c>
      <c r="D41" s="302" t="s">
        <v>81</v>
      </c>
      <c r="E41" s="270" t="s">
        <v>82</v>
      </c>
      <c r="F41" s="302" t="s">
        <v>83</v>
      </c>
      <c r="G41" s="270" t="s">
        <v>88</v>
      </c>
      <c r="H41" s="302" t="s">
        <v>85</v>
      </c>
      <c r="I41" s="270" t="s">
        <v>86</v>
      </c>
    </row>
    <row r="42" spans="1:9" x14ac:dyDescent="0.25">
      <c r="A42" s="270"/>
      <c r="B42" s="304"/>
      <c r="C42" s="270"/>
      <c r="D42" s="302"/>
      <c r="E42" s="270"/>
      <c r="F42" s="302" t="s">
        <v>87</v>
      </c>
      <c r="G42" s="270"/>
      <c r="H42" s="302"/>
      <c r="I42" s="270" t="s">
        <v>553</v>
      </c>
    </row>
    <row r="43" spans="1:9" x14ac:dyDescent="0.25">
      <c r="A43" s="270"/>
      <c r="B43" s="304"/>
      <c r="C43" s="270"/>
      <c r="D43" s="302"/>
      <c r="E43" s="270"/>
      <c r="F43" s="302"/>
      <c r="G43" s="283"/>
      <c r="H43" s="302"/>
      <c r="I43" s="270"/>
    </row>
    <row r="44" spans="1:9" x14ac:dyDescent="0.25">
      <c r="A44" s="273">
        <v>1</v>
      </c>
      <c r="B44" s="273" t="s">
        <v>90</v>
      </c>
      <c r="C44" s="301" t="s">
        <v>91</v>
      </c>
      <c r="D44" s="273">
        <v>-862.14</v>
      </c>
      <c r="E44" s="305">
        <v>62160.7</v>
      </c>
      <c r="F44" s="273">
        <v>58911.34</v>
      </c>
      <c r="G44" s="305">
        <v>62160.7</v>
      </c>
      <c r="H44" s="273">
        <v>-4111.5</v>
      </c>
      <c r="I44" s="297">
        <v>-4111.5</v>
      </c>
    </row>
    <row r="45" spans="1:9" x14ac:dyDescent="0.25">
      <c r="A45" s="273"/>
      <c r="B45" s="273" t="s">
        <v>521</v>
      </c>
      <c r="C45" s="301" t="s">
        <v>93</v>
      </c>
      <c r="D45" s="273"/>
      <c r="E45" s="305"/>
      <c r="F45" s="273"/>
      <c r="G45" s="305"/>
      <c r="H45" s="270"/>
      <c r="I45" s="306"/>
    </row>
    <row r="46" spans="1:9" x14ac:dyDescent="0.25">
      <c r="A46" s="273">
        <v>2</v>
      </c>
      <c r="B46" s="273" t="s">
        <v>98</v>
      </c>
      <c r="C46" s="301" t="s">
        <v>203</v>
      </c>
      <c r="D46" s="273">
        <v>-19841.810000000001</v>
      </c>
      <c r="E46" s="272">
        <v>0</v>
      </c>
      <c r="F46" s="273">
        <v>975.79</v>
      </c>
      <c r="G46" s="272">
        <v>0</v>
      </c>
      <c r="H46" s="273">
        <v>-18866.02</v>
      </c>
      <c r="I46" s="273">
        <v>-18866.02</v>
      </c>
    </row>
    <row r="47" spans="1:9" x14ac:dyDescent="0.25">
      <c r="A47" s="265" t="s">
        <v>554</v>
      </c>
      <c r="B47" s="266"/>
      <c r="C47" s="266"/>
      <c r="D47" s="266"/>
      <c r="E47" s="266"/>
      <c r="F47" s="266"/>
      <c r="G47" s="266"/>
      <c r="H47" s="266"/>
      <c r="I47" s="266"/>
    </row>
    <row r="48" spans="1:9" x14ac:dyDescent="0.25">
      <c r="A48" s="268" t="s">
        <v>555</v>
      </c>
      <c r="B48" s="266"/>
      <c r="C48" s="266"/>
      <c r="D48" s="266"/>
      <c r="E48" s="266"/>
      <c r="F48" s="266"/>
      <c r="G48" s="266"/>
      <c r="H48" s="266"/>
      <c r="I48" s="266"/>
    </row>
    <row r="49" spans="1:9" x14ac:dyDescent="0.25">
      <c r="A49" s="307" t="s">
        <v>12</v>
      </c>
      <c r="B49" s="269" t="s">
        <v>221</v>
      </c>
      <c r="C49" s="288" t="s">
        <v>103</v>
      </c>
      <c r="D49" s="288"/>
      <c r="E49" s="288"/>
      <c r="F49" s="307" t="s">
        <v>556</v>
      </c>
      <c r="G49" s="288"/>
      <c r="H49" s="308"/>
      <c r="I49" s="269" t="s">
        <v>105</v>
      </c>
    </row>
    <row r="50" spans="1:9" x14ac:dyDescent="0.25">
      <c r="A50" s="304" t="s">
        <v>106</v>
      </c>
      <c r="B50" s="283" t="s">
        <v>223</v>
      </c>
      <c r="C50" s="302"/>
      <c r="D50" s="302"/>
      <c r="E50" s="302"/>
      <c r="F50" s="304" t="s">
        <v>557</v>
      </c>
      <c r="G50" s="302"/>
      <c r="H50" s="306"/>
      <c r="I50" s="270" t="s">
        <v>108</v>
      </c>
    </row>
    <row r="51" spans="1:9" x14ac:dyDescent="0.25">
      <c r="A51" s="309" t="s">
        <v>110</v>
      </c>
      <c r="B51" s="299"/>
      <c r="C51" s="274" t="s">
        <v>111</v>
      </c>
      <c r="D51" s="274"/>
      <c r="E51" s="274"/>
      <c r="F51" s="307"/>
      <c r="G51" s="288"/>
      <c r="H51" s="308"/>
      <c r="I51" s="269"/>
    </row>
    <row r="52" spans="1:9" x14ac:dyDescent="0.25">
      <c r="A52" s="310"/>
      <c r="B52" s="270"/>
      <c r="C52" s="302" t="s">
        <v>112</v>
      </c>
      <c r="D52" s="302"/>
      <c r="E52" s="302"/>
      <c r="F52" s="304" t="s">
        <v>71</v>
      </c>
      <c r="G52" s="302"/>
      <c r="H52" s="306" t="s">
        <v>71</v>
      </c>
      <c r="I52" s="270" t="s">
        <v>71</v>
      </c>
    </row>
    <row r="53" spans="1:9" x14ac:dyDescent="0.25">
      <c r="A53" s="310" t="s">
        <v>71</v>
      </c>
      <c r="B53" s="311"/>
      <c r="C53" s="302"/>
      <c r="D53" s="302"/>
      <c r="E53" s="302"/>
      <c r="F53" s="304"/>
      <c r="G53" s="286" t="s">
        <v>71</v>
      </c>
      <c r="H53" s="306"/>
      <c r="I53" s="270"/>
    </row>
    <row r="54" spans="1:9" x14ac:dyDescent="0.25">
      <c r="A54" s="310"/>
      <c r="B54" s="270"/>
      <c r="C54" s="268" t="s">
        <v>118</v>
      </c>
      <c r="D54" s="268"/>
      <c r="E54" s="268"/>
      <c r="F54" s="303"/>
      <c r="G54" s="312">
        <v>0</v>
      </c>
      <c r="H54" s="313"/>
      <c r="I54" s="299">
        <v>0</v>
      </c>
    </row>
    <row r="55" spans="1:9" x14ac:dyDescent="0.25">
      <c r="A55" s="269"/>
      <c r="B55" s="269"/>
      <c r="C55" s="307"/>
      <c r="D55" s="288"/>
      <c r="E55" s="308"/>
      <c r="F55" s="307"/>
      <c r="G55" s="288"/>
      <c r="H55" s="308"/>
      <c r="I55" s="269"/>
    </row>
    <row r="56" spans="1:9" x14ac:dyDescent="0.25">
      <c r="A56" s="269" t="s">
        <v>48</v>
      </c>
      <c r="B56" s="275" t="s">
        <v>119</v>
      </c>
      <c r="C56" s="277" t="s">
        <v>120</v>
      </c>
      <c r="D56" s="288"/>
      <c r="E56" s="308"/>
      <c r="F56" s="307" t="s">
        <v>121</v>
      </c>
      <c r="G56" s="288"/>
      <c r="H56" s="308"/>
      <c r="I56" s="269">
        <v>0</v>
      </c>
    </row>
    <row r="57" spans="1:9" x14ac:dyDescent="0.25">
      <c r="A57" s="314"/>
      <c r="B57" s="283" t="s">
        <v>119</v>
      </c>
      <c r="C57" s="315" t="s">
        <v>118</v>
      </c>
      <c r="D57" s="284"/>
      <c r="E57" s="316"/>
      <c r="F57" s="315" t="s">
        <v>71</v>
      </c>
      <c r="G57" s="284">
        <v>0</v>
      </c>
      <c r="H57" s="316"/>
      <c r="I57" s="283">
        <v>0</v>
      </c>
    </row>
    <row r="58" spans="1:9" x14ac:dyDescent="0.25">
      <c r="A58" s="266" t="s">
        <v>304</v>
      </c>
      <c r="B58" s="266"/>
      <c r="C58" s="266" t="s">
        <v>558</v>
      </c>
      <c r="D58" s="266"/>
      <c r="E58" s="266"/>
      <c r="F58" s="266"/>
      <c r="G58" s="266" t="s">
        <v>559</v>
      </c>
      <c r="H58" s="266"/>
      <c r="I58" s="26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="110" zoomScaleNormal="110" workbookViewId="0">
      <selection activeCell="B63" sqref="B63"/>
    </sheetView>
  </sheetViews>
  <sheetFormatPr defaultRowHeight="15" x14ac:dyDescent="0.25"/>
  <cols>
    <col min="1" max="1" width="4.5703125" style="3" customWidth="1"/>
    <col min="2" max="2" width="29.28515625" style="3" customWidth="1"/>
    <col min="3" max="3" width="12.7109375" style="3" customWidth="1"/>
    <col min="4" max="4" width="12.42578125" style="3" customWidth="1"/>
    <col min="5" max="8" width="9.140625" style="3"/>
    <col min="9" max="9" width="18.4257812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560</v>
      </c>
      <c r="B6" s="1"/>
      <c r="C6" s="1"/>
      <c r="D6" s="1"/>
      <c r="E6" s="1"/>
      <c r="F6" s="2"/>
      <c r="G6" s="2"/>
      <c r="H6" s="2"/>
      <c r="I6" s="2"/>
    </row>
    <row r="7" spans="1:9" x14ac:dyDescent="0.25">
      <c r="A7" s="2" t="s">
        <v>561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562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58">
        <v>7</v>
      </c>
      <c r="H17" s="6">
        <v>8</v>
      </c>
      <c r="I17" s="6">
        <v>9</v>
      </c>
    </row>
    <row r="18" spans="1:9" x14ac:dyDescent="0.25">
      <c r="A18" s="57">
        <v>1</v>
      </c>
      <c r="B18" s="25" t="s">
        <v>191</v>
      </c>
      <c r="C18" s="68"/>
      <c r="D18" s="25"/>
      <c r="E18" s="27" t="s">
        <v>71</v>
      </c>
      <c r="F18" s="57" t="s">
        <v>71</v>
      </c>
      <c r="G18" s="57"/>
      <c r="H18" s="25" t="s">
        <v>71</v>
      </c>
      <c r="I18" s="26" t="s">
        <v>71</v>
      </c>
    </row>
    <row r="19" spans="1:9" x14ac:dyDescent="0.25">
      <c r="A19" s="15"/>
      <c r="B19" s="12" t="s">
        <v>192</v>
      </c>
      <c r="C19" s="14">
        <v>7.56</v>
      </c>
      <c r="D19" s="17">
        <v>-2812.27</v>
      </c>
      <c r="E19" s="14">
        <v>25701</v>
      </c>
      <c r="F19" s="15">
        <v>26516.73</v>
      </c>
      <c r="G19" s="15">
        <f>E19</f>
        <v>25701</v>
      </c>
      <c r="H19" s="44">
        <f>D19+F19-G19</f>
        <v>-1996.5400000000009</v>
      </c>
      <c r="I19" s="13">
        <f>H19</f>
        <v>-1996.5400000000009</v>
      </c>
    </row>
    <row r="20" spans="1:9" x14ac:dyDescent="0.25">
      <c r="A20" s="7" t="s">
        <v>36</v>
      </c>
      <c r="B20" s="51" t="s">
        <v>457</v>
      </c>
      <c r="C20" s="51">
        <v>2.62</v>
      </c>
      <c r="D20" s="22"/>
      <c r="E20" s="37">
        <f>E19*34.5/100</f>
        <v>8866.8449999999993</v>
      </c>
      <c r="F20" s="22">
        <f>F19*34.5/100</f>
        <v>9148.2718499999992</v>
      </c>
      <c r="G20" s="37">
        <f>E20</f>
        <v>8866.8449999999993</v>
      </c>
      <c r="H20" s="75"/>
      <c r="I20" s="23"/>
    </row>
    <row r="21" spans="1:9" x14ac:dyDescent="0.25">
      <c r="A21" s="62"/>
      <c r="B21" s="52" t="s">
        <v>458</v>
      </c>
      <c r="C21" s="52"/>
      <c r="D21" s="54"/>
      <c r="E21" s="79"/>
      <c r="F21" s="54"/>
      <c r="G21" s="79"/>
      <c r="H21" s="17"/>
      <c r="I21" s="80"/>
    </row>
    <row r="22" spans="1:9" x14ac:dyDescent="0.25">
      <c r="A22" s="24" t="s">
        <v>38</v>
      </c>
      <c r="B22" s="6" t="s">
        <v>39</v>
      </c>
      <c r="C22" s="60">
        <v>1.33</v>
      </c>
      <c r="D22" s="75"/>
      <c r="E22" s="37">
        <f>E19*18/100</f>
        <v>4626.18</v>
      </c>
      <c r="F22" s="22">
        <f>F19*18/100</f>
        <v>4773.0114000000003</v>
      </c>
      <c r="G22" s="105">
        <f>E22</f>
        <v>4626.18</v>
      </c>
      <c r="H22" s="54"/>
      <c r="I22" s="75"/>
    </row>
    <row r="23" spans="1:9" x14ac:dyDescent="0.25">
      <c r="A23" s="24" t="s">
        <v>40</v>
      </c>
      <c r="B23" s="6" t="s">
        <v>41</v>
      </c>
      <c r="C23" s="58">
        <v>1.22</v>
      </c>
      <c r="D23" s="75"/>
      <c r="E23" s="86">
        <f>E19*16/100</f>
        <v>4112.16</v>
      </c>
      <c r="F23" s="75">
        <f>F19*16/100</f>
        <v>4242.6768000000002</v>
      </c>
      <c r="G23" s="105">
        <f>E23</f>
        <v>4112.16</v>
      </c>
      <c r="H23" s="75"/>
      <c r="I23" s="75"/>
    </row>
    <row r="24" spans="1:9" x14ac:dyDescent="0.25">
      <c r="A24" s="24" t="s">
        <v>42</v>
      </c>
      <c r="B24" s="6" t="s">
        <v>43</v>
      </c>
      <c r="C24" s="58">
        <v>2.39</v>
      </c>
      <c r="D24" s="29" t="s">
        <v>71</v>
      </c>
      <c r="E24" s="86">
        <f>E19*31.5/100</f>
        <v>8095.8149999999996</v>
      </c>
      <c r="F24" s="75">
        <f>F19*31/100</f>
        <v>8220.1862999999994</v>
      </c>
      <c r="G24" s="29">
        <f>E24</f>
        <v>8095.8149999999996</v>
      </c>
      <c r="H24" s="75"/>
      <c r="I24" s="29" t="s">
        <v>71</v>
      </c>
    </row>
    <row r="25" spans="1:9" x14ac:dyDescent="0.25">
      <c r="A25" s="24" t="s">
        <v>44</v>
      </c>
      <c r="B25" s="6" t="s">
        <v>47</v>
      </c>
      <c r="C25" s="58">
        <v>1.5667599999999999</v>
      </c>
      <c r="D25" s="29"/>
      <c r="E25" s="10">
        <v>4174.47</v>
      </c>
      <c r="F25" s="9">
        <v>3632.43</v>
      </c>
      <c r="G25" s="10">
        <f>E25</f>
        <v>4174.47</v>
      </c>
      <c r="H25" s="9">
        <f>F25-E25</f>
        <v>-542.04000000000042</v>
      </c>
      <c r="I25" s="46">
        <f>H25</f>
        <v>-542.04000000000042</v>
      </c>
    </row>
    <row r="26" spans="1:9" x14ac:dyDescent="0.25">
      <c r="A26" s="11" t="s">
        <v>48</v>
      </c>
      <c r="B26" s="11" t="s">
        <v>49</v>
      </c>
      <c r="C26" s="41" t="s">
        <v>50</v>
      </c>
      <c r="D26" s="43">
        <v>-277.26</v>
      </c>
      <c r="E26" s="41">
        <v>11507.7</v>
      </c>
      <c r="F26" s="11">
        <v>11295.65</v>
      </c>
      <c r="G26" s="41">
        <f>E26</f>
        <v>11507.7</v>
      </c>
      <c r="H26" s="43">
        <f>D26+F26-G26</f>
        <v>-489.31000000000131</v>
      </c>
      <c r="I26" s="32">
        <f>H26</f>
        <v>-489.31000000000131</v>
      </c>
    </row>
    <row r="27" spans="1:9" x14ac:dyDescent="0.25">
      <c r="A27" s="25" t="s">
        <v>51</v>
      </c>
      <c r="B27" s="25" t="s">
        <v>216</v>
      </c>
      <c r="C27" s="68"/>
      <c r="D27" s="45"/>
      <c r="E27" s="27"/>
      <c r="F27" s="45"/>
      <c r="G27" s="27"/>
      <c r="H27" s="45"/>
      <c r="I27" s="45"/>
    </row>
    <row r="28" spans="1:9" x14ac:dyDescent="0.25">
      <c r="A28" s="12"/>
      <c r="B28" s="12" t="s">
        <v>217</v>
      </c>
      <c r="C28" s="14">
        <v>1.65</v>
      </c>
      <c r="D28" s="108">
        <v>13666.86</v>
      </c>
      <c r="E28" s="14">
        <v>5609.52</v>
      </c>
      <c r="F28" s="12">
        <v>5788.02</v>
      </c>
      <c r="G28" s="14">
        <f>G29</f>
        <v>0</v>
      </c>
      <c r="H28" s="108">
        <f>D28-H30+F28-G28</f>
        <v>19454.88</v>
      </c>
      <c r="I28" s="17"/>
    </row>
    <row r="29" spans="1:9" x14ac:dyDescent="0.25">
      <c r="A29" s="18"/>
      <c r="B29" s="62" t="s">
        <v>53</v>
      </c>
      <c r="C29" s="5"/>
      <c r="D29" s="108"/>
      <c r="E29" s="1"/>
      <c r="F29" s="18">
        <v>0</v>
      </c>
      <c r="G29" s="1">
        <f>I59</f>
        <v>0</v>
      </c>
      <c r="H29" s="127"/>
      <c r="I29" s="17"/>
    </row>
    <row r="30" spans="1:9" x14ac:dyDescent="0.25">
      <c r="A30" s="11"/>
      <c r="B30" s="12"/>
      <c r="C30" s="42"/>
      <c r="D30" s="43"/>
      <c r="E30" s="41"/>
      <c r="F30" s="11"/>
      <c r="G30" s="41"/>
      <c r="H30" s="121"/>
      <c r="I30" s="17"/>
    </row>
    <row r="31" spans="1:9" x14ac:dyDescent="0.25">
      <c r="A31" s="11" t="s">
        <v>55</v>
      </c>
      <c r="B31" s="11" t="s">
        <v>146</v>
      </c>
      <c r="C31" s="41"/>
      <c r="D31" s="43"/>
      <c r="E31" s="41"/>
      <c r="F31" s="11"/>
      <c r="G31" s="41" t="s">
        <v>147</v>
      </c>
      <c r="H31" s="11"/>
      <c r="I31" s="43"/>
    </row>
    <row r="32" spans="1:9" x14ac:dyDescent="0.25">
      <c r="A32" s="12"/>
      <c r="B32" s="12" t="s">
        <v>276</v>
      </c>
      <c r="C32" s="14">
        <v>0</v>
      </c>
      <c r="D32" s="17">
        <v>-1531.46</v>
      </c>
      <c r="E32" s="41">
        <v>0</v>
      </c>
      <c r="F32" s="11">
        <f>F34</f>
        <v>0</v>
      </c>
      <c r="G32" s="41">
        <v>0</v>
      </c>
      <c r="H32" s="11">
        <f>D32+F32-G32</f>
        <v>-1531.46</v>
      </c>
      <c r="I32" s="17">
        <f>H32</f>
        <v>-1531.46</v>
      </c>
    </row>
    <row r="33" spans="1:9" x14ac:dyDescent="0.25">
      <c r="A33" s="7"/>
      <c r="B33" s="62" t="s">
        <v>112</v>
      </c>
      <c r="C33" s="60"/>
      <c r="D33" s="7"/>
      <c r="E33" s="60"/>
      <c r="F33" s="7"/>
      <c r="G33" s="60"/>
      <c r="H33" s="7"/>
      <c r="I33" s="54"/>
    </row>
    <row r="34" spans="1:9" x14ac:dyDescent="0.25">
      <c r="A34" s="9"/>
      <c r="B34" s="9" t="s">
        <v>53</v>
      </c>
      <c r="C34" s="10"/>
      <c r="D34" s="9"/>
      <c r="E34" s="10">
        <v>0</v>
      </c>
      <c r="F34" s="9">
        <v>0</v>
      </c>
      <c r="G34" s="10">
        <v>0</v>
      </c>
      <c r="H34" s="9"/>
      <c r="I34" s="29"/>
    </row>
    <row r="35" spans="1:9" x14ac:dyDescent="0.25">
      <c r="A35" s="9"/>
      <c r="B35" s="9" t="s">
        <v>54</v>
      </c>
      <c r="C35" s="10"/>
      <c r="D35" s="9"/>
      <c r="E35" s="10">
        <v>0</v>
      </c>
      <c r="F35" s="9">
        <v>0</v>
      </c>
      <c r="G35" s="10">
        <v>0</v>
      </c>
      <c r="H35" s="9"/>
      <c r="I35" s="29"/>
    </row>
    <row r="36" spans="1:9" x14ac:dyDescent="0.25">
      <c r="A36" s="60"/>
      <c r="B36" s="60"/>
      <c r="C36" s="60"/>
      <c r="D36" s="60"/>
      <c r="E36" s="60"/>
      <c r="F36" s="60"/>
      <c r="G36" s="60"/>
      <c r="H36" s="60"/>
      <c r="I36" s="37"/>
    </row>
    <row r="37" spans="1:9" x14ac:dyDescent="0.25">
      <c r="A37" s="1" t="s">
        <v>58</v>
      </c>
      <c r="B37" s="2"/>
      <c r="C37" s="2"/>
      <c r="D37" s="60"/>
      <c r="E37" s="2"/>
      <c r="F37" s="2"/>
      <c r="G37" s="2"/>
      <c r="H37" s="2"/>
      <c r="I37" s="2"/>
    </row>
    <row r="38" spans="1:9" x14ac:dyDescent="0.25">
      <c r="A38" s="5" t="s">
        <v>69</v>
      </c>
      <c r="B38" s="2"/>
      <c r="C38" s="2"/>
      <c r="D38" s="60"/>
      <c r="E38" s="2"/>
      <c r="F38" s="2"/>
      <c r="G38" s="2"/>
      <c r="H38" s="2"/>
      <c r="I38" s="2"/>
    </row>
    <row r="39" spans="1:9" x14ac:dyDescent="0.25">
      <c r="A39" s="1" t="s">
        <v>70</v>
      </c>
      <c r="B39" s="2"/>
      <c r="C39" s="2"/>
      <c r="D39" s="60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60"/>
      <c r="E40" s="2"/>
      <c r="F40" s="2"/>
      <c r="G40" s="2"/>
      <c r="H40" s="2"/>
      <c r="I40" s="2"/>
    </row>
    <row r="41" spans="1:9" x14ac:dyDescent="0.25">
      <c r="A41" s="6" t="s">
        <v>71</v>
      </c>
      <c r="B41" s="57" t="s">
        <v>72</v>
      </c>
      <c r="C41" s="48" t="s">
        <v>73</v>
      </c>
      <c r="D41" s="6" t="s">
        <v>78</v>
      </c>
      <c r="E41" s="49" t="s">
        <v>75</v>
      </c>
      <c r="F41" s="58" t="s">
        <v>76</v>
      </c>
      <c r="G41" s="6" t="s">
        <v>77</v>
      </c>
      <c r="H41" s="58" t="s">
        <v>78</v>
      </c>
      <c r="I41" s="6" t="s">
        <v>19</v>
      </c>
    </row>
    <row r="42" spans="1:9" x14ac:dyDescent="0.25">
      <c r="A42" s="7"/>
      <c r="B42" s="59" t="s">
        <v>79</v>
      </c>
      <c r="C42" s="51" t="s">
        <v>80</v>
      </c>
      <c r="D42" s="7" t="s">
        <v>563</v>
      </c>
      <c r="E42" s="61" t="s">
        <v>82</v>
      </c>
      <c r="F42" s="60" t="s">
        <v>83</v>
      </c>
      <c r="G42" s="7" t="s">
        <v>84</v>
      </c>
      <c r="H42" s="60" t="s">
        <v>85</v>
      </c>
      <c r="I42" s="7" t="s">
        <v>86</v>
      </c>
    </row>
    <row r="43" spans="1:9" x14ac:dyDescent="0.25">
      <c r="A43" s="7"/>
      <c r="B43" s="51"/>
      <c r="C43" s="51"/>
      <c r="D43" s="7"/>
      <c r="E43" s="61"/>
      <c r="F43" s="60" t="s">
        <v>87</v>
      </c>
      <c r="G43" s="7" t="s">
        <v>88</v>
      </c>
      <c r="H43" s="60"/>
      <c r="I43" s="7" t="s">
        <v>239</v>
      </c>
    </row>
    <row r="44" spans="1:9" x14ac:dyDescent="0.25">
      <c r="A44" s="9"/>
      <c r="B44" s="8"/>
      <c r="C44" s="9"/>
      <c r="D44" s="9"/>
      <c r="E44" s="10"/>
      <c r="F44" s="9"/>
      <c r="G44" s="10"/>
      <c r="H44" s="9"/>
      <c r="I44" s="50"/>
    </row>
    <row r="45" spans="1:9" x14ac:dyDescent="0.25">
      <c r="A45" s="62">
        <v>1</v>
      </c>
      <c r="B45" s="62" t="s">
        <v>90</v>
      </c>
      <c r="C45" s="14" t="s">
        <v>91</v>
      </c>
      <c r="D45" s="62">
        <v>-5983.23</v>
      </c>
      <c r="E45" s="66">
        <v>31266.97</v>
      </c>
      <c r="F45" s="62">
        <v>33740.720000000001</v>
      </c>
      <c r="G45" s="8">
        <f>E45</f>
        <v>31266.97</v>
      </c>
      <c r="H45" s="9">
        <f>D45+F45-G45</f>
        <v>-3509.4799999999996</v>
      </c>
      <c r="I45" s="50">
        <f>H45</f>
        <v>-3509.4799999999996</v>
      </c>
    </row>
    <row r="46" spans="1:9" x14ac:dyDescent="0.25">
      <c r="A46" s="62"/>
      <c r="B46" s="62" t="s">
        <v>92</v>
      </c>
      <c r="C46" s="14" t="s">
        <v>93</v>
      </c>
      <c r="D46" s="62"/>
      <c r="E46" s="66"/>
      <c r="F46" s="62"/>
      <c r="G46" s="60"/>
      <c r="H46" s="7"/>
      <c r="I46" s="61"/>
    </row>
    <row r="47" spans="1:9" x14ac:dyDescent="0.25">
      <c r="A47" s="9">
        <v>2</v>
      </c>
      <c r="B47" s="9" t="s">
        <v>98</v>
      </c>
      <c r="C47" s="41">
        <v>49.228999999999999</v>
      </c>
      <c r="D47" s="9">
        <v>-30385.17</v>
      </c>
      <c r="E47" s="10">
        <v>99425.15</v>
      </c>
      <c r="F47" s="9">
        <v>101512.07</v>
      </c>
      <c r="G47" s="9">
        <f>E47</f>
        <v>99425.15</v>
      </c>
      <c r="H47" s="9">
        <f>D47+F47-G47</f>
        <v>-28298.249999999985</v>
      </c>
      <c r="I47" s="9">
        <f>H47</f>
        <v>-28298.249999999985</v>
      </c>
    </row>
    <row r="48" spans="1:9" x14ac:dyDescent="0.25">
      <c r="A48" s="2"/>
      <c r="B48" s="2"/>
      <c r="C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 t="s">
        <v>71</v>
      </c>
      <c r="C50" s="2"/>
      <c r="D50" s="2"/>
      <c r="E50" s="2"/>
      <c r="F50" s="2" t="s">
        <v>71</v>
      </c>
      <c r="G50" s="2"/>
      <c r="H50" s="2"/>
      <c r="I50" s="2"/>
    </row>
    <row r="51" spans="1:9" x14ac:dyDescent="0.25">
      <c r="A51" s="1" t="s">
        <v>564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565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48" t="s">
        <v>12</v>
      </c>
      <c r="B53" s="6" t="s">
        <v>221</v>
      </c>
      <c r="C53" s="58" t="s">
        <v>103</v>
      </c>
      <c r="D53" s="58"/>
      <c r="E53" s="58"/>
      <c r="F53" s="48" t="s">
        <v>556</v>
      </c>
      <c r="G53" s="58"/>
      <c r="H53" s="49"/>
      <c r="I53" s="6" t="s">
        <v>105</v>
      </c>
    </row>
    <row r="54" spans="1:9" x14ac:dyDescent="0.25">
      <c r="A54" s="51" t="s">
        <v>106</v>
      </c>
      <c r="B54" s="7" t="s">
        <v>223</v>
      </c>
      <c r="C54" s="60"/>
      <c r="D54" s="60"/>
      <c r="E54" s="60"/>
      <c r="F54" s="51" t="s">
        <v>566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567</v>
      </c>
      <c r="G55" s="60"/>
      <c r="H55" s="61"/>
      <c r="I55" s="7"/>
    </row>
    <row r="56" spans="1:9" x14ac:dyDescent="0.25">
      <c r="A56" s="51"/>
      <c r="B56" s="62"/>
      <c r="C56" s="60"/>
      <c r="D56" s="60"/>
      <c r="E56" s="60"/>
      <c r="F56" s="51" t="s">
        <v>568</v>
      </c>
      <c r="G56" s="60"/>
      <c r="H56" s="61"/>
      <c r="I56" s="7"/>
    </row>
    <row r="57" spans="1:9" x14ac:dyDescent="0.25">
      <c r="A57" s="67" t="s">
        <v>110</v>
      </c>
      <c r="B57" s="18"/>
      <c r="C57" s="68" t="s">
        <v>111</v>
      </c>
      <c r="D57" s="68"/>
      <c r="E57" s="68"/>
      <c r="F57" s="48"/>
      <c r="G57" s="58"/>
      <c r="H57" s="49"/>
      <c r="I57" s="6"/>
    </row>
    <row r="58" spans="1:9" x14ac:dyDescent="0.25">
      <c r="A58" s="69"/>
      <c r="B58" s="7"/>
      <c r="C58" s="60" t="s">
        <v>112</v>
      </c>
      <c r="D58" s="60"/>
      <c r="E58" s="60"/>
      <c r="F58" s="51" t="s">
        <v>71</v>
      </c>
      <c r="G58" s="60"/>
      <c r="H58" s="61" t="s">
        <v>71</v>
      </c>
      <c r="I58" s="7" t="s">
        <v>71</v>
      </c>
    </row>
    <row r="59" spans="1:9" x14ac:dyDescent="0.25">
      <c r="A59" s="69"/>
      <c r="B59" s="7"/>
      <c r="C59" s="5" t="s">
        <v>118</v>
      </c>
      <c r="D59" s="5"/>
      <c r="E59" s="5"/>
      <c r="F59" s="59"/>
      <c r="G59" s="20">
        <v>0</v>
      </c>
      <c r="H59" s="71"/>
      <c r="I59" s="18">
        <v>0</v>
      </c>
    </row>
    <row r="60" spans="1:9" x14ac:dyDescent="0.25">
      <c r="A60" s="6"/>
      <c r="B60" s="6"/>
      <c r="C60" s="48"/>
      <c r="D60" s="58"/>
      <c r="E60" s="49"/>
      <c r="F60" s="48"/>
      <c r="G60" s="58"/>
      <c r="H60" s="49"/>
      <c r="I60" s="6"/>
    </row>
    <row r="61" spans="1:9" x14ac:dyDescent="0.25">
      <c r="A61" s="6" t="s">
        <v>48</v>
      </c>
      <c r="B61" s="25" t="s">
        <v>119</v>
      </c>
      <c r="C61" s="57" t="s">
        <v>120</v>
      </c>
      <c r="D61" s="58"/>
      <c r="E61" s="49"/>
      <c r="F61" s="48" t="s">
        <v>121</v>
      </c>
      <c r="G61" s="58"/>
      <c r="H61" s="49"/>
      <c r="I61" s="6"/>
    </row>
    <row r="62" spans="1:9" x14ac:dyDescent="0.25">
      <c r="A62" s="69" t="s">
        <v>71</v>
      </c>
      <c r="B62" s="70"/>
      <c r="C62" s="51"/>
      <c r="D62" s="60"/>
      <c r="E62" s="61"/>
      <c r="F62" s="51"/>
      <c r="G62" s="60"/>
      <c r="H62" s="61"/>
      <c r="I62" s="7"/>
    </row>
    <row r="63" spans="1:9" x14ac:dyDescent="0.25">
      <c r="A63" s="73"/>
      <c r="B63" s="62" t="s">
        <v>119</v>
      </c>
      <c r="C63" s="15" t="s">
        <v>118</v>
      </c>
      <c r="D63" s="14"/>
      <c r="E63" s="85"/>
      <c r="F63" s="15" t="s">
        <v>71</v>
      </c>
      <c r="G63" s="14"/>
      <c r="H63" s="85"/>
      <c r="I63" s="12">
        <v>0</v>
      </c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 t="s">
        <v>277</v>
      </c>
      <c r="B66" s="2"/>
      <c r="C66" s="2" t="s">
        <v>569</v>
      </c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10" zoomScaleNormal="110" workbookViewId="0">
      <selection activeCell="A12" sqref="A12:B12"/>
    </sheetView>
  </sheetViews>
  <sheetFormatPr defaultRowHeight="15" x14ac:dyDescent="0.25"/>
  <cols>
    <col min="1" max="1" width="5.140625" style="3" customWidth="1"/>
    <col min="2" max="2" width="31.85546875" style="3" customWidth="1"/>
    <col min="3" max="3" width="13.28515625" style="3" customWidth="1"/>
    <col min="4" max="4" width="12.5703125" style="3" customWidth="1"/>
    <col min="5" max="5" width="12.7109375" style="3" customWidth="1"/>
    <col min="6" max="6" width="11.28515625" style="3" customWidth="1"/>
    <col min="7" max="7" width="10.85546875" style="3" customWidth="1"/>
    <col min="8" max="8" width="11.5703125" style="3" customWidth="1"/>
    <col min="9" max="9" width="21.2851562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452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570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571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572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0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6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15</v>
      </c>
      <c r="I15" s="6" t="s">
        <v>19</v>
      </c>
    </row>
    <row r="16" spans="1:9" x14ac:dyDescent="0.25">
      <c r="A16" s="7" t="s">
        <v>20</v>
      </c>
      <c r="B16" s="7"/>
      <c r="C16" s="7" t="s">
        <v>232</v>
      </c>
      <c r="D16" s="7" t="s">
        <v>22</v>
      </c>
      <c r="E16" s="7" t="s">
        <v>23</v>
      </c>
      <c r="F16" s="7" t="s">
        <v>23</v>
      </c>
      <c r="G16" s="7" t="s">
        <v>24</v>
      </c>
      <c r="H16" s="7" t="s">
        <v>25</v>
      </c>
      <c r="I16" s="7" t="s">
        <v>548</v>
      </c>
    </row>
    <row r="17" spans="1:9" x14ac:dyDescent="0.25">
      <c r="A17" s="7"/>
      <c r="B17" s="7"/>
      <c r="C17" s="7" t="s">
        <v>27</v>
      </c>
      <c r="D17" s="7" t="s">
        <v>28</v>
      </c>
      <c r="E17" s="7"/>
      <c r="F17" s="7"/>
      <c r="G17" s="7" t="s">
        <v>29</v>
      </c>
      <c r="H17" s="7" t="s">
        <v>30</v>
      </c>
      <c r="I17" s="7" t="s">
        <v>549</v>
      </c>
    </row>
    <row r="18" spans="1:9" x14ac:dyDescent="0.25">
      <c r="A18" s="62"/>
      <c r="B18" s="7"/>
      <c r="C18" s="7" t="s">
        <v>32</v>
      </c>
      <c r="D18" s="7" t="s">
        <v>33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573</v>
      </c>
    </row>
    <row r="19" spans="1:9" x14ac:dyDescent="0.25">
      <c r="A19" s="8">
        <v>1</v>
      </c>
      <c r="B19" s="9">
        <v>2</v>
      </c>
      <c r="C19" s="10">
        <v>3</v>
      </c>
      <c r="D19" s="9">
        <v>4</v>
      </c>
      <c r="E19" s="10">
        <v>5</v>
      </c>
      <c r="F19" s="9">
        <v>6</v>
      </c>
      <c r="G19" s="10">
        <v>7</v>
      </c>
      <c r="H19" s="9">
        <v>8</v>
      </c>
      <c r="I19" s="9">
        <v>9</v>
      </c>
    </row>
    <row r="20" spans="1:9" x14ac:dyDescent="0.25">
      <c r="A20" s="57">
        <v>1</v>
      </c>
      <c r="B20" s="25" t="s">
        <v>191</v>
      </c>
      <c r="C20" s="25" t="s">
        <v>71</v>
      </c>
      <c r="D20" s="68"/>
      <c r="E20" s="45" t="s">
        <v>71</v>
      </c>
      <c r="F20" s="25" t="s">
        <v>71</v>
      </c>
      <c r="G20" s="68"/>
      <c r="H20" s="25" t="s">
        <v>71</v>
      </c>
      <c r="I20" s="45" t="s">
        <v>71</v>
      </c>
    </row>
    <row r="21" spans="1:9" x14ac:dyDescent="0.25">
      <c r="A21" s="15"/>
      <c r="B21" s="12" t="s">
        <v>192</v>
      </c>
      <c r="C21" s="12">
        <v>7.56</v>
      </c>
      <c r="D21" s="17">
        <v>-3755.08</v>
      </c>
      <c r="E21" s="12">
        <v>25800.720000000001</v>
      </c>
      <c r="F21" s="12">
        <v>25405.89</v>
      </c>
      <c r="G21" s="14">
        <f>E21</f>
        <v>25800.720000000001</v>
      </c>
      <c r="H21" s="17">
        <f>D21+F21-G21</f>
        <v>-4149.9100000000035</v>
      </c>
      <c r="I21" s="17">
        <f>H21</f>
        <v>-4149.9100000000035</v>
      </c>
    </row>
    <row r="22" spans="1:9" x14ac:dyDescent="0.25">
      <c r="A22" s="7" t="s">
        <v>36</v>
      </c>
      <c r="B22" s="7" t="s">
        <v>457</v>
      </c>
      <c r="D22" s="22"/>
      <c r="E22" s="37"/>
      <c r="F22" s="22"/>
      <c r="G22" s="38"/>
      <c r="H22" s="22"/>
      <c r="I22" s="22"/>
    </row>
    <row r="23" spans="1:9" x14ac:dyDescent="0.25">
      <c r="A23" s="62"/>
      <c r="B23" s="62" t="s">
        <v>458</v>
      </c>
      <c r="C23" s="60">
        <v>2.62</v>
      </c>
      <c r="D23" s="54"/>
      <c r="E23" s="79">
        <f>E21*34.5/100</f>
        <v>8901.2484000000004</v>
      </c>
      <c r="F23" s="54">
        <f>F21*34.5/100</f>
        <v>8765.0320499999998</v>
      </c>
      <c r="G23" s="55">
        <f t="shared" ref="G23:G28" si="0">E23</f>
        <v>8901.2484000000004</v>
      </c>
      <c r="H23" s="54"/>
      <c r="I23" s="54"/>
    </row>
    <row r="24" spans="1:9" x14ac:dyDescent="0.25">
      <c r="A24" s="24" t="s">
        <v>38</v>
      </c>
      <c r="B24" s="6" t="s">
        <v>39</v>
      </c>
      <c r="C24" s="58">
        <v>1.33</v>
      </c>
      <c r="D24" s="22"/>
      <c r="E24" s="86">
        <f>E21*18/100</f>
        <v>4644.1296000000002</v>
      </c>
      <c r="F24" s="75">
        <f>F21*18/100</f>
        <v>4573.0601999999999</v>
      </c>
      <c r="G24" s="37">
        <f t="shared" si="0"/>
        <v>4644.1296000000002</v>
      </c>
      <c r="H24" s="22"/>
      <c r="I24" s="22"/>
    </row>
    <row r="25" spans="1:9" x14ac:dyDescent="0.25">
      <c r="A25" s="24" t="s">
        <v>40</v>
      </c>
      <c r="B25" s="6" t="s">
        <v>41</v>
      </c>
      <c r="C25" s="58">
        <v>1.22</v>
      </c>
      <c r="D25" s="29"/>
      <c r="E25" s="86">
        <f>E21*16%</f>
        <v>4128.1152000000002</v>
      </c>
      <c r="F25" s="75">
        <f>F21*16/100</f>
        <v>4064.9423999999999</v>
      </c>
      <c r="G25" s="40">
        <f t="shared" si="0"/>
        <v>4128.1152000000002</v>
      </c>
      <c r="H25" s="29"/>
      <c r="I25" s="29"/>
    </row>
    <row r="26" spans="1:9" x14ac:dyDescent="0.25">
      <c r="A26" s="24" t="s">
        <v>42</v>
      </c>
      <c r="B26" s="6" t="s">
        <v>43</v>
      </c>
      <c r="C26" s="58">
        <v>2.39</v>
      </c>
      <c r="D26" s="22"/>
      <c r="E26" s="86">
        <f>E21*31.5/100</f>
        <v>8127.2268000000004</v>
      </c>
      <c r="F26" s="75">
        <f>F21*31.5/100</f>
        <v>8002.8553500000007</v>
      </c>
      <c r="G26" s="37">
        <f t="shared" si="0"/>
        <v>8127.2268000000004</v>
      </c>
      <c r="H26" s="22"/>
      <c r="I26" s="22"/>
    </row>
    <row r="27" spans="1:9" x14ac:dyDescent="0.25">
      <c r="A27" s="24" t="s">
        <v>44</v>
      </c>
      <c r="B27" s="6" t="s">
        <v>47</v>
      </c>
      <c r="C27" s="106">
        <v>1.2290399999999999</v>
      </c>
      <c r="D27" s="29"/>
      <c r="E27" s="9">
        <v>3415.62</v>
      </c>
      <c r="F27" s="9">
        <v>2871.25</v>
      </c>
      <c r="G27" s="10">
        <f t="shared" si="0"/>
        <v>3415.62</v>
      </c>
      <c r="H27" s="9">
        <f>F27-E27</f>
        <v>-544.36999999999989</v>
      </c>
      <c r="I27" s="9">
        <f>H27</f>
        <v>-544.36999999999989</v>
      </c>
    </row>
    <row r="28" spans="1:9" x14ac:dyDescent="0.25">
      <c r="A28" s="11" t="s">
        <v>48</v>
      </c>
      <c r="B28" s="11" t="s">
        <v>49</v>
      </c>
      <c r="C28" s="41" t="s">
        <v>50</v>
      </c>
      <c r="D28" s="11">
        <v>-784.51</v>
      </c>
      <c r="E28" s="11">
        <v>11552.31</v>
      </c>
      <c r="F28" s="11">
        <v>10740.6</v>
      </c>
      <c r="G28" s="41">
        <f t="shared" si="0"/>
        <v>11552.31</v>
      </c>
      <c r="H28" s="11">
        <f>D28+F28-G28</f>
        <v>-1596.2199999999993</v>
      </c>
      <c r="I28" s="11">
        <f>H28</f>
        <v>-1596.2199999999993</v>
      </c>
    </row>
    <row r="29" spans="1:9" x14ac:dyDescent="0.25">
      <c r="A29" s="25" t="s">
        <v>51</v>
      </c>
      <c r="B29" s="25" t="s">
        <v>216</v>
      </c>
      <c r="C29" s="57"/>
      <c r="D29" s="25"/>
      <c r="E29" s="25"/>
      <c r="F29" s="25"/>
      <c r="G29" s="68"/>
      <c r="H29" s="25"/>
      <c r="I29" s="25"/>
    </row>
    <row r="30" spans="1:9" x14ac:dyDescent="0.25">
      <c r="A30" s="18"/>
      <c r="B30" s="12" t="s">
        <v>217</v>
      </c>
      <c r="C30" s="15">
        <v>1.65</v>
      </c>
      <c r="D30" s="12">
        <v>37338.46</v>
      </c>
      <c r="E30" s="12">
        <v>5631.48</v>
      </c>
      <c r="F30" s="12">
        <v>5455.83</v>
      </c>
      <c r="G30" s="1">
        <f>I60</f>
        <v>0</v>
      </c>
      <c r="H30" s="12">
        <f>D30+F30-G30</f>
        <v>42794.29</v>
      </c>
      <c r="I30" s="18"/>
    </row>
    <row r="31" spans="1:9" x14ac:dyDescent="0.25">
      <c r="A31" s="11" t="s">
        <v>55</v>
      </c>
      <c r="B31" s="11" t="s">
        <v>146</v>
      </c>
      <c r="C31" s="41"/>
      <c r="D31" s="11" t="s">
        <v>71</v>
      </c>
      <c r="E31" s="41"/>
      <c r="F31" s="11"/>
      <c r="G31" s="41" t="s">
        <v>147</v>
      </c>
      <c r="H31" s="11" t="s">
        <v>71</v>
      </c>
      <c r="I31" s="11"/>
    </row>
    <row r="32" spans="1:9" x14ac:dyDescent="0.25">
      <c r="A32" s="12"/>
      <c r="B32" s="12" t="s">
        <v>148</v>
      </c>
      <c r="C32" s="14">
        <v>0</v>
      </c>
      <c r="D32" s="12">
        <v>8997.59</v>
      </c>
      <c r="E32" s="14">
        <v>0</v>
      </c>
      <c r="F32" s="12">
        <v>0</v>
      </c>
      <c r="G32" s="14">
        <v>0</v>
      </c>
      <c r="H32" s="12">
        <f>D32+F32-0</f>
        <v>8997.59</v>
      </c>
      <c r="I32" s="12"/>
    </row>
    <row r="33" spans="1:9" x14ac:dyDescent="0.25">
      <c r="A33" s="18"/>
      <c r="B33" s="12" t="s">
        <v>112</v>
      </c>
      <c r="C33" s="5"/>
      <c r="D33" s="11"/>
      <c r="E33" s="41"/>
      <c r="F33" s="42"/>
      <c r="G33" s="11"/>
      <c r="H33" s="46"/>
      <c r="I33" s="18"/>
    </row>
    <row r="34" spans="1:9" x14ac:dyDescent="0.25">
      <c r="A34" s="9"/>
      <c r="B34" s="9" t="s">
        <v>53</v>
      </c>
      <c r="C34" s="8"/>
      <c r="D34" s="133"/>
      <c r="E34" s="133"/>
      <c r="F34" s="138"/>
      <c r="G34" s="133"/>
      <c r="H34" s="180"/>
      <c r="I34" s="9" t="s">
        <v>71</v>
      </c>
    </row>
    <row r="35" spans="1:9" x14ac:dyDescent="0.25">
      <c r="A35" s="1" t="s">
        <v>58</v>
      </c>
      <c r="B35" s="2"/>
      <c r="C35" s="2"/>
      <c r="E35" s="2"/>
      <c r="F35" s="2"/>
      <c r="G35" s="2"/>
      <c r="H35" s="2"/>
      <c r="I35" s="2"/>
    </row>
    <row r="36" spans="1:9" x14ac:dyDescent="0.25">
      <c r="A36" s="1"/>
      <c r="B36" s="2"/>
      <c r="C36" s="2"/>
      <c r="E36" s="2"/>
      <c r="F36" s="2"/>
      <c r="G36" s="2"/>
      <c r="H36" s="2"/>
      <c r="I36" s="2"/>
    </row>
    <row r="37" spans="1:9" x14ac:dyDescent="0.25">
      <c r="A37" s="5" t="s">
        <v>69</v>
      </c>
      <c r="B37" s="2"/>
      <c r="C37" s="2"/>
      <c r="E37" s="2"/>
      <c r="F37" s="2"/>
      <c r="G37" s="2"/>
      <c r="H37" s="2"/>
      <c r="I37" s="2"/>
    </row>
    <row r="38" spans="1:9" x14ac:dyDescent="0.25">
      <c r="A38" s="1" t="s">
        <v>70</v>
      </c>
      <c r="B38" s="2"/>
      <c r="C38" s="2"/>
      <c r="E38" s="2"/>
      <c r="F38" s="2"/>
      <c r="G38" s="2"/>
      <c r="H38" s="2"/>
      <c r="I38" s="2"/>
    </row>
    <row r="39" spans="1:9" x14ac:dyDescent="0.25">
      <c r="A39" s="60" t="s">
        <v>71</v>
      </c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6" t="s">
        <v>71</v>
      </c>
      <c r="B40" s="68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77</v>
      </c>
      <c r="H40" s="6" t="s">
        <v>78</v>
      </c>
      <c r="I40" s="6" t="s">
        <v>19</v>
      </c>
    </row>
    <row r="41" spans="1:9" x14ac:dyDescent="0.25">
      <c r="A41" s="7"/>
      <c r="B41" s="5" t="s">
        <v>79</v>
      </c>
      <c r="C41" s="7" t="s">
        <v>80</v>
      </c>
      <c r="D41" s="60" t="s">
        <v>81</v>
      </c>
      <c r="E41" s="7" t="s">
        <v>23</v>
      </c>
      <c r="F41" s="60" t="s">
        <v>83</v>
      </c>
      <c r="G41" s="7" t="s">
        <v>84</v>
      </c>
      <c r="H41" s="7" t="s">
        <v>85</v>
      </c>
      <c r="I41" s="7" t="s">
        <v>86</v>
      </c>
    </row>
    <row r="42" spans="1:9" x14ac:dyDescent="0.25">
      <c r="A42" s="7"/>
      <c r="B42" s="60"/>
      <c r="C42" s="7"/>
      <c r="D42" s="60"/>
      <c r="E42" s="7"/>
      <c r="F42" s="60" t="s">
        <v>87</v>
      </c>
      <c r="G42" s="7" t="s">
        <v>88</v>
      </c>
      <c r="H42" s="7"/>
      <c r="I42" s="7" t="s">
        <v>325</v>
      </c>
    </row>
    <row r="43" spans="1:9" x14ac:dyDescent="0.25">
      <c r="A43" s="7"/>
      <c r="B43" s="60"/>
      <c r="C43" s="7"/>
      <c r="D43" s="60"/>
      <c r="E43" s="7"/>
      <c r="F43" s="60"/>
      <c r="G43" s="181"/>
      <c r="H43" s="7"/>
      <c r="I43" s="7" t="s">
        <v>71</v>
      </c>
    </row>
    <row r="44" spans="1:9" x14ac:dyDescent="0.25">
      <c r="A44" s="9"/>
      <c r="B44" s="10"/>
      <c r="C44" s="9"/>
      <c r="D44" s="10"/>
      <c r="E44" s="9"/>
      <c r="F44" s="9"/>
      <c r="G44" s="10"/>
      <c r="H44" s="9"/>
      <c r="I44" s="9"/>
    </row>
    <row r="45" spans="1:9" x14ac:dyDescent="0.25">
      <c r="A45" s="62">
        <v>1</v>
      </c>
      <c r="B45" s="53" t="s">
        <v>90</v>
      </c>
      <c r="C45" s="14" t="s">
        <v>91</v>
      </c>
      <c r="D45" s="62">
        <v>-9710.68</v>
      </c>
      <c r="E45" s="66">
        <v>28511.43</v>
      </c>
      <c r="F45" s="62">
        <v>34360.15</v>
      </c>
      <c r="G45" s="66">
        <f>E45</f>
        <v>28511.43</v>
      </c>
      <c r="H45" s="9">
        <f>D45+F45-G45</f>
        <v>-3861.9599999999991</v>
      </c>
      <c r="I45" s="62">
        <f>H45</f>
        <v>-3861.9599999999991</v>
      </c>
    </row>
    <row r="46" spans="1:9" x14ac:dyDescent="0.25">
      <c r="A46" s="62"/>
      <c r="B46" s="53" t="s">
        <v>92</v>
      </c>
      <c r="C46" s="14" t="s">
        <v>93</v>
      </c>
      <c r="D46" s="62"/>
      <c r="E46" s="66"/>
      <c r="F46" s="62"/>
      <c r="G46" s="66"/>
      <c r="H46" s="7"/>
      <c r="I46" s="62"/>
    </row>
    <row r="47" spans="1:9" x14ac:dyDescent="0.25">
      <c r="A47" s="9">
        <v>2</v>
      </c>
      <c r="B47" s="50" t="s">
        <v>98</v>
      </c>
      <c r="C47" s="41" t="s">
        <v>203</v>
      </c>
      <c r="D47" s="9">
        <v>-20767.310000000001</v>
      </c>
      <c r="E47" s="10">
        <v>99811.26</v>
      </c>
      <c r="F47" s="9">
        <v>96945.2</v>
      </c>
      <c r="G47" s="10">
        <f>E47</f>
        <v>99811.26</v>
      </c>
      <c r="H47" s="9">
        <f>D47+F47-G47</f>
        <v>-23633.369999999995</v>
      </c>
      <c r="I47" s="9">
        <f>H47</f>
        <v>-23633.369999999995</v>
      </c>
    </row>
    <row r="48" spans="1:9" x14ac:dyDescent="0.25">
      <c r="A48" s="60"/>
      <c r="B48" s="60"/>
      <c r="C48" s="2"/>
      <c r="D48" s="2"/>
      <c r="E48" s="2"/>
      <c r="F48" s="2"/>
      <c r="G48" s="2"/>
      <c r="H48" s="2"/>
      <c r="I48" s="2"/>
    </row>
    <row r="49" spans="1:9" x14ac:dyDescent="0.25">
      <c r="A49" s="60"/>
      <c r="B49" s="60"/>
      <c r="C49" s="2"/>
      <c r="D49" s="2"/>
      <c r="E49" s="2"/>
      <c r="F49" s="2"/>
      <c r="G49" s="2"/>
      <c r="H49" s="2"/>
      <c r="I49" s="2"/>
    </row>
    <row r="50" spans="1:9" x14ac:dyDescent="0.25">
      <c r="A50" s="60"/>
      <c r="B50" s="60" t="s">
        <v>71</v>
      </c>
      <c r="C50" s="2"/>
      <c r="D50" s="2"/>
      <c r="E50" s="2"/>
      <c r="F50" s="2" t="s">
        <v>71</v>
      </c>
      <c r="G50" s="2"/>
      <c r="H50" s="2"/>
      <c r="I50" s="2"/>
    </row>
    <row r="51" spans="1:9" x14ac:dyDescent="0.25">
      <c r="A51" s="18" t="s">
        <v>574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18" t="s">
        <v>101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6" t="s">
        <v>12</v>
      </c>
      <c r="B53" s="49" t="s">
        <v>102</v>
      </c>
      <c r="C53" s="58" t="s">
        <v>103</v>
      </c>
      <c r="D53" s="58"/>
      <c r="E53" s="58"/>
      <c r="F53" s="48" t="s">
        <v>556</v>
      </c>
      <c r="G53" s="58"/>
      <c r="H53" s="49"/>
      <c r="I53" s="6" t="s">
        <v>105</v>
      </c>
    </row>
    <row r="54" spans="1:9" x14ac:dyDescent="0.25">
      <c r="A54" s="7" t="s">
        <v>106</v>
      </c>
      <c r="B54" s="61"/>
      <c r="C54" s="60"/>
      <c r="D54" s="60"/>
      <c r="E54" s="60"/>
      <c r="F54" s="51" t="s">
        <v>575</v>
      </c>
      <c r="G54" s="60"/>
      <c r="H54" s="61"/>
      <c r="I54" s="7" t="s">
        <v>108</v>
      </c>
    </row>
    <row r="55" spans="1:9" x14ac:dyDescent="0.25">
      <c r="A55" s="7"/>
      <c r="B55" s="61"/>
      <c r="C55" s="60"/>
      <c r="D55" s="60"/>
      <c r="E55" s="60"/>
      <c r="F55" s="51" t="s">
        <v>497</v>
      </c>
      <c r="G55" s="60"/>
      <c r="H55" s="61"/>
      <c r="I55" s="7"/>
    </row>
    <row r="56" spans="1:9" x14ac:dyDescent="0.25">
      <c r="A56" s="7"/>
      <c r="B56" s="61"/>
      <c r="C56" s="60"/>
      <c r="D56" s="60"/>
      <c r="E56" s="60"/>
      <c r="F56" s="51"/>
      <c r="G56" s="60"/>
      <c r="H56" s="61"/>
      <c r="I56" s="7"/>
    </row>
    <row r="57" spans="1:9" x14ac:dyDescent="0.25">
      <c r="A57" s="62"/>
      <c r="B57" s="53"/>
      <c r="C57" s="60"/>
      <c r="D57" s="60"/>
      <c r="E57" s="60"/>
      <c r="F57" s="51"/>
      <c r="G57" s="60"/>
      <c r="H57" s="61"/>
      <c r="I57" s="62"/>
    </row>
    <row r="58" spans="1:9" x14ac:dyDescent="0.25">
      <c r="A58" s="67" t="s">
        <v>110</v>
      </c>
      <c r="B58" s="71"/>
      <c r="C58" s="68" t="s">
        <v>111</v>
      </c>
      <c r="D58" s="68"/>
      <c r="E58" s="68"/>
      <c r="F58" s="48"/>
      <c r="G58" s="58"/>
      <c r="H58" s="49"/>
      <c r="I58" s="6"/>
    </row>
    <row r="59" spans="1:9" x14ac:dyDescent="0.25">
      <c r="A59" s="69"/>
      <c r="B59" s="61"/>
      <c r="C59" s="60" t="s">
        <v>112</v>
      </c>
      <c r="D59" s="60"/>
      <c r="E59" s="60"/>
      <c r="F59" s="51" t="s">
        <v>71</v>
      </c>
      <c r="G59" s="60"/>
      <c r="H59" s="61" t="s">
        <v>71</v>
      </c>
      <c r="I59" s="7" t="s">
        <v>71</v>
      </c>
    </row>
    <row r="60" spans="1:9" x14ac:dyDescent="0.25">
      <c r="A60" s="69"/>
      <c r="B60" s="61"/>
      <c r="C60" s="5" t="s">
        <v>118</v>
      </c>
      <c r="D60" s="5"/>
      <c r="E60" s="5"/>
      <c r="F60" s="59"/>
      <c r="G60" s="20"/>
      <c r="H60" s="71"/>
      <c r="I60" s="18">
        <v>0</v>
      </c>
    </row>
    <row r="61" spans="1:9" x14ac:dyDescent="0.25">
      <c r="A61" s="6"/>
      <c r="B61" s="49"/>
      <c r="C61" s="48"/>
      <c r="D61" s="58"/>
      <c r="E61" s="49"/>
      <c r="F61" s="48"/>
      <c r="G61" s="58"/>
      <c r="H61" s="49"/>
      <c r="I61" s="6"/>
    </row>
    <row r="62" spans="1:9" x14ac:dyDescent="0.25">
      <c r="A62" s="25" t="s">
        <v>48</v>
      </c>
      <c r="B62" s="72" t="s">
        <v>119</v>
      </c>
      <c r="C62" s="57" t="s">
        <v>120</v>
      </c>
      <c r="D62" s="58"/>
      <c r="E62" s="49"/>
      <c r="F62" s="48" t="s">
        <v>121</v>
      </c>
      <c r="G62" s="58"/>
      <c r="H62" s="49"/>
      <c r="I62" s="6"/>
    </row>
    <row r="63" spans="1:9" x14ac:dyDescent="0.25">
      <c r="A63" s="73"/>
      <c r="B63" s="62" t="s">
        <v>119</v>
      </c>
      <c r="C63" s="52" t="s">
        <v>118</v>
      </c>
      <c r="D63" s="74"/>
      <c r="E63" s="53"/>
      <c r="F63" s="52" t="s">
        <v>71</v>
      </c>
      <c r="G63" s="74"/>
      <c r="H63" s="53"/>
      <c r="I63" s="62">
        <v>0</v>
      </c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 t="s">
        <v>576</v>
      </c>
      <c r="B65" s="2"/>
      <c r="C65" s="2"/>
      <c r="D65" s="2" t="s">
        <v>577</v>
      </c>
      <c r="E65" s="2"/>
      <c r="F65" s="2"/>
      <c r="G65" s="2"/>
      <c r="H65" s="2"/>
      <c r="I65" s="2"/>
    </row>
    <row r="66" spans="1:9" x14ac:dyDescent="0.25">
      <c r="A66" s="2"/>
      <c r="B66" s="2"/>
      <c r="C66" s="2" t="s">
        <v>71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10" zoomScaleNormal="110" workbookViewId="0">
      <selection activeCell="A8" sqref="A8"/>
    </sheetView>
  </sheetViews>
  <sheetFormatPr defaultRowHeight="15" x14ac:dyDescent="0.25"/>
  <cols>
    <col min="1" max="1" width="4.7109375" style="3" customWidth="1"/>
    <col min="2" max="2" width="29.28515625" style="3" customWidth="1"/>
    <col min="3" max="3" width="12.42578125" style="3" customWidth="1"/>
    <col min="4" max="4" width="10.28515625" style="3" customWidth="1"/>
    <col min="5" max="5" width="10.42578125" style="3" customWidth="1"/>
    <col min="6" max="6" width="10.28515625" style="3" customWidth="1"/>
    <col min="7" max="7" width="10.140625" style="3" customWidth="1"/>
    <col min="8" max="8" width="11" style="3" customWidth="1"/>
    <col min="9" max="9" width="19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578</v>
      </c>
      <c r="B6" s="1"/>
      <c r="C6" s="1"/>
      <c r="D6" s="1"/>
      <c r="E6" s="1"/>
      <c r="F6" s="1"/>
      <c r="G6" s="2"/>
      <c r="H6" s="2"/>
      <c r="I6" s="2"/>
    </row>
    <row r="7" spans="1:9" x14ac:dyDescent="0.25">
      <c r="A7" s="2" t="s">
        <v>579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580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157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58">
        <v>7</v>
      </c>
      <c r="H17" s="6">
        <v>8</v>
      </c>
      <c r="I17" s="6">
        <v>9</v>
      </c>
    </row>
    <row r="18" spans="1:9" x14ac:dyDescent="0.25">
      <c r="A18" s="57">
        <v>1</v>
      </c>
      <c r="B18" s="25" t="s">
        <v>191</v>
      </c>
      <c r="C18" s="25"/>
      <c r="D18" s="45"/>
      <c r="E18" s="27" t="s">
        <v>71</v>
      </c>
      <c r="F18" s="57" t="s">
        <v>71</v>
      </c>
      <c r="G18" s="28" t="str">
        <f>E18</f>
        <v xml:space="preserve"> </v>
      </c>
      <c r="H18" s="45"/>
      <c r="I18" s="45" t="s">
        <v>71</v>
      </c>
    </row>
    <row r="19" spans="1:9" x14ac:dyDescent="0.25">
      <c r="A19" s="15"/>
      <c r="B19" s="12" t="s">
        <v>192</v>
      </c>
      <c r="C19" s="12">
        <v>7.56</v>
      </c>
      <c r="D19" s="17">
        <v>-8611.8700000000008</v>
      </c>
      <c r="E19" s="14">
        <v>145161</v>
      </c>
      <c r="F19" s="15">
        <v>155401.4</v>
      </c>
      <c r="G19" s="16">
        <f>E19</f>
        <v>145161</v>
      </c>
      <c r="H19" s="17">
        <f>D19+F19-G19</f>
        <v>1628.5299999999988</v>
      </c>
      <c r="I19" s="17">
        <f>H19</f>
        <v>1628.5299999999988</v>
      </c>
    </row>
    <row r="20" spans="1:9" x14ac:dyDescent="0.25">
      <c r="A20" s="7" t="s">
        <v>36</v>
      </c>
      <c r="B20" s="7" t="s">
        <v>457</v>
      </c>
      <c r="C20" s="7"/>
      <c r="D20" s="22"/>
      <c r="E20" s="37"/>
      <c r="F20" s="38"/>
      <c r="G20" s="38" t="s">
        <v>71</v>
      </c>
      <c r="H20" s="22"/>
      <c r="I20" s="22"/>
    </row>
    <row r="21" spans="1:9" x14ac:dyDescent="0.25">
      <c r="A21" s="62"/>
      <c r="B21" s="62" t="s">
        <v>458</v>
      </c>
      <c r="C21" s="62">
        <v>2.62</v>
      </c>
      <c r="D21" s="54"/>
      <c r="E21" s="79">
        <f>E19*34.5/100</f>
        <v>50080.544999999998</v>
      </c>
      <c r="F21" s="55">
        <f>F19*34.5/100</f>
        <v>53613.483</v>
      </c>
      <c r="G21" s="55">
        <f>E21</f>
        <v>50080.544999999998</v>
      </c>
      <c r="H21" s="54"/>
      <c r="I21" s="54"/>
    </row>
    <row r="22" spans="1:9" x14ac:dyDescent="0.25">
      <c r="A22" s="24" t="s">
        <v>38</v>
      </c>
      <c r="B22" s="6" t="s">
        <v>295</v>
      </c>
      <c r="C22" s="6">
        <v>1.33</v>
      </c>
      <c r="D22" s="75"/>
      <c r="E22" s="86">
        <f>E19*18/100</f>
        <v>26128.98</v>
      </c>
      <c r="F22" s="105">
        <f>F19*18/100</f>
        <v>27972.251999999997</v>
      </c>
      <c r="G22" s="38">
        <f>E22</f>
        <v>26128.98</v>
      </c>
      <c r="H22" s="22"/>
      <c r="I22" s="75"/>
    </row>
    <row r="23" spans="1:9" x14ac:dyDescent="0.25">
      <c r="A23" s="62"/>
      <c r="B23" s="62" t="s">
        <v>581</v>
      </c>
      <c r="C23" s="62"/>
      <c r="D23" s="54"/>
      <c r="E23" s="79"/>
      <c r="F23" s="55"/>
      <c r="G23" s="38" t="s">
        <v>71</v>
      </c>
      <c r="H23" s="22"/>
      <c r="I23" s="54"/>
    </row>
    <row r="24" spans="1:9" x14ac:dyDescent="0.25">
      <c r="A24" s="24" t="s">
        <v>40</v>
      </c>
      <c r="B24" s="6" t="s">
        <v>41</v>
      </c>
      <c r="C24" s="6">
        <v>1.22</v>
      </c>
      <c r="D24" s="75"/>
      <c r="E24" s="39">
        <f>E19*16/100</f>
        <v>23225.759999999998</v>
      </c>
      <c r="F24" s="40">
        <f>F19*16/100</f>
        <v>24864.223999999998</v>
      </c>
      <c r="G24" s="40">
        <f>E24</f>
        <v>23225.759999999998</v>
      </c>
      <c r="H24" s="29"/>
      <c r="I24" s="75"/>
    </row>
    <row r="25" spans="1:9" x14ac:dyDescent="0.25">
      <c r="A25" s="24" t="s">
        <v>42</v>
      </c>
      <c r="B25" s="6" t="s">
        <v>43</v>
      </c>
      <c r="C25" s="6">
        <v>2.39</v>
      </c>
      <c r="D25" s="75"/>
      <c r="E25" s="39">
        <f>E19*31.5/100</f>
        <v>45725.714999999997</v>
      </c>
      <c r="F25" s="40">
        <f>F19*31.5/100</f>
        <v>48951.440999999999</v>
      </c>
      <c r="G25" s="40">
        <f>E25</f>
        <v>45725.714999999997</v>
      </c>
      <c r="H25" s="29"/>
      <c r="I25" s="75"/>
    </row>
    <row r="26" spans="1:9" x14ac:dyDescent="0.25">
      <c r="A26" s="24" t="s">
        <v>44</v>
      </c>
      <c r="B26" s="6" t="s">
        <v>45</v>
      </c>
      <c r="C26" s="6">
        <v>1.0969599999999999</v>
      </c>
      <c r="D26" s="75"/>
      <c r="E26" s="39">
        <v>12586.68</v>
      </c>
      <c r="F26" s="40">
        <v>14276.6</v>
      </c>
      <c r="G26" s="40">
        <f>E26</f>
        <v>12586.68</v>
      </c>
      <c r="H26" s="43">
        <f>F26-E26</f>
        <v>1689.92</v>
      </c>
      <c r="I26" s="75"/>
    </row>
    <row r="27" spans="1:9" x14ac:dyDescent="0.25">
      <c r="A27" s="24" t="s">
        <v>46</v>
      </c>
      <c r="B27" s="6" t="s">
        <v>274</v>
      </c>
      <c r="C27" s="6">
        <v>0.98033999999999999</v>
      </c>
      <c r="D27" s="75"/>
      <c r="E27" s="39">
        <v>14001.21</v>
      </c>
      <c r="F27" s="40">
        <v>12227.84</v>
      </c>
      <c r="G27" s="40">
        <f>E27</f>
        <v>14001.21</v>
      </c>
      <c r="H27" s="43">
        <f>F27-E27</f>
        <v>-1773.369999999999</v>
      </c>
      <c r="I27" s="45">
        <f>H27</f>
        <v>-1773.369999999999</v>
      </c>
    </row>
    <row r="28" spans="1:9" x14ac:dyDescent="0.25">
      <c r="A28" s="11" t="s">
        <v>48</v>
      </c>
      <c r="B28" s="11" t="s">
        <v>49</v>
      </c>
      <c r="C28" s="11" t="s">
        <v>50</v>
      </c>
      <c r="D28" s="43">
        <v>-8258.92</v>
      </c>
      <c r="E28" s="41">
        <v>64996.08</v>
      </c>
      <c r="F28" s="42">
        <v>66549.759999999995</v>
      </c>
      <c r="G28" s="34">
        <f>E28</f>
        <v>64996.08</v>
      </c>
      <c r="H28" s="43">
        <f>D28+F28-G28</f>
        <v>-6705.2400000000052</v>
      </c>
      <c r="I28" s="43">
        <f>H28</f>
        <v>-6705.2400000000052</v>
      </c>
    </row>
    <row r="29" spans="1:9" x14ac:dyDescent="0.25">
      <c r="A29" s="12" t="s">
        <v>51</v>
      </c>
      <c r="B29" s="12" t="s">
        <v>459</v>
      </c>
      <c r="C29" s="18">
        <v>1.65</v>
      </c>
      <c r="D29" s="44">
        <v>80230.289999999994</v>
      </c>
      <c r="E29" s="18">
        <v>31682.639999999999</v>
      </c>
      <c r="F29" s="18">
        <v>35112.51</v>
      </c>
      <c r="G29" s="18">
        <f>I59</f>
        <v>2310.06</v>
      </c>
      <c r="H29" s="21">
        <f>D29+F29-G29</f>
        <v>113032.73999999999</v>
      </c>
      <c r="I29" s="44" t="s">
        <v>71</v>
      </c>
    </row>
    <row r="30" spans="1:9" x14ac:dyDescent="0.25">
      <c r="A30" s="18"/>
      <c r="B30" s="9" t="s">
        <v>149</v>
      </c>
      <c r="C30" s="42"/>
      <c r="D30" s="34"/>
      <c r="E30" s="11"/>
      <c r="F30" s="11">
        <v>35112.51</v>
      </c>
      <c r="G30" s="11"/>
      <c r="H30" s="34"/>
      <c r="I30" s="43"/>
    </row>
    <row r="31" spans="1:9" x14ac:dyDescent="0.25">
      <c r="A31" s="18" t="s">
        <v>55</v>
      </c>
      <c r="B31" s="18" t="s">
        <v>582</v>
      </c>
      <c r="C31" s="5">
        <v>0</v>
      </c>
      <c r="D31" s="28">
        <v>64.8</v>
      </c>
      <c r="E31" s="25">
        <v>0</v>
      </c>
      <c r="F31" s="25">
        <v>345.35</v>
      </c>
      <c r="G31" s="182" t="s">
        <v>583</v>
      </c>
      <c r="H31" s="28">
        <f>D31+F31-G31</f>
        <v>410.15000000000003</v>
      </c>
      <c r="I31" s="45"/>
    </row>
    <row r="32" spans="1:9" x14ac:dyDescent="0.25">
      <c r="A32" s="9"/>
      <c r="B32" s="9" t="s">
        <v>149</v>
      </c>
      <c r="C32" s="10">
        <v>0</v>
      </c>
      <c r="D32" s="40"/>
      <c r="E32" s="9">
        <v>0</v>
      </c>
      <c r="F32" s="9">
        <v>0</v>
      </c>
      <c r="G32" s="73" t="s">
        <v>583</v>
      </c>
      <c r="H32" s="40" t="s">
        <v>71</v>
      </c>
      <c r="I32" s="29"/>
    </row>
    <row r="33" spans="1:9" x14ac:dyDescent="0.25">
      <c r="A33" s="9"/>
      <c r="B33" s="9"/>
      <c r="C33" s="10"/>
      <c r="D33" s="29"/>
      <c r="E33" s="9"/>
      <c r="F33" s="9"/>
      <c r="G33" s="10"/>
      <c r="H33" s="29"/>
      <c r="I33" s="54"/>
    </row>
    <row r="34" spans="1:9" x14ac:dyDescent="0.25">
      <c r="A34" s="1" t="s">
        <v>58</v>
      </c>
      <c r="B34" s="1"/>
      <c r="C34" s="1"/>
      <c r="D34" s="47"/>
      <c r="E34" s="1"/>
      <c r="F34" s="1"/>
      <c r="G34" s="60"/>
      <c r="H34" s="37"/>
      <c r="I34" s="37"/>
    </row>
    <row r="35" spans="1:9" x14ac:dyDescent="0.25">
      <c r="A35" s="118"/>
      <c r="B35" s="118"/>
      <c r="C35" s="118"/>
      <c r="D35" s="118"/>
      <c r="E35" s="118"/>
      <c r="F35" s="118"/>
      <c r="G35" s="60"/>
      <c r="H35" s="60"/>
      <c r="I35" s="60"/>
    </row>
    <row r="36" spans="1:9" x14ac:dyDescent="0.25">
      <c r="A36" s="48" t="s">
        <v>196</v>
      </c>
      <c r="B36" s="6"/>
      <c r="C36" s="6" t="s">
        <v>61</v>
      </c>
      <c r="D36" s="6" t="s">
        <v>62</v>
      </c>
      <c r="E36" s="6" t="s">
        <v>584</v>
      </c>
      <c r="F36" s="6" t="s">
        <v>64</v>
      </c>
      <c r="G36" s="6"/>
      <c r="H36" s="48" t="s">
        <v>199</v>
      </c>
      <c r="I36" s="49"/>
    </row>
    <row r="37" spans="1:9" x14ac:dyDescent="0.25">
      <c r="A37" s="51"/>
      <c r="B37" s="7" t="s">
        <v>60</v>
      </c>
      <c r="C37" s="62" t="s">
        <v>66</v>
      </c>
      <c r="D37" s="62" t="s">
        <v>23</v>
      </c>
      <c r="E37" s="62" t="s">
        <v>585</v>
      </c>
      <c r="F37" s="62" t="s">
        <v>30</v>
      </c>
      <c r="G37" s="62"/>
      <c r="H37" s="52"/>
      <c r="I37" s="53"/>
    </row>
    <row r="38" spans="1:9" x14ac:dyDescent="0.25">
      <c r="A38" s="52"/>
      <c r="B38" s="62" t="s">
        <v>68</v>
      </c>
      <c r="C38" s="183">
        <v>10900.5</v>
      </c>
      <c r="D38" s="62">
        <v>5553</v>
      </c>
      <c r="E38" s="54">
        <f>D38*15%</f>
        <v>832.94999999999993</v>
      </c>
      <c r="F38" s="141">
        <f>C38+(D38-E38)</f>
        <v>15620.55</v>
      </c>
      <c r="G38" s="141"/>
      <c r="H38" s="184">
        <f>F38-G38</f>
        <v>15620.55</v>
      </c>
      <c r="I38" s="53"/>
    </row>
    <row r="39" spans="1:9" x14ac:dyDescent="0.25">
      <c r="A39" s="5" t="s">
        <v>69</v>
      </c>
      <c r="B39" s="5"/>
      <c r="C39" s="5"/>
      <c r="D39" s="56"/>
      <c r="E39" s="5"/>
      <c r="F39" s="5"/>
      <c r="G39" s="5"/>
      <c r="H39" s="5"/>
      <c r="I39" s="5"/>
    </row>
    <row r="40" spans="1:9" x14ac:dyDescent="0.25">
      <c r="A40" s="1" t="s">
        <v>70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 t="s">
        <v>71</v>
      </c>
      <c r="B41" s="48" t="s">
        <v>72</v>
      </c>
      <c r="C41" s="6" t="s">
        <v>73</v>
      </c>
      <c r="D41" s="58" t="s">
        <v>74</v>
      </c>
      <c r="E41" s="6" t="s">
        <v>75</v>
      </c>
      <c r="F41" s="6" t="s">
        <v>76</v>
      </c>
      <c r="G41" s="58" t="s">
        <v>77</v>
      </c>
      <c r="H41" s="6" t="s">
        <v>78</v>
      </c>
      <c r="I41" s="6" t="s">
        <v>19</v>
      </c>
    </row>
    <row r="42" spans="1:9" x14ac:dyDescent="0.25">
      <c r="A42" s="7"/>
      <c r="B42" s="51" t="s">
        <v>79</v>
      </c>
      <c r="C42" s="7" t="s">
        <v>80</v>
      </c>
      <c r="D42" s="60" t="s">
        <v>81</v>
      </c>
      <c r="E42" s="7" t="s">
        <v>82</v>
      </c>
      <c r="F42" s="7" t="s">
        <v>83</v>
      </c>
      <c r="G42" s="60" t="s">
        <v>84</v>
      </c>
      <c r="H42" s="7" t="s">
        <v>85</v>
      </c>
      <c r="I42" s="7" t="s">
        <v>86</v>
      </c>
    </row>
    <row r="43" spans="1:9" x14ac:dyDescent="0.25">
      <c r="A43" s="7"/>
      <c r="B43" s="51"/>
      <c r="C43" s="7"/>
      <c r="D43" s="60"/>
      <c r="E43" s="7"/>
      <c r="F43" s="7" t="s">
        <v>87</v>
      </c>
      <c r="G43" s="60" t="s">
        <v>88</v>
      </c>
      <c r="H43" s="7"/>
      <c r="I43" s="7" t="s">
        <v>30</v>
      </c>
    </row>
    <row r="44" spans="1:9" x14ac:dyDescent="0.25">
      <c r="A44" s="7"/>
      <c r="B44" s="51"/>
      <c r="C44" s="7"/>
      <c r="D44" s="60"/>
      <c r="E44" s="7"/>
      <c r="F44" s="62"/>
      <c r="H44" s="62"/>
      <c r="I44" s="7"/>
    </row>
    <row r="45" spans="1:9" x14ac:dyDescent="0.25">
      <c r="A45" s="6"/>
      <c r="B45" s="6"/>
      <c r="C45" s="68"/>
      <c r="D45" s="9"/>
      <c r="E45" s="10"/>
      <c r="F45" s="8"/>
      <c r="G45" s="8"/>
      <c r="H45" s="9"/>
      <c r="I45" s="9"/>
    </row>
    <row r="46" spans="1:9" x14ac:dyDescent="0.25">
      <c r="A46" s="9">
        <v>1</v>
      </c>
      <c r="B46" s="9" t="s">
        <v>90</v>
      </c>
      <c r="C46" s="11" t="s">
        <v>389</v>
      </c>
      <c r="D46" s="7">
        <v>-21553</v>
      </c>
      <c r="E46" s="94">
        <v>246477.53</v>
      </c>
      <c r="F46" s="7">
        <v>242879.81</v>
      </c>
      <c r="G46" s="60">
        <f>E46</f>
        <v>246477.53</v>
      </c>
      <c r="H46" s="7">
        <f>D46+F46-G46</f>
        <v>-25150.720000000001</v>
      </c>
      <c r="I46" s="7">
        <f>H46</f>
        <v>-25150.720000000001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9"/>
      <c r="G47" s="10"/>
      <c r="H47" s="9"/>
      <c r="I47" s="9"/>
    </row>
    <row r="48" spans="1:9" x14ac:dyDescent="0.25">
      <c r="A48" s="9">
        <v>2</v>
      </c>
      <c r="B48" s="9" t="s">
        <v>98</v>
      </c>
      <c r="C48" s="41" t="s">
        <v>99</v>
      </c>
      <c r="D48" s="9">
        <v>-134769.85</v>
      </c>
      <c r="E48" s="10">
        <v>431112.02</v>
      </c>
      <c r="F48" s="9">
        <v>467693.76</v>
      </c>
      <c r="G48" s="8">
        <f>E48</f>
        <v>431112.02</v>
      </c>
      <c r="H48" s="62">
        <f>D48+F48-G48</f>
        <v>-98188.109999999986</v>
      </c>
      <c r="I48" s="9">
        <f>H48</f>
        <v>-98188.109999999986</v>
      </c>
    </row>
    <row r="49" spans="1:9" x14ac:dyDescent="0.25">
      <c r="A49" s="1" t="s">
        <v>100</v>
      </c>
      <c r="B49" s="1"/>
      <c r="C49" s="1"/>
      <c r="D49" s="2"/>
      <c r="E49" s="1"/>
      <c r="F49" s="1"/>
      <c r="G49" s="1"/>
      <c r="H49" s="1"/>
      <c r="I49" s="2"/>
    </row>
    <row r="50" spans="1:9" x14ac:dyDescent="0.25">
      <c r="A50" s="5" t="s">
        <v>101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48" t="s">
        <v>12</v>
      </c>
      <c r="B51" s="6" t="s">
        <v>221</v>
      </c>
      <c r="C51" s="58" t="s">
        <v>103</v>
      </c>
      <c r="D51" s="58"/>
      <c r="E51" s="58"/>
      <c r="F51" s="48" t="s">
        <v>172</v>
      </c>
      <c r="G51" s="58"/>
      <c r="H51" s="49"/>
      <c r="I51" s="6" t="s">
        <v>105</v>
      </c>
    </row>
    <row r="52" spans="1:9" x14ac:dyDescent="0.25">
      <c r="A52" s="51" t="s">
        <v>106</v>
      </c>
      <c r="B52" s="7" t="s">
        <v>223</v>
      </c>
      <c r="C52" s="60"/>
      <c r="D52" s="60"/>
      <c r="E52" s="60"/>
      <c r="F52" s="51" t="s">
        <v>586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205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6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/>
      <c r="H55" s="61" t="s">
        <v>71</v>
      </c>
      <c r="I55" s="7" t="s">
        <v>71</v>
      </c>
    </row>
    <row r="56" spans="1:9" x14ac:dyDescent="0.25">
      <c r="A56" s="69" t="s">
        <v>113</v>
      </c>
      <c r="B56" s="70">
        <v>42809</v>
      </c>
      <c r="C56" s="60" t="s">
        <v>587</v>
      </c>
      <c r="D56" s="60"/>
      <c r="E56" s="60"/>
      <c r="F56" s="51"/>
      <c r="G56" s="37">
        <f>I56/1603.8</f>
        <v>0.72018331462775909</v>
      </c>
      <c r="H56" s="61"/>
      <c r="I56" s="7">
        <v>1155.03</v>
      </c>
    </row>
    <row r="57" spans="1:9" x14ac:dyDescent="0.25">
      <c r="A57" s="69" t="s">
        <v>38</v>
      </c>
      <c r="B57" s="70">
        <v>43069</v>
      </c>
      <c r="C57" s="60" t="s">
        <v>587</v>
      </c>
      <c r="D57" s="60"/>
      <c r="E57" s="60"/>
      <c r="F57" s="51"/>
      <c r="G57" s="37">
        <f>I57/1603.8</f>
        <v>0.72018331462775909</v>
      </c>
      <c r="H57" s="61"/>
      <c r="I57" s="7">
        <v>1155.03</v>
      </c>
    </row>
    <row r="58" spans="1:9" x14ac:dyDescent="0.25">
      <c r="A58" s="69"/>
      <c r="B58" s="70"/>
      <c r="C58" s="60"/>
      <c r="D58" s="60"/>
      <c r="E58" s="60"/>
      <c r="F58" s="51"/>
      <c r="G58" s="37"/>
      <c r="H58" s="61"/>
      <c r="I58" s="7"/>
    </row>
    <row r="59" spans="1:9" x14ac:dyDescent="0.25">
      <c r="A59" s="69"/>
      <c r="B59" s="7"/>
      <c r="C59" s="5" t="s">
        <v>118</v>
      </c>
      <c r="D59" s="5"/>
      <c r="E59" s="5"/>
      <c r="F59" s="59"/>
      <c r="G59" s="20">
        <f>SUM(G56:G58)</f>
        <v>1.4403666292555182</v>
      </c>
      <c r="H59" s="71"/>
      <c r="I59" s="18">
        <f>SUM(I56:I58)</f>
        <v>2310.06</v>
      </c>
    </row>
    <row r="60" spans="1:9" x14ac:dyDescent="0.25">
      <c r="A60" s="6"/>
      <c r="B60" s="6"/>
      <c r="C60" s="48"/>
      <c r="D60" s="58"/>
      <c r="E60" s="49"/>
      <c r="F60" s="48"/>
      <c r="G60" s="58"/>
      <c r="H60" s="49"/>
      <c r="I60" s="6"/>
    </row>
    <row r="61" spans="1:9" x14ac:dyDescent="0.25">
      <c r="A61" s="25" t="s">
        <v>48</v>
      </c>
      <c r="B61" s="25" t="s">
        <v>119</v>
      </c>
      <c r="C61" s="57" t="s">
        <v>120</v>
      </c>
      <c r="D61" s="58"/>
      <c r="E61" s="49"/>
      <c r="F61" s="48" t="s">
        <v>121</v>
      </c>
      <c r="G61" s="58"/>
      <c r="H61" s="49"/>
      <c r="I61" s="6"/>
    </row>
    <row r="62" spans="1:9" x14ac:dyDescent="0.25">
      <c r="A62" s="69"/>
      <c r="B62" s="70"/>
      <c r="C62" s="60"/>
      <c r="D62" s="60"/>
      <c r="E62" s="60"/>
      <c r="F62" s="51"/>
      <c r="G62" s="37"/>
      <c r="H62" s="61"/>
      <c r="I62" s="7"/>
    </row>
    <row r="63" spans="1:9" x14ac:dyDescent="0.25">
      <c r="A63" s="69"/>
      <c r="B63" s="70"/>
      <c r="C63" s="60"/>
      <c r="D63" s="60"/>
      <c r="E63" s="60"/>
      <c r="F63" s="51"/>
      <c r="G63" s="37"/>
      <c r="H63" s="61"/>
      <c r="I63" s="7"/>
    </row>
    <row r="64" spans="1:9" x14ac:dyDescent="0.25">
      <c r="A64" s="73"/>
      <c r="B64" s="62" t="s">
        <v>119</v>
      </c>
      <c r="C64" s="15" t="s">
        <v>118</v>
      </c>
      <c r="D64" s="14"/>
      <c r="E64" s="85"/>
      <c r="F64" s="15" t="s">
        <v>71</v>
      </c>
      <c r="G64" s="78">
        <f>SUM(G62:G63)</f>
        <v>0</v>
      </c>
      <c r="H64" s="85"/>
      <c r="I64" s="12">
        <f>SUM(I62:I63)</f>
        <v>0</v>
      </c>
    </row>
    <row r="65" spans="1:9" x14ac:dyDescent="0.25">
      <c r="A65" s="2" t="s">
        <v>71</v>
      </c>
      <c r="B65" s="2"/>
      <c r="C65" s="2" t="s">
        <v>71</v>
      </c>
      <c r="E65" s="2"/>
      <c r="F65" s="2"/>
      <c r="G65" s="2"/>
      <c r="H65" s="2"/>
    </row>
    <row r="66" spans="1:9" x14ac:dyDescent="0.25">
      <c r="A66" s="2" t="s">
        <v>209</v>
      </c>
      <c r="B66" s="2"/>
      <c r="C66" s="2"/>
      <c r="D66" s="2" t="s">
        <v>123</v>
      </c>
      <c r="E66" s="2" t="s">
        <v>588</v>
      </c>
      <c r="F66" s="2"/>
      <c r="G66" s="2"/>
      <c r="H66" s="2" t="s">
        <v>125</v>
      </c>
      <c r="I66" s="2" t="s">
        <v>126</v>
      </c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34" zoomScale="110" zoomScaleNormal="110" workbookViewId="0">
      <selection activeCell="I59" sqref="I59:I64"/>
    </sheetView>
  </sheetViews>
  <sheetFormatPr defaultRowHeight="15" x14ac:dyDescent="0.25"/>
  <cols>
    <col min="1" max="1" width="5.5703125" style="3" customWidth="1"/>
    <col min="2" max="2" width="25.85546875" style="3" customWidth="1"/>
    <col min="3" max="3" width="13.5703125" style="3" customWidth="1"/>
    <col min="4" max="4" width="10.42578125" style="3" customWidth="1"/>
    <col min="5" max="5" width="11" style="3" customWidth="1"/>
    <col min="6" max="6" width="11.140625" style="3" customWidth="1"/>
    <col min="7" max="7" width="10.7109375" style="3" customWidth="1"/>
    <col min="8" max="8" width="10" style="3" customWidth="1"/>
    <col min="9" max="9" width="17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589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590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591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133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21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528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592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57"/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17">
        <v>-10027.719999999999</v>
      </c>
      <c r="E19" s="17">
        <v>261135.84</v>
      </c>
      <c r="F19" s="14">
        <v>256526.14</v>
      </c>
      <c r="G19" s="17">
        <f>E19</f>
        <v>261135.84</v>
      </c>
      <c r="H19" s="16">
        <f>D19+F19-G19</f>
        <v>-14637.419999999984</v>
      </c>
      <c r="I19" s="17">
        <f>H19</f>
        <v>-14637.419999999984</v>
      </c>
    </row>
    <row r="20" spans="1:9" x14ac:dyDescent="0.25">
      <c r="A20" s="7" t="s">
        <v>36</v>
      </c>
      <c r="B20" s="7" t="s">
        <v>457</v>
      </c>
      <c r="C20" s="60"/>
      <c r="D20" s="51"/>
      <c r="E20" s="7"/>
      <c r="F20" s="22"/>
      <c r="G20" s="7" t="s">
        <v>71</v>
      </c>
      <c r="H20" s="51"/>
      <c r="I20" s="75"/>
    </row>
    <row r="21" spans="1:9" x14ac:dyDescent="0.25">
      <c r="A21" s="62"/>
      <c r="B21" s="62" t="s">
        <v>458</v>
      </c>
      <c r="C21" s="74">
        <v>2.62</v>
      </c>
      <c r="D21" s="55"/>
      <c r="E21" s="141">
        <f>E19*33%</f>
        <v>86174.8272</v>
      </c>
      <c r="F21" s="54">
        <f>F19*33%</f>
        <v>84653.626200000013</v>
      </c>
      <c r="G21" s="54">
        <f t="shared" ref="G21:G26" si="0">E21</f>
        <v>86174.8272</v>
      </c>
      <c r="H21" s="55"/>
      <c r="I21" s="54"/>
    </row>
    <row r="22" spans="1:9" x14ac:dyDescent="0.25">
      <c r="A22" s="24" t="s">
        <v>38</v>
      </c>
      <c r="B22" s="6" t="s">
        <v>39</v>
      </c>
      <c r="C22" s="58">
        <v>1.33</v>
      </c>
      <c r="D22" s="105"/>
      <c r="E22" s="75">
        <f>E19*17%</f>
        <v>44393.092800000006</v>
      </c>
      <c r="F22" s="75">
        <f>F19*17%</f>
        <v>43609.443800000008</v>
      </c>
      <c r="G22" s="75">
        <f t="shared" si="0"/>
        <v>44393.092800000006</v>
      </c>
      <c r="H22" s="105"/>
      <c r="I22" s="75"/>
    </row>
    <row r="23" spans="1:9" x14ac:dyDescent="0.25">
      <c r="A23" s="24" t="s">
        <v>40</v>
      </c>
      <c r="B23" s="6" t="s">
        <v>41</v>
      </c>
      <c r="C23" s="58">
        <v>1.63</v>
      </c>
      <c r="D23" s="110"/>
      <c r="E23" s="75">
        <f>E19*20%</f>
        <v>52227.168000000005</v>
      </c>
      <c r="F23" s="75">
        <f>F19*20%</f>
        <v>51305.228000000003</v>
      </c>
      <c r="G23" s="75">
        <f t="shared" si="0"/>
        <v>52227.168000000005</v>
      </c>
      <c r="H23" s="110"/>
      <c r="I23" s="75"/>
    </row>
    <row r="24" spans="1:9" x14ac:dyDescent="0.25">
      <c r="A24" s="24" t="s">
        <v>42</v>
      </c>
      <c r="B24" s="9" t="s">
        <v>43</v>
      </c>
      <c r="C24" s="8">
        <v>2.39</v>
      </c>
      <c r="D24" s="40"/>
      <c r="E24" s="29">
        <f>E19*30%</f>
        <v>78340.751999999993</v>
      </c>
      <c r="F24" s="29">
        <f>F19*30%</f>
        <v>76957.842000000004</v>
      </c>
      <c r="G24" s="39">
        <f t="shared" si="0"/>
        <v>78340.751999999993</v>
      </c>
      <c r="H24" s="40"/>
      <c r="I24" s="29"/>
    </row>
    <row r="25" spans="1:9" x14ac:dyDescent="0.25">
      <c r="A25" s="24" t="s">
        <v>44</v>
      </c>
      <c r="B25" s="8" t="s">
        <v>47</v>
      </c>
      <c r="C25" s="8">
        <v>0.71377000000000002</v>
      </c>
      <c r="D25" s="29"/>
      <c r="E25" s="9">
        <v>21220.97</v>
      </c>
      <c r="F25" s="10">
        <v>18630.28</v>
      </c>
      <c r="G25" s="9">
        <f t="shared" si="0"/>
        <v>21220.97</v>
      </c>
      <c r="H25" s="50">
        <f>F25-E25</f>
        <v>-2590.6900000000023</v>
      </c>
      <c r="I25" s="50">
        <f>H25</f>
        <v>-2590.6900000000023</v>
      </c>
    </row>
    <row r="26" spans="1:9" x14ac:dyDescent="0.25">
      <c r="A26" s="11" t="s">
        <v>48</v>
      </c>
      <c r="B26" s="41" t="s">
        <v>49</v>
      </c>
      <c r="C26" s="11" t="s">
        <v>50</v>
      </c>
      <c r="D26" s="33">
        <v>-8612.19</v>
      </c>
      <c r="E26" s="121">
        <v>110908.83</v>
      </c>
      <c r="F26" s="121">
        <v>104427.1</v>
      </c>
      <c r="G26" s="43">
        <f t="shared" si="0"/>
        <v>110908.83</v>
      </c>
      <c r="H26" s="32">
        <f>D26+F26-G26</f>
        <v>-15093.919999999998</v>
      </c>
      <c r="I26" s="17">
        <f>H26</f>
        <v>-15093.919999999998</v>
      </c>
    </row>
    <row r="27" spans="1:9" x14ac:dyDescent="0.25">
      <c r="A27" s="12" t="s">
        <v>51</v>
      </c>
      <c r="B27" s="12" t="s">
        <v>459</v>
      </c>
      <c r="C27" s="78">
        <v>1.82</v>
      </c>
      <c r="D27" s="15">
        <v>213758.67</v>
      </c>
      <c r="E27" s="12">
        <v>59631.96</v>
      </c>
      <c r="F27" s="12">
        <f>F28+F29</f>
        <v>79701.009999999995</v>
      </c>
      <c r="G27" s="12">
        <f>G28</f>
        <v>91816.419999999984</v>
      </c>
      <c r="H27" s="15">
        <f>D27+F27-G27</f>
        <v>201643.26</v>
      </c>
      <c r="I27" s="185"/>
    </row>
    <row r="28" spans="1:9" x14ac:dyDescent="0.25">
      <c r="A28" s="12"/>
      <c r="B28" s="9" t="s">
        <v>53</v>
      </c>
      <c r="C28" s="78"/>
      <c r="D28" s="15"/>
      <c r="E28" s="12"/>
      <c r="F28" s="12">
        <v>58900.5</v>
      </c>
      <c r="G28" s="14">
        <f>I64</f>
        <v>91816.419999999984</v>
      </c>
      <c r="H28" s="15"/>
      <c r="I28" s="186"/>
    </row>
    <row r="29" spans="1:9" x14ac:dyDescent="0.25">
      <c r="A29" s="12"/>
      <c r="B29" s="9" t="s">
        <v>54</v>
      </c>
      <c r="C29" s="78"/>
      <c r="D29" s="15"/>
      <c r="E29" s="12"/>
      <c r="F29" s="12">
        <v>20800.509999999998</v>
      </c>
      <c r="G29" s="14"/>
      <c r="H29" s="15"/>
      <c r="I29" s="185"/>
    </row>
    <row r="30" spans="1:9" x14ac:dyDescent="0.25">
      <c r="A30" s="11" t="s">
        <v>55</v>
      </c>
      <c r="B30" s="11" t="s">
        <v>146</v>
      </c>
      <c r="C30" s="41"/>
      <c r="D30" s="42" t="s">
        <v>71</v>
      </c>
      <c r="E30" s="11"/>
      <c r="F30" s="11"/>
      <c r="G30" s="41" t="s">
        <v>147</v>
      </c>
      <c r="H30" s="42" t="s">
        <v>71</v>
      </c>
      <c r="I30" s="43" t="str">
        <f>H30</f>
        <v xml:space="preserve"> </v>
      </c>
    </row>
    <row r="31" spans="1:9" x14ac:dyDescent="0.25">
      <c r="A31" s="12"/>
      <c r="B31" s="12" t="s">
        <v>303</v>
      </c>
      <c r="C31" s="17">
        <v>0</v>
      </c>
      <c r="D31" s="15">
        <v>48917.41</v>
      </c>
      <c r="E31" s="12">
        <v>0</v>
      </c>
      <c r="F31" s="12">
        <f>F32</f>
        <v>0</v>
      </c>
      <c r="G31" s="14">
        <v>0</v>
      </c>
      <c r="H31" s="15">
        <f>D31+F31-G31</f>
        <v>48917.41</v>
      </c>
      <c r="I31" s="17"/>
    </row>
    <row r="32" spans="1:9" x14ac:dyDescent="0.25">
      <c r="A32" s="9"/>
      <c r="B32" s="9" t="s">
        <v>53</v>
      </c>
      <c r="C32" s="39">
        <v>0</v>
      </c>
      <c r="D32" s="8"/>
      <c r="E32" s="9">
        <v>0</v>
      </c>
      <c r="F32" s="9">
        <v>0</v>
      </c>
      <c r="G32" s="10">
        <v>0</v>
      </c>
      <c r="H32" s="8"/>
      <c r="I32" s="29"/>
    </row>
    <row r="33" spans="1:9" x14ac:dyDescent="0.25">
      <c r="A33" s="1" t="s">
        <v>58</v>
      </c>
      <c r="B33" s="1"/>
      <c r="C33" s="1"/>
      <c r="D33" s="47"/>
      <c r="E33" s="1"/>
      <c r="F33" s="1"/>
      <c r="G33" s="2"/>
      <c r="H33" s="2"/>
      <c r="I33" s="2"/>
    </row>
    <row r="34" spans="1:9" x14ac:dyDescent="0.25">
      <c r="A34" s="1"/>
      <c r="B34" s="1"/>
      <c r="C34" s="1"/>
      <c r="D34" s="47"/>
      <c r="E34" s="1"/>
      <c r="F34" s="1"/>
      <c r="G34" s="2"/>
      <c r="H34" s="2"/>
      <c r="I34" s="2"/>
    </row>
    <row r="35" spans="1:9" x14ac:dyDescent="0.25">
      <c r="A35" s="25" t="s">
        <v>59</v>
      </c>
      <c r="B35" s="58" t="s">
        <v>60</v>
      </c>
      <c r="C35" s="6" t="s">
        <v>64</v>
      </c>
      <c r="D35" s="49" t="s">
        <v>62</v>
      </c>
      <c r="E35" s="58" t="s">
        <v>63</v>
      </c>
      <c r="F35" s="6" t="s">
        <v>64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66</v>
      </c>
      <c r="D36" s="53" t="s">
        <v>23</v>
      </c>
      <c r="E36" s="74" t="s">
        <v>312</v>
      </c>
      <c r="F36" s="62" t="s">
        <v>30</v>
      </c>
      <c r="G36" s="62"/>
      <c r="H36" s="74"/>
      <c r="I36" s="53"/>
    </row>
    <row r="37" spans="1:9" x14ac:dyDescent="0.25">
      <c r="A37" s="12"/>
      <c r="B37" s="74" t="s">
        <v>68</v>
      </c>
      <c r="C37" s="29">
        <v>10900.5</v>
      </c>
      <c r="D37" s="9">
        <v>5553</v>
      </c>
      <c r="E37" s="79">
        <f>D37*15%</f>
        <v>832.94999999999993</v>
      </c>
      <c r="F37" s="54">
        <f>C37+(D37-E37)</f>
        <v>15620.55</v>
      </c>
      <c r="G37" s="54"/>
      <c r="H37" s="79">
        <f>F37</f>
        <v>15620.55</v>
      </c>
      <c r="I37" s="53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47"/>
      <c r="E39" s="1"/>
      <c r="F39" s="1"/>
      <c r="G39" s="1"/>
      <c r="H39" s="1"/>
      <c r="I39" s="1"/>
    </row>
    <row r="40" spans="1:9" x14ac:dyDescent="0.25">
      <c r="A40" s="6" t="s">
        <v>71</v>
      </c>
      <c r="B40" s="48" t="s">
        <v>72</v>
      </c>
      <c r="C40" s="6" t="s">
        <v>73</v>
      </c>
      <c r="D40" s="48" t="s">
        <v>74</v>
      </c>
      <c r="E40" s="6" t="s">
        <v>75</v>
      </c>
      <c r="F40" s="58" t="s">
        <v>76</v>
      </c>
      <c r="G40" s="6" t="s">
        <v>253</v>
      </c>
      <c r="H40" s="49" t="s">
        <v>78</v>
      </c>
      <c r="I40" s="6" t="s">
        <v>19</v>
      </c>
    </row>
    <row r="41" spans="1:9" x14ac:dyDescent="0.25">
      <c r="A41" s="7"/>
      <c r="B41" s="51" t="s">
        <v>79</v>
      </c>
      <c r="C41" s="7" t="s">
        <v>80</v>
      </c>
      <c r="D41" s="51" t="s">
        <v>81</v>
      </c>
      <c r="E41" s="7" t="s">
        <v>82</v>
      </c>
      <c r="F41" s="60" t="s">
        <v>83</v>
      </c>
      <c r="G41" s="7" t="s">
        <v>84</v>
      </c>
      <c r="H41" s="61" t="s">
        <v>85</v>
      </c>
      <c r="I41" s="7" t="s">
        <v>86</v>
      </c>
    </row>
    <row r="42" spans="1:9" x14ac:dyDescent="0.25">
      <c r="A42" s="7"/>
      <c r="B42" s="51"/>
      <c r="C42" s="7"/>
      <c r="D42" s="51"/>
      <c r="E42" s="7"/>
      <c r="F42" s="60" t="s">
        <v>87</v>
      </c>
      <c r="G42" s="7" t="s">
        <v>88</v>
      </c>
      <c r="H42" s="61"/>
      <c r="I42" s="7" t="s">
        <v>30</v>
      </c>
    </row>
    <row r="43" spans="1:9" x14ac:dyDescent="0.25">
      <c r="A43" s="7"/>
      <c r="B43" s="51"/>
      <c r="C43" s="7"/>
      <c r="D43" s="51"/>
      <c r="E43" s="7"/>
      <c r="F43" s="60"/>
      <c r="G43" s="7"/>
      <c r="H43" s="61"/>
      <c r="I43" s="7"/>
    </row>
    <row r="44" spans="1:9" x14ac:dyDescent="0.25">
      <c r="A44" s="9"/>
      <c r="B44" s="8"/>
      <c r="C44" s="9"/>
      <c r="D44" s="8"/>
      <c r="E44" s="9"/>
      <c r="F44" s="10"/>
      <c r="G44" s="9"/>
      <c r="H44" s="50"/>
      <c r="I44" s="50"/>
    </row>
    <row r="45" spans="1:9" x14ac:dyDescent="0.25">
      <c r="A45" s="7">
        <v>1</v>
      </c>
      <c r="B45" s="7" t="s">
        <v>90</v>
      </c>
      <c r="C45" s="5" t="s">
        <v>91</v>
      </c>
      <c r="D45" s="7">
        <v>-21865.22</v>
      </c>
      <c r="E45" s="112">
        <v>214477.73</v>
      </c>
      <c r="F45" s="7">
        <v>200750.73</v>
      </c>
      <c r="G45" s="112">
        <f>E45</f>
        <v>214477.73</v>
      </c>
      <c r="H45" s="7">
        <f>D45+F45-G45</f>
        <v>-35592.22</v>
      </c>
      <c r="I45" s="61">
        <f>H45</f>
        <v>-35592.22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65"/>
      <c r="H46" s="9"/>
      <c r="I46" s="50"/>
    </row>
    <row r="47" spans="1:9" x14ac:dyDescent="0.25">
      <c r="A47" s="7">
        <v>2</v>
      </c>
      <c r="B47" s="7" t="s">
        <v>94</v>
      </c>
      <c r="C47" s="1" t="s">
        <v>95</v>
      </c>
      <c r="D47" s="7">
        <v>-105106.9</v>
      </c>
      <c r="E47" s="2">
        <v>397462.82</v>
      </c>
      <c r="F47" s="7">
        <v>370045.73</v>
      </c>
      <c r="G47" s="2">
        <f>E47</f>
        <v>397462.82</v>
      </c>
      <c r="H47" s="7">
        <f>D47+F47-G47</f>
        <v>-132523.99000000005</v>
      </c>
      <c r="I47" s="61">
        <f>H47</f>
        <v>-132523.99000000005</v>
      </c>
    </row>
    <row r="48" spans="1:9" x14ac:dyDescent="0.25">
      <c r="A48" s="9"/>
      <c r="B48" s="9" t="s">
        <v>96</v>
      </c>
      <c r="C48" s="41"/>
      <c r="D48" s="6" t="s">
        <v>71</v>
      </c>
      <c r="E48" s="10"/>
      <c r="F48" s="9"/>
      <c r="G48" s="10"/>
      <c r="H48" s="6" t="s">
        <v>71</v>
      </c>
      <c r="I48" s="49" t="str">
        <f>H48</f>
        <v xml:space="preserve"> </v>
      </c>
    </row>
    <row r="49" spans="1:9" x14ac:dyDescent="0.25">
      <c r="A49" s="9"/>
      <c r="B49" s="9" t="s">
        <v>313</v>
      </c>
      <c r="C49" s="41" t="s">
        <v>93</v>
      </c>
      <c r="D49" s="6"/>
      <c r="E49" s="10"/>
      <c r="F49" s="9"/>
      <c r="G49" s="10"/>
      <c r="H49" s="6"/>
      <c r="I49" s="49"/>
    </row>
    <row r="50" spans="1:9" x14ac:dyDescent="0.25">
      <c r="A50" s="9">
        <v>3</v>
      </c>
      <c r="B50" s="9" t="s">
        <v>98</v>
      </c>
      <c r="C50" s="41" t="s">
        <v>203</v>
      </c>
      <c r="D50" s="9">
        <v>-257250.2</v>
      </c>
      <c r="E50" s="10">
        <v>958243.74</v>
      </c>
      <c r="F50" s="9">
        <v>942513.19</v>
      </c>
      <c r="G50" s="10">
        <f>E50</f>
        <v>958243.74</v>
      </c>
      <c r="H50" s="9">
        <f>D50+F50-G50</f>
        <v>-272980.75</v>
      </c>
      <c r="I50" s="9">
        <f>H50</f>
        <v>-272980.75</v>
      </c>
    </row>
    <row r="51" spans="1:9" x14ac:dyDescent="0.25">
      <c r="A51" s="1" t="s">
        <v>255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5" t="s">
        <v>256</v>
      </c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257</v>
      </c>
      <c r="G55" s="60"/>
      <c r="H55" s="61"/>
      <c r="I55" s="7"/>
    </row>
    <row r="56" spans="1:9" x14ac:dyDescent="0.25">
      <c r="A56" s="51"/>
      <c r="B56" s="62"/>
      <c r="C56" s="60"/>
      <c r="D56" s="60"/>
      <c r="E56" s="60"/>
      <c r="F56" s="51" t="s">
        <v>258</v>
      </c>
      <c r="G56" s="60"/>
      <c r="H56" s="61"/>
      <c r="I56" s="7"/>
    </row>
    <row r="57" spans="1:9" x14ac:dyDescent="0.25">
      <c r="A57" s="178" t="s">
        <v>110</v>
      </c>
      <c r="B57" s="25"/>
      <c r="C57" s="57" t="s">
        <v>111</v>
      </c>
      <c r="D57" s="68"/>
      <c r="E57" s="72"/>
      <c r="F57" s="58"/>
      <c r="G57" s="58"/>
      <c r="H57" s="58"/>
      <c r="I57" s="6"/>
    </row>
    <row r="58" spans="1:9" x14ac:dyDescent="0.25">
      <c r="A58" s="84"/>
      <c r="B58" s="7"/>
      <c r="C58" s="51" t="s">
        <v>112</v>
      </c>
      <c r="D58" s="60"/>
      <c r="E58" s="61"/>
      <c r="F58" s="60" t="s">
        <v>71</v>
      </c>
      <c r="G58" s="37"/>
      <c r="H58" s="60" t="s">
        <v>71</v>
      </c>
      <c r="I58" s="7" t="s">
        <v>71</v>
      </c>
    </row>
    <row r="59" spans="1:9" x14ac:dyDescent="0.25">
      <c r="A59" s="84" t="s">
        <v>113</v>
      </c>
      <c r="B59" s="70">
        <v>42879</v>
      </c>
      <c r="C59" s="51" t="s">
        <v>593</v>
      </c>
      <c r="D59" s="60"/>
      <c r="E59" s="61"/>
      <c r="F59" s="60"/>
      <c r="G59" s="37">
        <f>I59/2730.4</f>
        <v>0.80574274831526516</v>
      </c>
      <c r="H59" s="60"/>
      <c r="I59" s="7">
        <v>2200</v>
      </c>
    </row>
    <row r="60" spans="1:9" x14ac:dyDescent="0.25">
      <c r="A60" s="84" t="s">
        <v>38</v>
      </c>
      <c r="B60" s="70" t="s">
        <v>180</v>
      </c>
      <c r="C60" s="51" t="s">
        <v>594</v>
      </c>
      <c r="D60" s="60"/>
      <c r="E60" s="61"/>
      <c r="F60" s="60"/>
      <c r="G60" s="37">
        <f>I60/2730.4</f>
        <v>8.5624853501318476</v>
      </c>
      <c r="H60" s="60"/>
      <c r="I60" s="7">
        <v>23379.01</v>
      </c>
    </row>
    <row r="61" spans="1:9" x14ac:dyDescent="0.25">
      <c r="A61" s="123" t="s">
        <v>40</v>
      </c>
      <c r="B61" s="70">
        <v>42961</v>
      </c>
      <c r="C61" s="51" t="s">
        <v>595</v>
      </c>
      <c r="D61" s="60"/>
      <c r="E61" s="61"/>
      <c r="F61" s="60"/>
      <c r="G61" s="37">
        <f>I61/2730.4</f>
        <v>15.570978611192499</v>
      </c>
      <c r="H61" s="60"/>
      <c r="I61" s="7">
        <v>42515</v>
      </c>
    </row>
    <row r="62" spans="1:9" x14ac:dyDescent="0.25">
      <c r="A62" s="123" t="s">
        <v>42</v>
      </c>
      <c r="B62" s="70">
        <v>42978</v>
      </c>
      <c r="C62" s="51" t="s">
        <v>596</v>
      </c>
      <c r="D62" s="60"/>
      <c r="E62" s="61"/>
      <c r="F62" s="60"/>
      <c r="G62" s="37">
        <f>I62/2730.4</f>
        <v>2.0293656607090536</v>
      </c>
      <c r="H62" s="60"/>
      <c r="I62" s="7">
        <v>5540.98</v>
      </c>
    </row>
    <row r="63" spans="1:9" x14ac:dyDescent="0.25">
      <c r="A63" s="123" t="s">
        <v>44</v>
      </c>
      <c r="B63" s="70">
        <v>43008</v>
      </c>
      <c r="C63" s="51" t="s">
        <v>597</v>
      </c>
      <c r="D63" s="60"/>
      <c r="E63" s="61"/>
      <c r="F63" s="60"/>
      <c r="G63" s="37">
        <f>I63/2730.4</f>
        <v>6.6588888075007322</v>
      </c>
      <c r="H63" s="60"/>
      <c r="I63" s="7">
        <v>18181.43</v>
      </c>
    </row>
    <row r="64" spans="1:9" x14ac:dyDescent="0.25">
      <c r="A64" s="77"/>
      <c r="B64" s="62"/>
      <c r="C64" s="15" t="s">
        <v>118</v>
      </c>
      <c r="D64" s="14"/>
      <c r="E64" s="85"/>
      <c r="F64" s="5"/>
      <c r="G64" s="20">
        <f>SUM(G58:G63)</f>
        <v>33.627461177849398</v>
      </c>
      <c r="H64" s="5"/>
      <c r="I64" s="12">
        <f>SUM(I59:I63)</f>
        <v>91816.419999999984</v>
      </c>
    </row>
    <row r="65" spans="1:9" x14ac:dyDescent="0.25">
      <c r="A65" s="6"/>
      <c r="B65" s="6"/>
      <c r="C65" s="48"/>
      <c r="D65" s="58"/>
      <c r="E65" s="49"/>
      <c r="F65" s="48"/>
      <c r="G65" s="58"/>
      <c r="H65" s="49"/>
      <c r="I65" s="133"/>
    </row>
    <row r="66" spans="1:9" x14ac:dyDescent="0.25">
      <c r="A66" s="6" t="s">
        <v>48</v>
      </c>
      <c r="B66" s="25" t="s">
        <v>119</v>
      </c>
      <c r="C66" s="57" t="s">
        <v>120</v>
      </c>
      <c r="D66" s="58"/>
      <c r="E66" s="49"/>
      <c r="F66" s="48" t="s">
        <v>121</v>
      </c>
      <c r="G66" s="58"/>
      <c r="H66" s="49"/>
      <c r="I66" s="6"/>
    </row>
    <row r="67" spans="1:9" x14ac:dyDescent="0.25">
      <c r="A67" s="69"/>
      <c r="B67" s="70"/>
      <c r="C67" s="51"/>
      <c r="D67" s="60"/>
      <c r="E67" s="61"/>
      <c r="F67" s="51"/>
      <c r="G67" s="37"/>
      <c r="H67" s="61"/>
      <c r="I67" s="7"/>
    </row>
    <row r="68" spans="1:9" x14ac:dyDescent="0.25">
      <c r="A68" s="69"/>
      <c r="B68" s="70"/>
      <c r="C68" s="51"/>
      <c r="D68" s="60"/>
      <c r="E68" s="61"/>
      <c r="F68" s="51"/>
      <c r="G68" s="60"/>
      <c r="H68" s="61"/>
      <c r="I68" s="7"/>
    </row>
    <row r="69" spans="1:9" x14ac:dyDescent="0.25">
      <c r="A69" s="73"/>
      <c r="B69" s="62" t="s">
        <v>119</v>
      </c>
      <c r="C69" s="15" t="s">
        <v>118</v>
      </c>
      <c r="D69" s="14"/>
      <c r="E69" s="85"/>
      <c r="F69" s="15" t="s">
        <v>71</v>
      </c>
      <c r="G69" s="14">
        <v>0</v>
      </c>
      <c r="H69" s="85"/>
      <c r="I69" s="12">
        <v>0</v>
      </c>
    </row>
    <row r="70" spans="1:9" x14ac:dyDescent="0.25">
      <c r="A70" s="103"/>
      <c r="B70" s="60"/>
      <c r="C70" s="60"/>
      <c r="D70" s="60"/>
      <c r="E70" s="60"/>
      <c r="F70" s="60"/>
      <c r="G70" s="37"/>
      <c r="H70" s="60"/>
      <c r="I70" s="60"/>
    </row>
    <row r="71" spans="1:9" x14ac:dyDescent="0.25">
      <c r="A71" s="2" t="s">
        <v>209</v>
      </c>
      <c r="B71" s="2"/>
      <c r="C71" s="2" t="s">
        <v>451</v>
      </c>
      <c r="D71" s="114" t="s">
        <v>123</v>
      </c>
      <c r="F71" s="2" t="s">
        <v>124</v>
      </c>
      <c r="G71" s="2" t="s">
        <v>262</v>
      </c>
      <c r="H71" s="2"/>
      <c r="I71" s="2" t="s">
        <v>263</v>
      </c>
    </row>
    <row r="72" spans="1:9" x14ac:dyDescent="0.25">
      <c r="A72" s="2"/>
      <c r="B7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="110" zoomScaleNormal="110" workbookViewId="0">
      <selection activeCell="B11" sqref="B11"/>
    </sheetView>
  </sheetViews>
  <sheetFormatPr defaultRowHeight="15" x14ac:dyDescent="0.25"/>
  <cols>
    <col min="1" max="1" width="5.42578125" style="3" customWidth="1"/>
    <col min="2" max="2" width="33.7109375" style="3" customWidth="1"/>
    <col min="3" max="3" width="12.85546875" style="3" customWidth="1"/>
    <col min="4" max="8" width="9.140625" style="3"/>
    <col min="9" max="9" width="17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598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599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600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601</v>
      </c>
      <c r="B9" s="2"/>
      <c r="C9" s="2"/>
      <c r="D9" s="2"/>
      <c r="E9" s="2"/>
      <c r="F9" s="2"/>
      <c r="G9" s="2"/>
      <c r="H9" s="60"/>
      <c r="I9" s="60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5"/>
      <c r="I10" s="5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5" t="s">
        <v>133</v>
      </c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25">
        <v>1</v>
      </c>
      <c r="B18" s="25" t="s">
        <v>191</v>
      </c>
      <c r="C18" s="25"/>
      <c r="D18" s="57" t="s">
        <v>71</v>
      </c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2"/>
      <c r="B19" s="12" t="s">
        <v>192</v>
      </c>
      <c r="C19" s="12">
        <v>7.97</v>
      </c>
      <c r="D19" s="17">
        <v>-4354.4799999999996</v>
      </c>
      <c r="E19" s="17">
        <v>322782.03000000003</v>
      </c>
      <c r="F19" s="14">
        <v>315452.7</v>
      </c>
      <c r="G19" s="17">
        <f t="shared" ref="G19:G25" si="0">E19</f>
        <v>322782.03000000003</v>
      </c>
      <c r="H19" s="16">
        <f>D19+F19-G19</f>
        <v>-11683.809999999998</v>
      </c>
      <c r="I19" s="17">
        <f>H19</f>
        <v>-11683.809999999998</v>
      </c>
    </row>
    <row r="20" spans="1:9" x14ac:dyDescent="0.25">
      <c r="A20" s="73" t="s">
        <v>113</v>
      </c>
      <c r="B20" s="62" t="s">
        <v>37</v>
      </c>
      <c r="C20" s="74">
        <v>2.62</v>
      </c>
      <c r="D20" s="54"/>
      <c r="E20" s="141">
        <f>E19*33/100</f>
        <v>106518.0699</v>
      </c>
      <c r="F20" s="54">
        <f>F19*33%</f>
        <v>104099.391</v>
      </c>
      <c r="G20" s="54">
        <f t="shared" si="0"/>
        <v>106518.0699</v>
      </c>
      <c r="H20" s="55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75"/>
      <c r="E21" s="75">
        <f>E19*17%</f>
        <v>54872.945100000012</v>
      </c>
      <c r="F21" s="75">
        <f>F19*17%</f>
        <v>53626.959000000003</v>
      </c>
      <c r="G21" s="75">
        <f t="shared" si="0"/>
        <v>54872.945100000012</v>
      </c>
      <c r="H21" s="10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29"/>
      <c r="E22" s="75">
        <f>E19*20%</f>
        <v>64556.40600000001</v>
      </c>
      <c r="F22" s="75">
        <f>F19*20%</f>
        <v>63090.540000000008</v>
      </c>
      <c r="G22" s="29">
        <f t="shared" si="0"/>
        <v>64556.40600000001</v>
      </c>
      <c r="H22" s="142"/>
      <c r="I22" s="29"/>
    </row>
    <row r="23" spans="1:9" x14ac:dyDescent="0.25">
      <c r="A23" s="36" t="s">
        <v>42</v>
      </c>
      <c r="B23" s="9" t="s">
        <v>43</v>
      </c>
      <c r="C23" s="9">
        <v>2.39</v>
      </c>
      <c r="D23" s="29"/>
      <c r="E23" s="29">
        <f>E19*30%</f>
        <v>96834.609000000011</v>
      </c>
      <c r="F23" s="29">
        <f>F19*30%</f>
        <v>94635.81</v>
      </c>
      <c r="G23" s="39">
        <f t="shared" si="0"/>
        <v>96834.609000000011</v>
      </c>
      <c r="H23" s="40"/>
      <c r="I23" s="29"/>
    </row>
    <row r="24" spans="1:9" x14ac:dyDescent="0.25">
      <c r="A24" s="36" t="s">
        <v>44</v>
      </c>
      <c r="B24" s="10" t="s">
        <v>47</v>
      </c>
      <c r="C24" s="9">
        <v>0.59262000000000004</v>
      </c>
      <c r="D24" s="29"/>
      <c r="E24" s="10">
        <v>22858.02</v>
      </c>
      <c r="F24" s="9">
        <v>19004.04</v>
      </c>
      <c r="G24" s="10">
        <f>E24</f>
        <v>22858.02</v>
      </c>
      <c r="H24" s="9">
        <f>F24-E24</f>
        <v>-3853.9799999999996</v>
      </c>
      <c r="I24" s="9">
        <f>H24</f>
        <v>-3853.9799999999996</v>
      </c>
    </row>
    <row r="25" spans="1:9" x14ac:dyDescent="0.25">
      <c r="A25" s="12" t="s">
        <v>48</v>
      </c>
      <c r="B25" s="1" t="s">
        <v>49</v>
      </c>
      <c r="C25" s="12" t="s">
        <v>50</v>
      </c>
      <c r="D25" s="17">
        <v>-14054.73</v>
      </c>
      <c r="E25" s="108">
        <v>137087.97</v>
      </c>
      <c r="F25" s="117">
        <v>127534.65</v>
      </c>
      <c r="G25" s="17">
        <f t="shared" si="0"/>
        <v>137087.97</v>
      </c>
      <c r="H25" s="117">
        <f>D25+F25-G25</f>
        <v>-23608.050000000003</v>
      </c>
      <c r="I25" s="17">
        <f>H25</f>
        <v>-23608.050000000003</v>
      </c>
    </row>
    <row r="26" spans="1:9" x14ac:dyDescent="0.25">
      <c r="A26" s="25" t="s">
        <v>51</v>
      </c>
      <c r="B26" s="25" t="s">
        <v>216</v>
      </c>
      <c r="C26" s="68"/>
      <c r="D26" s="28"/>
      <c r="E26" s="129"/>
      <c r="F26" s="45"/>
      <c r="G26" s="26"/>
      <c r="H26" s="45"/>
      <c r="I26" s="44"/>
    </row>
    <row r="27" spans="1:9" x14ac:dyDescent="0.25">
      <c r="A27" s="12"/>
      <c r="B27" s="12" t="s">
        <v>551</v>
      </c>
      <c r="C27" s="78">
        <v>1.82</v>
      </c>
      <c r="D27" s="17">
        <v>287522.53999999998</v>
      </c>
      <c r="E27" s="12">
        <v>73709.19</v>
      </c>
      <c r="F27" s="12">
        <f>F28+F29</f>
        <v>74268.969999999987</v>
      </c>
      <c r="G27" s="14">
        <f>G28+G29</f>
        <v>12676.759999999998</v>
      </c>
      <c r="H27" s="17">
        <f>D27+F27-G27</f>
        <v>349114.74999999994</v>
      </c>
      <c r="I27" s="44"/>
    </row>
    <row r="28" spans="1:9" x14ac:dyDescent="0.25">
      <c r="A28" s="18"/>
      <c r="B28" s="6" t="s">
        <v>53</v>
      </c>
      <c r="C28" s="20"/>
      <c r="D28" s="16"/>
      <c r="E28" s="12">
        <v>0</v>
      </c>
      <c r="F28" s="12">
        <v>72040.039999999994</v>
      </c>
      <c r="G28" s="12">
        <f>I59</f>
        <v>12676.759999999998</v>
      </c>
      <c r="H28" s="16"/>
      <c r="I28" s="43"/>
    </row>
    <row r="29" spans="1:9" x14ac:dyDescent="0.25">
      <c r="A29" s="11"/>
      <c r="B29" s="9" t="s">
        <v>54</v>
      </c>
      <c r="C29" s="33"/>
      <c r="D29" s="34"/>
      <c r="E29" s="11">
        <v>0</v>
      </c>
      <c r="F29" s="41">
        <v>2228.9299999999998</v>
      </c>
      <c r="G29" s="133"/>
      <c r="H29" s="34"/>
      <c r="I29" s="43"/>
    </row>
    <row r="30" spans="1:9" x14ac:dyDescent="0.25">
      <c r="A30" s="18" t="s">
        <v>55</v>
      </c>
      <c r="B30" s="18" t="s">
        <v>146</v>
      </c>
      <c r="C30" s="5"/>
      <c r="D30" s="59" t="s">
        <v>71</v>
      </c>
      <c r="E30" s="18"/>
      <c r="F30" s="18"/>
      <c r="G30" s="5" t="s">
        <v>147</v>
      </c>
      <c r="H30" s="59" t="s">
        <v>71</v>
      </c>
      <c r="I30" s="44" t="str">
        <f>H30</f>
        <v xml:space="preserve"> </v>
      </c>
    </row>
    <row r="31" spans="1:9" x14ac:dyDescent="0.25">
      <c r="A31" s="11"/>
      <c r="B31" s="11" t="s">
        <v>148</v>
      </c>
      <c r="C31" s="43"/>
      <c r="D31" s="11">
        <v>221593.36</v>
      </c>
      <c r="E31" s="9">
        <v>0</v>
      </c>
      <c r="F31" s="9">
        <f>F33</f>
        <v>0.01</v>
      </c>
      <c r="G31" s="41">
        <v>0</v>
      </c>
      <c r="H31" s="11">
        <f>D31+F31-G31</f>
        <v>221593.37</v>
      </c>
      <c r="I31" s="43"/>
    </row>
    <row r="32" spans="1:9" x14ac:dyDescent="0.25">
      <c r="A32" s="7"/>
      <c r="B32" s="62"/>
      <c r="C32" s="39"/>
      <c r="D32" s="42" t="s">
        <v>71</v>
      </c>
      <c r="E32" s="9"/>
      <c r="F32" s="9"/>
      <c r="G32" s="10"/>
      <c r="H32" s="8"/>
      <c r="I32" s="29"/>
    </row>
    <row r="33" spans="1:9" x14ac:dyDescent="0.25">
      <c r="A33" s="9"/>
      <c r="B33" s="62" t="s">
        <v>602</v>
      </c>
      <c r="C33" s="10"/>
      <c r="D33" s="8"/>
      <c r="E33" s="9">
        <v>0</v>
      </c>
      <c r="F33" s="9">
        <v>0.01</v>
      </c>
      <c r="G33" s="10">
        <v>0</v>
      </c>
      <c r="H33" s="8"/>
      <c r="I33" s="54"/>
    </row>
    <row r="34" spans="1:9" x14ac:dyDescent="0.25">
      <c r="A34" s="1" t="s">
        <v>58</v>
      </c>
      <c r="B34" s="1"/>
      <c r="C34" s="1"/>
      <c r="D34" s="47"/>
      <c r="E34" s="1"/>
      <c r="F34" s="1"/>
      <c r="G34" s="60"/>
      <c r="H34" s="60"/>
      <c r="I34" s="37"/>
    </row>
    <row r="35" spans="1:9" x14ac:dyDescent="0.25">
      <c r="A35" s="25" t="s">
        <v>197</v>
      </c>
      <c r="B35" s="58" t="s">
        <v>60</v>
      </c>
      <c r="C35" s="6" t="s">
        <v>64</v>
      </c>
      <c r="D35" s="49" t="s">
        <v>62</v>
      </c>
      <c r="E35" s="58" t="s">
        <v>63</v>
      </c>
      <c r="F35" s="6" t="s">
        <v>64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66</v>
      </c>
      <c r="D36" s="53" t="s">
        <v>23</v>
      </c>
      <c r="E36" s="74" t="s">
        <v>312</v>
      </c>
      <c r="F36" s="62" t="s">
        <v>30</v>
      </c>
      <c r="G36" s="62"/>
      <c r="H36" s="74"/>
      <c r="I36" s="53"/>
    </row>
    <row r="37" spans="1:9" x14ac:dyDescent="0.25">
      <c r="A37" s="12"/>
      <c r="B37" s="74" t="s">
        <v>68</v>
      </c>
      <c r="C37" s="29">
        <v>10900.5</v>
      </c>
      <c r="D37" s="53">
        <v>5553</v>
      </c>
      <c r="E37" s="79">
        <f>D37*15%</f>
        <v>832.94999999999993</v>
      </c>
      <c r="F37" s="54">
        <f>C37+(D37-E37)</f>
        <v>15620.55</v>
      </c>
      <c r="G37" s="54"/>
      <c r="H37" s="79">
        <f>F37</f>
        <v>15620.55</v>
      </c>
      <c r="I37" s="53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6" t="s">
        <v>71</v>
      </c>
      <c r="B39" s="48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253</v>
      </c>
      <c r="H39" s="58" t="s">
        <v>78</v>
      </c>
      <c r="I39" s="6" t="s">
        <v>19</v>
      </c>
    </row>
    <row r="40" spans="1:9" x14ac:dyDescent="0.25">
      <c r="A40" s="7"/>
      <c r="B40" s="51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201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62" t="s">
        <v>88</v>
      </c>
      <c r="H41" s="60"/>
      <c r="I41" s="7" t="s">
        <v>30</v>
      </c>
    </row>
    <row r="42" spans="1:9" x14ac:dyDescent="0.25">
      <c r="A42" s="9">
        <v>1</v>
      </c>
      <c r="B42" s="9" t="s">
        <v>90</v>
      </c>
      <c r="C42" s="41" t="s">
        <v>91</v>
      </c>
      <c r="D42" s="6">
        <v>-44248.73</v>
      </c>
      <c r="E42" s="65">
        <v>272414.64</v>
      </c>
      <c r="F42" s="9">
        <v>264893.26</v>
      </c>
      <c r="G42" s="65">
        <f>E42</f>
        <v>272414.64</v>
      </c>
      <c r="H42" s="9">
        <f>D42+F42-G42</f>
        <v>-51770.110000000015</v>
      </c>
      <c r="I42" s="6">
        <f>H42</f>
        <v>-51770.110000000015</v>
      </c>
    </row>
    <row r="43" spans="1:9" x14ac:dyDescent="0.25">
      <c r="A43" s="7"/>
      <c r="B43" s="7" t="s">
        <v>521</v>
      </c>
      <c r="C43" s="5" t="s">
        <v>93</v>
      </c>
      <c r="D43" s="6"/>
      <c r="E43" s="112"/>
      <c r="F43" s="7"/>
      <c r="G43" s="112"/>
      <c r="H43" s="7"/>
      <c r="I43" s="6"/>
    </row>
    <row r="44" spans="1:9" x14ac:dyDescent="0.25">
      <c r="A44" s="9">
        <v>2</v>
      </c>
      <c r="B44" s="9" t="s">
        <v>94</v>
      </c>
      <c r="C44" s="41" t="s">
        <v>95</v>
      </c>
      <c r="D44" s="9">
        <v>-119723.2</v>
      </c>
      <c r="E44" s="10">
        <v>473200.08</v>
      </c>
      <c r="F44" s="9">
        <v>452038.97</v>
      </c>
      <c r="G44" s="10">
        <f>E44</f>
        <v>473200.08</v>
      </c>
      <c r="H44" s="9">
        <f>D44+F44-G44</f>
        <v>-140884.31000000006</v>
      </c>
      <c r="I44" s="9">
        <f>H44</f>
        <v>-140884.31000000006</v>
      </c>
    </row>
    <row r="45" spans="1:9" x14ac:dyDescent="0.25">
      <c r="A45" s="9"/>
      <c r="B45" s="9" t="s">
        <v>96</v>
      </c>
      <c r="C45" s="41"/>
      <c r="D45" s="6" t="s">
        <v>71</v>
      </c>
      <c r="E45" s="10"/>
      <c r="F45" s="9"/>
      <c r="G45" s="10"/>
      <c r="H45" s="6" t="s">
        <v>71</v>
      </c>
      <c r="I45" s="6" t="str">
        <f>H45</f>
        <v xml:space="preserve"> </v>
      </c>
    </row>
    <row r="46" spans="1:9" x14ac:dyDescent="0.25">
      <c r="A46" s="9"/>
      <c r="B46" s="9" t="s">
        <v>521</v>
      </c>
      <c r="C46" s="5" t="s">
        <v>93</v>
      </c>
      <c r="D46" s="6"/>
      <c r="E46" s="10"/>
      <c r="F46" s="9"/>
      <c r="G46" s="10"/>
      <c r="H46" s="6"/>
      <c r="I46" s="6"/>
    </row>
    <row r="47" spans="1:9" x14ac:dyDescent="0.25">
      <c r="A47" s="9">
        <v>3</v>
      </c>
      <c r="B47" s="9" t="s">
        <v>98</v>
      </c>
      <c r="C47" s="41" t="s">
        <v>203</v>
      </c>
      <c r="D47" s="9">
        <v>-335844.56</v>
      </c>
      <c r="E47" s="10">
        <v>1184532.45</v>
      </c>
      <c r="F47" s="9">
        <v>1158751.2</v>
      </c>
      <c r="G47" s="10">
        <f>E47</f>
        <v>1184532.45</v>
      </c>
      <c r="H47" s="9">
        <f>D47+F47-G47</f>
        <v>-361625.81000000006</v>
      </c>
      <c r="I47" s="9">
        <f>H47</f>
        <v>-361625.81000000006</v>
      </c>
    </row>
    <row r="48" spans="1:9" x14ac:dyDescent="0.25">
      <c r="A48" s="1" t="s">
        <v>255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5" t="s">
        <v>256</v>
      </c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222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224</v>
      </c>
      <c r="G51" s="60"/>
      <c r="H51" s="61"/>
      <c r="I51" s="7" t="s">
        <v>108</v>
      </c>
    </row>
    <row r="52" spans="1:9" x14ac:dyDescent="0.25">
      <c r="A52" s="51"/>
      <c r="B52" s="7"/>
      <c r="C52" s="60"/>
      <c r="D52" s="60"/>
      <c r="E52" s="60"/>
      <c r="F52" s="51" t="s">
        <v>257</v>
      </c>
      <c r="G52" s="60"/>
      <c r="H52" s="61"/>
      <c r="I52" s="7"/>
    </row>
    <row r="53" spans="1:9" x14ac:dyDescent="0.25">
      <c r="A53" s="51"/>
      <c r="B53" s="62"/>
      <c r="C53" s="60"/>
      <c r="D53" s="60"/>
      <c r="E53" s="60"/>
      <c r="F53" s="51" t="s">
        <v>258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58"/>
      <c r="I54" s="6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/>
      <c r="H55" s="60" t="s">
        <v>71</v>
      </c>
      <c r="I55" s="7" t="s">
        <v>71</v>
      </c>
    </row>
    <row r="56" spans="1:9" x14ac:dyDescent="0.25">
      <c r="A56" s="69" t="s">
        <v>113</v>
      </c>
      <c r="B56" s="70">
        <v>43008</v>
      </c>
      <c r="C56" s="60" t="s">
        <v>603</v>
      </c>
      <c r="D56" s="60"/>
      <c r="E56" s="60"/>
      <c r="F56" s="51"/>
      <c r="G56" s="37">
        <f>I56/3501.5</f>
        <v>1.3858689133228617</v>
      </c>
      <c r="H56" s="60"/>
      <c r="I56" s="7">
        <v>4852.62</v>
      </c>
    </row>
    <row r="57" spans="1:9" x14ac:dyDescent="0.25">
      <c r="A57" s="69" t="s">
        <v>38</v>
      </c>
      <c r="B57" s="70">
        <v>43017</v>
      </c>
      <c r="C57" s="60" t="s">
        <v>604</v>
      </c>
      <c r="D57" s="60"/>
      <c r="E57" s="60"/>
      <c r="F57" s="51"/>
      <c r="G57" s="37">
        <f>I57/3501.5</f>
        <v>0.84864201056689992</v>
      </c>
      <c r="H57" s="60"/>
      <c r="I57" s="7">
        <v>2971.52</v>
      </c>
    </row>
    <row r="58" spans="1:9" x14ac:dyDescent="0.25">
      <c r="A58" s="69" t="s">
        <v>40</v>
      </c>
      <c r="B58" s="70" t="s">
        <v>605</v>
      </c>
      <c r="C58" s="60" t="s">
        <v>603</v>
      </c>
      <c r="D58" s="60"/>
      <c r="E58" s="60"/>
      <c r="F58" s="51"/>
      <c r="G58" s="37" t="s">
        <v>71</v>
      </c>
      <c r="H58" s="60"/>
      <c r="I58" s="7">
        <v>4852.62</v>
      </c>
    </row>
    <row r="59" spans="1:9" x14ac:dyDescent="0.25">
      <c r="A59" s="69"/>
      <c r="B59" s="7"/>
      <c r="C59" s="5" t="s">
        <v>118</v>
      </c>
      <c r="D59" s="5"/>
      <c r="E59" s="5"/>
      <c r="F59" s="59"/>
      <c r="G59" s="20">
        <v>2.2400000000000002</v>
      </c>
      <c r="H59" s="5"/>
      <c r="I59" s="12">
        <f>SUM(I56:I58)</f>
        <v>12676.759999999998</v>
      </c>
    </row>
    <row r="60" spans="1:9" x14ac:dyDescent="0.25">
      <c r="A60" s="6"/>
      <c r="B60" s="6"/>
      <c r="C60" s="48"/>
      <c r="D60" s="58"/>
      <c r="E60" s="49"/>
      <c r="F60" s="48"/>
      <c r="G60" s="86"/>
      <c r="H60" s="49"/>
      <c r="I60" s="133"/>
    </row>
    <row r="61" spans="1:9" x14ac:dyDescent="0.25">
      <c r="A61" s="6" t="s">
        <v>48</v>
      </c>
      <c r="B61" s="25" t="s">
        <v>119</v>
      </c>
      <c r="C61" s="57" t="s">
        <v>120</v>
      </c>
      <c r="D61" s="58"/>
      <c r="E61" s="49"/>
      <c r="F61" s="48" t="s">
        <v>121</v>
      </c>
      <c r="G61" s="58"/>
      <c r="H61" s="49"/>
      <c r="I61" s="6"/>
    </row>
    <row r="62" spans="1:9" x14ac:dyDescent="0.25">
      <c r="A62" s="73"/>
      <c r="B62" s="62" t="s">
        <v>119</v>
      </c>
      <c r="C62" s="52" t="s">
        <v>118</v>
      </c>
      <c r="D62" s="74"/>
      <c r="E62" s="53"/>
      <c r="F62" s="52" t="s">
        <v>71</v>
      </c>
      <c r="G62" s="74">
        <v>0</v>
      </c>
      <c r="H62" s="53"/>
      <c r="I62" s="62">
        <v>0</v>
      </c>
    </row>
    <row r="63" spans="1:9" x14ac:dyDescent="0.25">
      <c r="A63" s="2" t="s">
        <v>209</v>
      </c>
      <c r="B63" s="2"/>
      <c r="C63" s="2"/>
      <c r="D63" s="114" t="s">
        <v>606</v>
      </c>
      <c r="F63" s="2"/>
      <c r="G63" s="2" t="s">
        <v>607</v>
      </c>
      <c r="H63" s="2"/>
      <c r="I63" s="2" t="s">
        <v>263</v>
      </c>
    </row>
    <row r="64" spans="1:9" x14ac:dyDescent="0.25">
      <c r="A64" s="2"/>
      <c r="B64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="110" zoomScaleNormal="110" workbookViewId="0">
      <selection activeCell="B4" sqref="B4"/>
    </sheetView>
  </sheetViews>
  <sheetFormatPr defaultRowHeight="15" x14ac:dyDescent="0.25"/>
  <cols>
    <col min="1" max="1" width="5.5703125" style="3" customWidth="1"/>
    <col min="2" max="2" width="31" style="3" customWidth="1"/>
    <col min="3" max="3" width="15" style="3" customWidth="1"/>
    <col min="4" max="6" width="9.140625" style="3"/>
    <col min="7" max="7" width="11.28515625" style="3" customWidth="1"/>
    <col min="8" max="8" width="12.140625" style="3" customWidth="1"/>
    <col min="9" max="9" width="17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608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609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610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611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157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57"/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17">
        <v>-63838.8</v>
      </c>
      <c r="E19" s="17">
        <v>393706.4</v>
      </c>
      <c r="F19" s="14">
        <v>394831.58</v>
      </c>
      <c r="G19" s="17">
        <f t="shared" ref="G19:G27" si="0">E19</f>
        <v>393706.4</v>
      </c>
      <c r="H19" s="16">
        <f>D19+F19-G19</f>
        <v>-62713.619999999995</v>
      </c>
      <c r="I19" s="17">
        <f>H19</f>
        <v>-62713.619999999995</v>
      </c>
    </row>
    <row r="20" spans="1:9" x14ac:dyDescent="0.25">
      <c r="A20" s="73" t="s">
        <v>113</v>
      </c>
      <c r="B20" s="62" t="s">
        <v>37</v>
      </c>
      <c r="C20" s="74">
        <v>2.62</v>
      </c>
      <c r="D20" s="54"/>
      <c r="E20" s="141">
        <f>E19*33%</f>
        <v>129923.11200000001</v>
      </c>
      <c r="F20" s="54">
        <f>F19*33%</f>
        <v>130294.42140000001</v>
      </c>
      <c r="G20" s="54">
        <f t="shared" si="0"/>
        <v>129923.11200000001</v>
      </c>
      <c r="H20" s="55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75"/>
      <c r="E21" s="75">
        <f>E19*17%</f>
        <v>66930.088000000003</v>
      </c>
      <c r="F21" s="75">
        <f>F19*17%</f>
        <v>67121.368600000002</v>
      </c>
      <c r="G21" s="75">
        <f t="shared" si="0"/>
        <v>66930.088000000003</v>
      </c>
      <c r="H21" s="10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75"/>
      <c r="E22" s="75">
        <f>E19*20%</f>
        <v>78741.280000000013</v>
      </c>
      <c r="F22" s="75">
        <f>F19*20%</f>
        <v>78966.316000000006</v>
      </c>
      <c r="G22" s="75">
        <f t="shared" si="0"/>
        <v>78741.280000000013</v>
      </c>
      <c r="H22" s="110"/>
      <c r="I22" s="75"/>
    </row>
    <row r="23" spans="1:9" x14ac:dyDescent="0.25">
      <c r="A23" s="36" t="s">
        <v>42</v>
      </c>
      <c r="B23" s="9" t="s">
        <v>43</v>
      </c>
      <c r="C23" s="10">
        <v>2.39</v>
      </c>
      <c r="D23" s="29"/>
      <c r="E23" s="29">
        <f>E19*30%</f>
        <v>118111.92</v>
      </c>
      <c r="F23" s="29">
        <f>F19*30%</f>
        <v>118449.474</v>
      </c>
      <c r="G23" s="39">
        <f t="shared" si="0"/>
        <v>118111.92</v>
      </c>
      <c r="H23" s="40"/>
      <c r="I23" s="29"/>
    </row>
    <row r="24" spans="1:9" x14ac:dyDescent="0.25">
      <c r="A24" s="36" t="s">
        <v>44</v>
      </c>
      <c r="B24" s="9" t="s">
        <v>47</v>
      </c>
      <c r="C24" s="10">
        <v>3.2579500000000001</v>
      </c>
      <c r="D24" s="29"/>
      <c r="E24" s="9">
        <v>142801.17000000001</v>
      </c>
      <c r="F24" s="50">
        <v>123372.69</v>
      </c>
      <c r="G24" s="10">
        <f>E24</f>
        <v>142801.17000000001</v>
      </c>
      <c r="H24" s="9">
        <f>F24-E24</f>
        <v>-19428.48000000001</v>
      </c>
      <c r="I24" s="50">
        <f>H24</f>
        <v>-19428.48000000001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3">
        <v>-22629.32</v>
      </c>
      <c r="E25" s="11">
        <v>167090.19</v>
      </c>
      <c r="F25" s="11">
        <v>160063.19</v>
      </c>
      <c r="G25" s="41">
        <f t="shared" si="0"/>
        <v>167090.19</v>
      </c>
      <c r="H25" s="42">
        <f>D25+F25-G25</f>
        <v>-29656.320000000007</v>
      </c>
      <c r="I25" s="43">
        <f>H25</f>
        <v>-29656.320000000007</v>
      </c>
    </row>
    <row r="26" spans="1:9" x14ac:dyDescent="0.25">
      <c r="A26" s="11" t="s">
        <v>51</v>
      </c>
      <c r="B26" s="11" t="s">
        <v>194</v>
      </c>
      <c r="C26" s="11">
        <v>0.92</v>
      </c>
      <c r="D26" s="43">
        <v>38.74</v>
      </c>
      <c r="E26" s="121">
        <v>45413.279999999999</v>
      </c>
      <c r="F26" s="33">
        <v>45495.58</v>
      </c>
      <c r="G26" s="43">
        <f t="shared" si="0"/>
        <v>45413.279999999999</v>
      </c>
      <c r="H26" s="33">
        <f>D26+F26-G26</f>
        <v>121.04000000000087</v>
      </c>
      <c r="I26" s="43"/>
    </row>
    <row r="27" spans="1:9" x14ac:dyDescent="0.25">
      <c r="A27" s="11" t="s">
        <v>55</v>
      </c>
      <c r="B27" s="1" t="s">
        <v>143</v>
      </c>
      <c r="C27" s="11">
        <v>3.15</v>
      </c>
      <c r="D27" s="43">
        <v>-36720.550000000003</v>
      </c>
      <c r="E27" s="108">
        <v>154875.75</v>
      </c>
      <c r="F27" s="117">
        <v>154901.82</v>
      </c>
      <c r="G27" s="44">
        <f t="shared" si="0"/>
        <v>154875.75</v>
      </c>
      <c r="H27" s="117">
        <f>D27+F27-G27</f>
        <v>-36694.479999999996</v>
      </c>
      <c r="I27" s="43">
        <f>H27</f>
        <v>-36694.479999999996</v>
      </c>
    </row>
    <row r="28" spans="1:9" x14ac:dyDescent="0.25">
      <c r="A28" s="25" t="s">
        <v>59</v>
      </c>
      <c r="B28" s="25" t="s">
        <v>216</v>
      </c>
      <c r="C28" s="68"/>
      <c r="D28" s="25"/>
      <c r="E28" s="25"/>
      <c r="F28" s="57"/>
      <c r="G28" s="25"/>
      <c r="H28" s="68"/>
      <c r="I28" s="44"/>
    </row>
    <row r="29" spans="1:9" x14ac:dyDescent="0.25">
      <c r="A29" s="12"/>
      <c r="B29" s="12" t="s">
        <v>217</v>
      </c>
      <c r="C29" s="14">
        <v>1.82</v>
      </c>
      <c r="D29" s="12">
        <v>7601.25</v>
      </c>
      <c r="E29" s="12">
        <v>89839.08</v>
      </c>
      <c r="F29" s="15">
        <f>F30+F31</f>
        <v>90458.400000000009</v>
      </c>
      <c r="G29" s="12">
        <f>I62</f>
        <v>16800</v>
      </c>
      <c r="H29" s="14">
        <f>D29+F29-G29</f>
        <v>81259.650000000009</v>
      </c>
      <c r="I29" s="17" t="s">
        <v>71</v>
      </c>
    </row>
    <row r="30" spans="1:9" x14ac:dyDescent="0.25">
      <c r="A30" s="12"/>
      <c r="B30" s="9" t="s">
        <v>53</v>
      </c>
      <c r="C30" s="14"/>
      <c r="D30" s="15"/>
      <c r="E30" s="12"/>
      <c r="F30" s="15">
        <v>90218.16</v>
      </c>
      <c r="G30" s="12"/>
      <c r="H30" s="14"/>
      <c r="I30" s="43"/>
    </row>
    <row r="31" spans="1:9" x14ac:dyDescent="0.25">
      <c r="A31" s="12"/>
      <c r="B31" s="9" t="s">
        <v>54</v>
      </c>
      <c r="C31" s="14"/>
      <c r="D31" s="15"/>
      <c r="E31" s="12"/>
      <c r="F31" s="15">
        <v>240.24</v>
      </c>
      <c r="G31" s="12"/>
      <c r="H31" s="14"/>
      <c r="I31" s="43"/>
    </row>
    <row r="32" spans="1:9" x14ac:dyDescent="0.25">
      <c r="A32" s="12" t="s">
        <v>196</v>
      </c>
      <c r="B32" s="12" t="s">
        <v>146</v>
      </c>
      <c r="C32" s="14"/>
      <c r="D32" s="15" t="s">
        <v>71</v>
      </c>
      <c r="E32" s="12"/>
      <c r="F32" s="12"/>
      <c r="G32" s="14" t="s">
        <v>147</v>
      </c>
      <c r="H32" s="12" t="s">
        <v>71</v>
      </c>
      <c r="I32" s="45" t="str">
        <f>H32</f>
        <v xml:space="preserve"> </v>
      </c>
    </row>
    <row r="33" spans="1:9" x14ac:dyDescent="0.25">
      <c r="A33" s="11"/>
      <c r="B33" s="11" t="s">
        <v>408</v>
      </c>
      <c r="C33" s="43">
        <v>0</v>
      </c>
      <c r="D33" s="42">
        <v>236031.66</v>
      </c>
      <c r="E33" s="11">
        <v>0</v>
      </c>
      <c r="F33" s="11">
        <f>F34-F35</f>
        <v>111.75</v>
      </c>
      <c r="G33" s="41">
        <f>G34</f>
        <v>0</v>
      </c>
      <c r="H33" s="42">
        <f>D33+F33-G33</f>
        <v>236143.41</v>
      </c>
      <c r="I33" s="43"/>
    </row>
    <row r="34" spans="1:9" x14ac:dyDescent="0.25">
      <c r="A34" s="9"/>
      <c r="B34" s="9" t="s">
        <v>53</v>
      </c>
      <c r="C34" s="39">
        <v>0</v>
      </c>
      <c r="D34" s="8"/>
      <c r="E34" s="9">
        <v>0</v>
      </c>
      <c r="F34" s="9">
        <v>111.75</v>
      </c>
      <c r="G34" s="10">
        <f>I66</f>
        <v>0</v>
      </c>
      <c r="H34" s="8"/>
      <c r="I34" s="29"/>
    </row>
    <row r="35" spans="1:9" x14ac:dyDescent="0.25">
      <c r="A35" s="9"/>
      <c r="B35" s="11"/>
      <c r="C35" s="10"/>
      <c r="D35" s="8"/>
      <c r="E35" s="9"/>
      <c r="F35" s="46"/>
      <c r="G35" s="10"/>
      <c r="H35" s="8"/>
      <c r="I35" s="54"/>
    </row>
    <row r="36" spans="1:9" x14ac:dyDescent="0.25">
      <c r="A36" s="9"/>
      <c r="B36" s="41" t="s">
        <v>612</v>
      </c>
      <c r="C36" s="9"/>
      <c r="D36" s="10"/>
      <c r="E36" s="9"/>
      <c r="F36" s="41"/>
      <c r="G36" s="9"/>
      <c r="H36" s="9"/>
      <c r="I36" s="35"/>
    </row>
    <row r="37" spans="1:9" x14ac:dyDescent="0.25">
      <c r="A37" s="1" t="s">
        <v>58</v>
      </c>
      <c r="B37" s="1"/>
      <c r="C37" s="1"/>
      <c r="D37" s="47"/>
      <c r="E37" s="1"/>
      <c r="F37" s="2"/>
      <c r="G37" s="2"/>
      <c r="H37" s="2"/>
      <c r="I37" s="2"/>
    </row>
    <row r="38" spans="1:9" x14ac:dyDescent="0.25">
      <c r="A38" s="1"/>
      <c r="B38" s="1"/>
      <c r="C38" s="1"/>
      <c r="D38" s="47"/>
      <c r="E38" s="1"/>
      <c r="F38" s="2"/>
      <c r="G38" s="2"/>
      <c r="H38" s="2"/>
      <c r="I38" s="2"/>
    </row>
    <row r="39" spans="1:9" x14ac:dyDescent="0.25">
      <c r="A39" s="25" t="s">
        <v>197</v>
      </c>
      <c r="B39" s="58" t="s">
        <v>60</v>
      </c>
      <c r="C39" s="6" t="s">
        <v>64</v>
      </c>
      <c r="D39" s="49" t="s">
        <v>62</v>
      </c>
      <c r="E39" s="58" t="s">
        <v>63</v>
      </c>
      <c r="F39" s="6" t="s">
        <v>64</v>
      </c>
      <c r="G39" s="6"/>
      <c r="H39" s="58" t="s">
        <v>199</v>
      </c>
      <c r="I39" s="49"/>
    </row>
    <row r="40" spans="1:9" x14ac:dyDescent="0.25">
      <c r="A40" s="7"/>
      <c r="B40" s="60"/>
      <c r="C40" s="62" t="s">
        <v>66</v>
      </c>
      <c r="D40" s="53" t="s">
        <v>23</v>
      </c>
      <c r="E40" s="74" t="s">
        <v>312</v>
      </c>
      <c r="F40" s="62" t="s">
        <v>30</v>
      </c>
      <c r="G40" s="62"/>
      <c r="H40" s="74"/>
      <c r="I40" s="53"/>
    </row>
    <row r="41" spans="1:9" x14ac:dyDescent="0.25">
      <c r="A41" s="12"/>
      <c r="B41" s="74" t="s">
        <v>68</v>
      </c>
      <c r="C41" s="29">
        <v>10900.5</v>
      </c>
      <c r="D41" s="53">
        <v>5553</v>
      </c>
      <c r="E41" s="79">
        <f>D41*15%</f>
        <v>832.94999999999993</v>
      </c>
      <c r="F41" s="54">
        <f>C41+(D41-E41)</f>
        <v>15620.55</v>
      </c>
      <c r="G41" s="54"/>
      <c r="H41" s="79">
        <f>F41</f>
        <v>15620.55</v>
      </c>
      <c r="I41" s="53"/>
    </row>
    <row r="42" spans="1:9" x14ac:dyDescent="0.25">
      <c r="A42" s="1" t="s">
        <v>252</v>
      </c>
      <c r="B42" s="1"/>
      <c r="C42" s="1"/>
      <c r="D42" s="47"/>
      <c r="E42" s="1"/>
      <c r="F42" s="1"/>
      <c r="G42" s="1"/>
      <c r="H42" s="1"/>
      <c r="I42" s="1"/>
    </row>
    <row r="43" spans="1:9" x14ac:dyDescent="0.25">
      <c r="A43" s="6" t="s">
        <v>71</v>
      </c>
      <c r="B43" s="48" t="s">
        <v>72</v>
      </c>
      <c r="C43" s="6" t="s">
        <v>73</v>
      </c>
      <c r="D43" s="58" t="s">
        <v>74</v>
      </c>
      <c r="E43" s="6" t="s">
        <v>75</v>
      </c>
      <c r="F43" s="58" t="s">
        <v>76</v>
      </c>
      <c r="G43" s="6" t="s">
        <v>253</v>
      </c>
      <c r="H43" s="6" t="s">
        <v>78</v>
      </c>
      <c r="I43" s="6" t="s">
        <v>19</v>
      </c>
    </row>
    <row r="44" spans="1:9" x14ac:dyDescent="0.25">
      <c r="A44" s="7"/>
      <c r="B44" s="51" t="s">
        <v>79</v>
      </c>
      <c r="C44" s="7" t="s">
        <v>80</v>
      </c>
      <c r="D44" s="60" t="s">
        <v>81</v>
      </c>
      <c r="E44" s="7" t="s">
        <v>82</v>
      </c>
      <c r="F44" s="60" t="s">
        <v>83</v>
      </c>
      <c r="G44" s="7" t="s">
        <v>84</v>
      </c>
      <c r="H44" s="7" t="s">
        <v>85</v>
      </c>
      <c r="I44" s="7" t="s">
        <v>86</v>
      </c>
    </row>
    <row r="45" spans="1:9" x14ac:dyDescent="0.25">
      <c r="A45" s="62"/>
      <c r="B45" s="52"/>
      <c r="C45" s="62"/>
      <c r="D45" s="74"/>
      <c r="E45" s="62"/>
      <c r="F45" s="74" t="s">
        <v>87</v>
      </c>
      <c r="G45" s="62" t="s">
        <v>88</v>
      </c>
      <c r="H45" s="62"/>
      <c r="I45" s="62" t="s">
        <v>30</v>
      </c>
    </row>
    <row r="46" spans="1:9" x14ac:dyDescent="0.25">
      <c r="A46" s="7">
        <v>1</v>
      </c>
      <c r="B46" s="7" t="s">
        <v>90</v>
      </c>
      <c r="C46" s="5" t="s">
        <v>91</v>
      </c>
      <c r="D46" s="7">
        <v>-30322.720000000001</v>
      </c>
      <c r="E46" s="112">
        <v>301243.39</v>
      </c>
      <c r="F46" s="7">
        <v>287470.15000000002</v>
      </c>
      <c r="G46" s="112">
        <f>E46</f>
        <v>301243.39</v>
      </c>
      <c r="H46" s="7">
        <f>D46+F46-G46</f>
        <v>-44095.959999999992</v>
      </c>
      <c r="I46" s="61">
        <f>H46</f>
        <v>-44095.959999999992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9"/>
      <c r="G47" s="65"/>
      <c r="H47" s="9"/>
      <c r="I47" s="50"/>
    </row>
    <row r="48" spans="1:9" x14ac:dyDescent="0.25">
      <c r="A48" s="7">
        <v>2</v>
      </c>
      <c r="B48" s="7" t="s">
        <v>94</v>
      </c>
      <c r="C48" s="1" t="s">
        <v>95</v>
      </c>
      <c r="D48" s="7">
        <v>-128397.03</v>
      </c>
      <c r="E48" s="2">
        <v>471886.39</v>
      </c>
      <c r="F48" s="7">
        <v>423257.54</v>
      </c>
      <c r="G48" s="2">
        <f>E48</f>
        <v>471886.39</v>
      </c>
      <c r="H48" s="22">
        <f>D48+F48-G48</f>
        <v>-177025.88</v>
      </c>
      <c r="I48" s="61">
        <f>H48</f>
        <v>-177025.88</v>
      </c>
    </row>
    <row r="49" spans="1:9" x14ac:dyDescent="0.25">
      <c r="A49" s="9"/>
      <c r="B49" s="9" t="s">
        <v>96</v>
      </c>
      <c r="C49" s="41"/>
      <c r="D49" s="9" t="s">
        <v>71</v>
      </c>
      <c r="E49" s="10"/>
      <c r="F49" s="9"/>
      <c r="G49" s="10"/>
      <c r="H49" s="6" t="s">
        <v>71</v>
      </c>
      <c r="I49" s="49" t="str">
        <f>H49</f>
        <v xml:space="preserve"> </v>
      </c>
    </row>
    <row r="50" spans="1:9" x14ac:dyDescent="0.25">
      <c r="A50" s="9"/>
      <c r="B50" s="9" t="s">
        <v>313</v>
      </c>
      <c r="C50" s="41" t="s">
        <v>93</v>
      </c>
      <c r="D50" s="9"/>
      <c r="E50" s="10"/>
      <c r="F50" s="9"/>
      <c r="G50" s="10"/>
      <c r="H50" s="6"/>
      <c r="I50" s="49"/>
    </row>
    <row r="51" spans="1:9" x14ac:dyDescent="0.25">
      <c r="A51" s="9">
        <v>3</v>
      </c>
      <c r="B51" s="9" t="s">
        <v>98</v>
      </c>
      <c r="C51" s="41" t="s">
        <v>613</v>
      </c>
      <c r="D51" s="9">
        <v>-550391.17000000004</v>
      </c>
      <c r="E51" s="10">
        <v>1443647.77</v>
      </c>
      <c r="F51" s="9">
        <v>1444148.31</v>
      </c>
      <c r="G51" s="10">
        <f>E51</f>
        <v>1443647.77</v>
      </c>
      <c r="H51" s="9">
        <f>D51+F51-G51</f>
        <v>-549890.63</v>
      </c>
      <c r="I51" s="9">
        <f>H51</f>
        <v>-549890.63</v>
      </c>
    </row>
    <row r="52" spans="1:9" x14ac:dyDescent="0.25">
      <c r="A52" s="1" t="s">
        <v>255</v>
      </c>
      <c r="B52" s="1"/>
      <c r="C52" s="1"/>
      <c r="D52" s="1"/>
      <c r="E52" s="1"/>
      <c r="F52" s="1"/>
      <c r="G52" s="1"/>
      <c r="H52" s="1"/>
      <c r="I52" s="2"/>
    </row>
    <row r="53" spans="1:9" x14ac:dyDescent="0.25">
      <c r="A53" s="5" t="s">
        <v>256</v>
      </c>
      <c r="B53" s="1"/>
      <c r="C53" s="1"/>
      <c r="D53" s="1"/>
      <c r="E53" s="1"/>
      <c r="F53" s="1"/>
      <c r="G53" s="1"/>
      <c r="H53" s="1"/>
      <c r="I53" s="2"/>
    </row>
    <row r="54" spans="1:9" x14ac:dyDescent="0.25">
      <c r="A54" s="48" t="s">
        <v>12</v>
      </c>
      <c r="B54" s="6" t="s">
        <v>221</v>
      </c>
      <c r="C54" s="58" t="s">
        <v>103</v>
      </c>
      <c r="D54" s="58"/>
      <c r="E54" s="58"/>
      <c r="F54" s="48" t="s">
        <v>222</v>
      </c>
      <c r="G54" s="58"/>
      <c r="H54" s="49"/>
      <c r="I54" s="6" t="s">
        <v>105</v>
      </c>
    </row>
    <row r="55" spans="1:9" x14ac:dyDescent="0.25">
      <c r="A55" s="51" t="s">
        <v>106</v>
      </c>
      <c r="B55" s="7" t="s">
        <v>223</v>
      </c>
      <c r="C55" s="60"/>
      <c r="D55" s="60"/>
      <c r="E55" s="60"/>
      <c r="F55" s="51" t="s">
        <v>224</v>
      </c>
      <c r="G55" s="60"/>
      <c r="H55" s="61"/>
      <c r="I55" s="7" t="s">
        <v>108</v>
      </c>
    </row>
    <row r="56" spans="1:9" x14ac:dyDescent="0.25">
      <c r="A56" s="51"/>
      <c r="B56" s="7"/>
      <c r="C56" s="60"/>
      <c r="D56" s="60"/>
      <c r="E56" s="60"/>
      <c r="F56" s="51" t="s">
        <v>257</v>
      </c>
      <c r="G56" s="60"/>
      <c r="H56" s="61"/>
      <c r="I56" s="7"/>
    </row>
    <row r="57" spans="1:9" x14ac:dyDescent="0.25">
      <c r="A57" s="51"/>
      <c r="B57" s="62"/>
      <c r="C57" s="60"/>
      <c r="D57" s="60"/>
      <c r="E57" s="60"/>
      <c r="F57" s="51" t="s">
        <v>258</v>
      </c>
      <c r="G57" s="60"/>
      <c r="H57" s="61"/>
      <c r="I57" s="7"/>
    </row>
    <row r="58" spans="1:9" x14ac:dyDescent="0.25">
      <c r="A58" s="178" t="s">
        <v>110</v>
      </c>
      <c r="B58" s="25"/>
      <c r="C58" s="57" t="s">
        <v>111</v>
      </c>
      <c r="D58" s="68"/>
      <c r="E58" s="72"/>
      <c r="F58" s="58"/>
      <c r="G58" s="58"/>
      <c r="H58" s="58"/>
      <c r="I58" s="6"/>
    </row>
    <row r="59" spans="1:9" x14ac:dyDescent="0.25">
      <c r="A59" s="187"/>
      <c r="B59" s="18"/>
      <c r="C59" s="51" t="s">
        <v>112</v>
      </c>
      <c r="D59" s="60"/>
      <c r="E59" s="61"/>
      <c r="F59" s="60"/>
      <c r="G59" s="37"/>
      <c r="H59" s="60"/>
      <c r="I59" s="7"/>
    </row>
    <row r="60" spans="1:9" x14ac:dyDescent="0.25">
      <c r="A60" s="188" t="s">
        <v>113</v>
      </c>
      <c r="B60" s="70">
        <v>42851</v>
      </c>
      <c r="C60" s="51" t="s">
        <v>114</v>
      </c>
      <c r="D60" s="60"/>
      <c r="E60" s="61"/>
      <c r="F60" s="60"/>
      <c r="G60" s="37">
        <f>I60/4124.5</f>
        <v>4.0732209964844222</v>
      </c>
      <c r="H60" s="60"/>
      <c r="I60" s="7">
        <v>16800</v>
      </c>
    </row>
    <row r="61" spans="1:9" x14ac:dyDescent="0.25">
      <c r="A61" s="188" t="s">
        <v>71</v>
      </c>
      <c r="B61" s="70"/>
      <c r="C61" s="51"/>
      <c r="D61" s="60"/>
      <c r="E61" s="61"/>
      <c r="F61" s="60"/>
      <c r="G61" s="37" t="s">
        <v>71</v>
      </c>
      <c r="H61" s="60"/>
      <c r="I61" s="7"/>
    </row>
    <row r="62" spans="1:9" x14ac:dyDescent="0.25">
      <c r="B62" s="62"/>
      <c r="C62" s="15" t="s">
        <v>118</v>
      </c>
      <c r="D62" s="14"/>
      <c r="E62" s="85"/>
      <c r="F62" s="5"/>
      <c r="G62" s="20">
        <f>SUM(G60:G61)</f>
        <v>4.0732209964844222</v>
      </c>
      <c r="H62" s="5"/>
      <c r="I62" s="17">
        <f>SUM(I60:I61)</f>
        <v>16800</v>
      </c>
    </row>
    <row r="63" spans="1:9" x14ac:dyDescent="0.25">
      <c r="A63" s="6"/>
      <c r="B63" s="6"/>
      <c r="C63" s="48"/>
      <c r="D63" s="58"/>
      <c r="E63" s="49"/>
      <c r="F63" s="48"/>
      <c r="G63" s="86"/>
      <c r="H63" s="49"/>
    </row>
    <row r="64" spans="1:9" x14ac:dyDescent="0.25">
      <c r="A64" s="6" t="s">
        <v>48</v>
      </c>
      <c r="B64" s="25" t="s">
        <v>119</v>
      </c>
      <c r="C64" s="57" t="s">
        <v>120</v>
      </c>
      <c r="D64" s="58"/>
      <c r="E64" s="49"/>
      <c r="F64" s="48" t="s">
        <v>121</v>
      </c>
      <c r="G64" s="58"/>
      <c r="H64" s="49"/>
      <c r="I64" s="6"/>
    </row>
    <row r="65" spans="1:9" x14ac:dyDescent="0.25">
      <c r="A65" s="69" t="s">
        <v>71</v>
      </c>
      <c r="B65" s="70"/>
      <c r="C65" s="60"/>
      <c r="D65" s="60"/>
      <c r="E65" s="5"/>
      <c r="F65" s="51"/>
      <c r="G65" s="37">
        <f>I65/4113.3</f>
        <v>0</v>
      </c>
      <c r="H65" s="61"/>
      <c r="I65" s="7"/>
    </row>
    <row r="66" spans="1:9" x14ac:dyDescent="0.25">
      <c r="A66" s="73"/>
      <c r="B66" s="62" t="s">
        <v>119</v>
      </c>
      <c r="C66" s="15" t="s">
        <v>118</v>
      </c>
      <c r="D66" s="14"/>
      <c r="E66" s="85"/>
      <c r="F66" s="15" t="s">
        <v>71</v>
      </c>
      <c r="G66" s="78">
        <f>G65</f>
        <v>0</v>
      </c>
      <c r="H66" s="85"/>
      <c r="I66" s="12">
        <f>I65</f>
        <v>0</v>
      </c>
    </row>
    <row r="67" spans="1:9" x14ac:dyDescent="0.25">
      <c r="A67" s="2" t="s">
        <v>614</v>
      </c>
      <c r="B67" s="2"/>
      <c r="C67" s="2"/>
      <c r="D67" s="114" t="s">
        <v>123</v>
      </c>
      <c r="F67" s="2" t="s">
        <v>124</v>
      </c>
      <c r="G67" s="2" t="s">
        <v>262</v>
      </c>
      <c r="H67" s="2"/>
      <c r="I67" s="2" t="s">
        <v>263</v>
      </c>
    </row>
    <row r="68" spans="1:9" x14ac:dyDescent="0.25">
      <c r="A68" s="2"/>
      <c r="B68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110" zoomScaleNormal="110" workbookViewId="0">
      <selection activeCell="G52" sqref="G52:G60"/>
    </sheetView>
  </sheetViews>
  <sheetFormatPr defaultRowHeight="15" x14ac:dyDescent="0.25"/>
  <cols>
    <col min="1" max="1" width="3.7109375" style="3" customWidth="1"/>
    <col min="2" max="2" width="36.5703125" style="3" customWidth="1"/>
    <col min="3" max="3" width="15.28515625" style="3" customWidth="1"/>
    <col min="4" max="4" width="9.140625" style="3"/>
    <col min="5" max="5" width="11.42578125" style="3" customWidth="1"/>
    <col min="6" max="6" width="9.140625" style="3"/>
    <col min="7" max="7" width="12.5703125" style="3" customWidth="1"/>
    <col min="8" max="8" width="9.140625" style="3"/>
    <col min="9" max="9" width="18.4257812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4"/>
      <c r="J2" s="11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2"/>
      <c r="J3" s="118"/>
    </row>
    <row r="4" spans="1:10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  <c r="J4" s="118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118"/>
    </row>
    <row r="6" spans="1:10" x14ac:dyDescent="0.25">
      <c r="A6" s="1" t="s">
        <v>615</v>
      </c>
      <c r="B6" s="2"/>
      <c r="C6" s="2"/>
      <c r="D6" s="2"/>
      <c r="E6" s="2"/>
      <c r="F6" s="2"/>
      <c r="G6" s="2"/>
      <c r="H6" s="2"/>
      <c r="I6" s="2"/>
      <c r="J6" s="118"/>
    </row>
    <row r="7" spans="1:10" x14ac:dyDescent="0.25">
      <c r="A7" s="2" t="s">
        <v>616</v>
      </c>
      <c r="B7" s="2"/>
      <c r="C7" s="2"/>
      <c r="D7" s="2"/>
      <c r="E7" s="2"/>
      <c r="F7" s="2"/>
      <c r="G7" s="2"/>
      <c r="H7" s="2"/>
      <c r="I7" s="2"/>
      <c r="J7" s="118"/>
    </row>
    <row r="8" spans="1:10" x14ac:dyDescent="0.25">
      <c r="A8" s="2" t="s">
        <v>617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1"/>
      <c r="B10" s="1"/>
      <c r="C10" s="1"/>
      <c r="D10" s="1" t="s">
        <v>247</v>
      </c>
      <c r="E10" s="1"/>
      <c r="F10" s="1"/>
      <c r="G10" s="1"/>
      <c r="H10" s="1"/>
      <c r="I10" s="1"/>
      <c r="J10" s="118"/>
    </row>
    <row r="11" spans="1:10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18"/>
    </row>
    <row r="12" spans="1:10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  <c r="J12" s="118"/>
    </row>
    <row r="13" spans="1:10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  <c r="J13" s="118"/>
    </row>
    <row r="14" spans="1:10" x14ac:dyDescent="0.25">
      <c r="A14" s="7" t="s">
        <v>20</v>
      </c>
      <c r="B14" s="7"/>
      <c r="C14" s="7" t="s">
        <v>21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  <c r="J14" s="118"/>
    </row>
    <row r="15" spans="1:10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  <c r="J15" s="118"/>
    </row>
    <row r="16" spans="1:10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618</v>
      </c>
      <c r="J16" s="118"/>
    </row>
    <row r="17" spans="1:10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  <c r="J17" s="118"/>
    </row>
    <row r="18" spans="1:10" x14ac:dyDescent="0.25">
      <c r="A18" s="11">
        <v>1</v>
      </c>
      <c r="B18" s="12" t="s">
        <v>323</v>
      </c>
      <c r="C18" s="12">
        <v>7.97</v>
      </c>
      <c r="D18" s="17">
        <v>-184417.72</v>
      </c>
      <c r="E18" s="17">
        <v>1089375.48</v>
      </c>
      <c r="F18" s="14">
        <v>1088746.48</v>
      </c>
      <c r="G18" s="17">
        <f t="shared" ref="G18:G26" si="0">E18</f>
        <v>1089375.48</v>
      </c>
      <c r="H18" s="16">
        <f>D18+F18-G18</f>
        <v>-185046.71999999997</v>
      </c>
      <c r="I18" s="17">
        <f>H18</f>
        <v>-185046.71999999997</v>
      </c>
      <c r="J18" s="118"/>
    </row>
    <row r="19" spans="1:10" x14ac:dyDescent="0.25">
      <c r="A19" s="7" t="s">
        <v>36</v>
      </c>
      <c r="B19" s="62" t="s">
        <v>37</v>
      </c>
      <c r="C19" s="74">
        <v>2.62</v>
      </c>
      <c r="D19" s="55"/>
      <c r="E19" s="141">
        <f>E18*33%</f>
        <v>359493.90840000001</v>
      </c>
      <c r="F19" s="54">
        <f>F18*33%</f>
        <v>359286.33840000001</v>
      </c>
      <c r="G19" s="54">
        <f t="shared" si="0"/>
        <v>359493.90840000001</v>
      </c>
      <c r="H19" s="55"/>
      <c r="I19" s="54"/>
      <c r="J19" s="118"/>
    </row>
    <row r="20" spans="1:10" x14ac:dyDescent="0.25">
      <c r="A20" s="24" t="s">
        <v>38</v>
      </c>
      <c r="B20" s="6" t="s">
        <v>39</v>
      </c>
      <c r="C20" s="58">
        <v>1.33</v>
      </c>
      <c r="D20" s="105"/>
      <c r="E20" s="75">
        <f>E18*17%</f>
        <v>185193.8316</v>
      </c>
      <c r="F20" s="75">
        <f>F18*17%</f>
        <v>185086.90160000001</v>
      </c>
      <c r="G20" s="75">
        <f t="shared" si="0"/>
        <v>185193.8316</v>
      </c>
      <c r="H20" s="105"/>
      <c r="I20" s="75"/>
      <c r="J20" s="118"/>
    </row>
    <row r="21" spans="1:10" x14ac:dyDescent="0.25">
      <c r="A21" s="24" t="s">
        <v>40</v>
      </c>
      <c r="B21" s="6" t="s">
        <v>41</v>
      </c>
      <c r="C21" s="58">
        <v>1.63</v>
      </c>
      <c r="D21" s="142"/>
      <c r="E21" s="75">
        <f>E18*20%</f>
        <v>217875.09600000002</v>
      </c>
      <c r="F21" s="75">
        <f>F18*20%</f>
        <v>217749.296</v>
      </c>
      <c r="G21" s="29">
        <f t="shared" si="0"/>
        <v>217875.09600000002</v>
      </c>
      <c r="H21" s="142"/>
      <c r="I21" s="29"/>
      <c r="J21" s="118"/>
    </row>
    <row r="22" spans="1:10" x14ac:dyDescent="0.25">
      <c r="A22" s="24" t="s">
        <v>42</v>
      </c>
      <c r="B22" s="6" t="s">
        <v>43</v>
      </c>
      <c r="C22" s="58">
        <v>2.39</v>
      </c>
      <c r="D22" s="40"/>
      <c r="E22" s="29">
        <f>E18*30%</f>
        <v>326812.64399999997</v>
      </c>
      <c r="F22" s="29">
        <f>F18*30%</f>
        <v>326623.94399999996</v>
      </c>
      <c r="G22" s="39">
        <f t="shared" si="0"/>
        <v>326812.64399999997</v>
      </c>
      <c r="H22" s="40"/>
      <c r="I22" s="29"/>
      <c r="J22" s="118"/>
    </row>
    <row r="23" spans="1:10" x14ac:dyDescent="0.25">
      <c r="A23" s="24" t="s">
        <v>44</v>
      </c>
      <c r="B23" s="6" t="s">
        <v>47</v>
      </c>
      <c r="C23" s="58">
        <v>2.4007299999999998</v>
      </c>
      <c r="D23" s="40"/>
      <c r="E23" s="9">
        <v>297080.99</v>
      </c>
      <c r="F23" s="9">
        <v>254584.39</v>
      </c>
      <c r="G23" s="10">
        <f>E23</f>
        <v>297080.99</v>
      </c>
      <c r="H23" s="11">
        <f t="shared" ref="H23:H28" si="1">D23+F23-G23</f>
        <v>-42496.599999999977</v>
      </c>
      <c r="I23" s="72">
        <f>H23</f>
        <v>-42496.599999999977</v>
      </c>
      <c r="J23" s="118"/>
    </row>
    <row r="24" spans="1:10" x14ac:dyDescent="0.25">
      <c r="A24" s="11" t="s">
        <v>48</v>
      </c>
      <c r="B24" s="11" t="s">
        <v>49</v>
      </c>
      <c r="C24" s="11" t="s">
        <v>50</v>
      </c>
      <c r="D24" s="43">
        <v>-76992.08</v>
      </c>
      <c r="E24" s="11">
        <v>462676.59</v>
      </c>
      <c r="F24" s="11">
        <v>437161.78</v>
      </c>
      <c r="G24" s="41">
        <f t="shared" si="0"/>
        <v>462676.59</v>
      </c>
      <c r="H24" s="42">
        <f t="shared" si="1"/>
        <v>-102506.89000000001</v>
      </c>
      <c r="I24" s="43">
        <f>H24</f>
        <v>-102506.89000000001</v>
      </c>
      <c r="J24" s="118"/>
    </row>
    <row r="25" spans="1:10" x14ac:dyDescent="0.25">
      <c r="A25" s="11" t="s">
        <v>51</v>
      </c>
      <c r="B25" s="11" t="s">
        <v>194</v>
      </c>
      <c r="C25" s="11">
        <v>0.92</v>
      </c>
      <c r="D25" s="43">
        <v>-7661.99</v>
      </c>
      <c r="E25" s="121">
        <v>125749.44</v>
      </c>
      <c r="F25" s="33">
        <v>123694.23</v>
      </c>
      <c r="G25" s="43">
        <f t="shared" si="0"/>
        <v>125749.44</v>
      </c>
      <c r="H25" s="33">
        <f t="shared" si="1"/>
        <v>-9717.2000000000116</v>
      </c>
      <c r="I25" s="43">
        <f>H25</f>
        <v>-9717.2000000000116</v>
      </c>
      <c r="J25" s="118"/>
    </row>
    <row r="26" spans="1:10" x14ac:dyDescent="0.25">
      <c r="A26" s="11" t="s">
        <v>55</v>
      </c>
      <c r="B26" s="41" t="s">
        <v>143</v>
      </c>
      <c r="C26" s="11">
        <v>3.15</v>
      </c>
      <c r="D26" s="43">
        <v>-96190.26</v>
      </c>
      <c r="E26" s="121">
        <v>429012.58</v>
      </c>
      <c r="F26" s="33">
        <v>422228.6</v>
      </c>
      <c r="G26" s="43">
        <f t="shared" si="0"/>
        <v>429012.58</v>
      </c>
      <c r="H26" s="32">
        <f t="shared" si="1"/>
        <v>-102974.24000000005</v>
      </c>
      <c r="I26" s="43">
        <f>H26</f>
        <v>-102974.24000000005</v>
      </c>
      <c r="J26" s="118"/>
    </row>
    <row r="27" spans="1:10" x14ac:dyDescent="0.25">
      <c r="A27" s="11" t="s">
        <v>59</v>
      </c>
      <c r="B27" s="12" t="s">
        <v>459</v>
      </c>
      <c r="C27" s="14">
        <v>1.82</v>
      </c>
      <c r="D27" s="15">
        <v>7904.52</v>
      </c>
      <c r="E27" s="12">
        <v>248765.52</v>
      </c>
      <c r="F27" s="12">
        <v>246019.82</v>
      </c>
      <c r="G27" s="12">
        <f>I60</f>
        <v>167834.8</v>
      </c>
      <c r="H27" s="15">
        <f t="shared" si="1"/>
        <v>86089.540000000008</v>
      </c>
      <c r="I27" s="44"/>
      <c r="J27" s="118"/>
    </row>
    <row r="28" spans="1:10" x14ac:dyDescent="0.25">
      <c r="A28" s="11" t="s">
        <v>196</v>
      </c>
      <c r="B28" s="11" t="s">
        <v>619</v>
      </c>
      <c r="C28" s="43">
        <v>0</v>
      </c>
      <c r="D28" s="42">
        <v>-6893.75</v>
      </c>
      <c r="E28" s="11">
        <v>0</v>
      </c>
      <c r="F28" s="11">
        <f>F29</f>
        <v>0.02</v>
      </c>
      <c r="G28" s="41">
        <f>G29</f>
        <v>0</v>
      </c>
      <c r="H28" s="42">
        <f t="shared" si="1"/>
        <v>-6893.73</v>
      </c>
      <c r="I28" s="43">
        <f>H28</f>
        <v>-6893.73</v>
      </c>
      <c r="J28" s="118"/>
    </row>
    <row r="29" spans="1:10" x14ac:dyDescent="0.25">
      <c r="A29" s="7"/>
      <c r="B29" s="62" t="s">
        <v>602</v>
      </c>
      <c r="C29" s="60">
        <v>0</v>
      </c>
      <c r="D29" s="51">
        <v>0</v>
      </c>
      <c r="E29" s="7">
        <v>0</v>
      </c>
      <c r="F29" s="7">
        <v>0.02</v>
      </c>
      <c r="G29" s="60">
        <f>I63</f>
        <v>0</v>
      </c>
      <c r="H29" s="51"/>
      <c r="I29" s="29"/>
      <c r="J29" s="118"/>
    </row>
    <row r="30" spans="1:10" x14ac:dyDescent="0.25">
      <c r="A30" s="9"/>
      <c r="B30" s="9" t="s">
        <v>54</v>
      </c>
      <c r="C30" s="10">
        <v>0</v>
      </c>
      <c r="D30" s="8">
        <v>0</v>
      </c>
      <c r="E30" s="9">
        <v>0</v>
      </c>
      <c r="F30" s="9">
        <v>0</v>
      </c>
      <c r="G30" s="10">
        <v>0</v>
      </c>
      <c r="H30" s="8"/>
      <c r="I30" s="54"/>
      <c r="J30" s="118"/>
    </row>
    <row r="31" spans="1:10" x14ac:dyDescent="0.25">
      <c r="A31" s="1" t="s">
        <v>58</v>
      </c>
      <c r="B31" s="1"/>
      <c r="C31" s="1"/>
      <c r="D31" s="5"/>
      <c r="E31" s="1"/>
      <c r="F31" s="1"/>
      <c r="G31" s="2"/>
      <c r="H31" s="2"/>
      <c r="I31" s="2"/>
      <c r="J31" s="118"/>
    </row>
    <row r="32" spans="1:10" x14ac:dyDescent="0.25">
      <c r="A32" s="68" t="s">
        <v>197</v>
      </c>
      <c r="B32" s="57" t="s">
        <v>60</v>
      </c>
      <c r="C32" s="9" t="s">
        <v>65</v>
      </c>
      <c r="D32" s="6" t="s">
        <v>62</v>
      </c>
      <c r="E32" s="50" t="s">
        <v>63</v>
      </c>
      <c r="F32" s="6" t="s">
        <v>64</v>
      </c>
      <c r="G32" s="9"/>
      <c r="H32" s="8" t="s">
        <v>199</v>
      </c>
      <c r="I32" s="50"/>
      <c r="J32" s="118"/>
    </row>
    <row r="33" spans="1:9" x14ac:dyDescent="0.25">
      <c r="A33" s="60"/>
      <c r="B33" s="59"/>
      <c r="C33" s="9" t="s">
        <v>66</v>
      </c>
      <c r="D33" s="9" t="s">
        <v>23</v>
      </c>
      <c r="E33" s="10" t="s">
        <v>312</v>
      </c>
      <c r="F33" s="189" t="s">
        <v>30</v>
      </c>
      <c r="G33" s="189"/>
      <c r="H33" s="74"/>
      <c r="I33" s="53"/>
    </row>
    <row r="34" spans="1:9" x14ac:dyDescent="0.25">
      <c r="A34" s="74"/>
      <c r="B34" s="15" t="s">
        <v>68</v>
      </c>
      <c r="C34" s="29">
        <v>16498.5</v>
      </c>
      <c r="D34" s="62">
        <v>5553</v>
      </c>
      <c r="E34" s="39">
        <f>D34*15%</f>
        <v>832.94999999999993</v>
      </c>
      <c r="F34" s="190">
        <f>C34+(D34-E34)</f>
        <v>21218.55</v>
      </c>
      <c r="G34" s="190"/>
      <c r="H34" s="79">
        <f>F34-G34</f>
        <v>21218.55</v>
      </c>
      <c r="I34" s="53"/>
    </row>
    <row r="35" spans="1:9" x14ac:dyDescent="0.25">
      <c r="A35" s="60"/>
      <c r="B35" s="5"/>
      <c r="C35" s="37"/>
      <c r="D35" s="60"/>
      <c r="E35" s="37"/>
      <c r="F35" s="191"/>
      <c r="G35" s="191"/>
      <c r="H35" s="37"/>
      <c r="I35" s="60"/>
    </row>
    <row r="36" spans="1:9" x14ac:dyDescent="0.25">
      <c r="A36" s="60"/>
      <c r="B36" s="5"/>
      <c r="C36" s="37"/>
      <c r="D36" s="60"/>
      <c r="E36" s="37"/>
      <c r="F36" s="191"/>
      <c r="G36" s="191"/>
      <c r="H36" s="37"/>
      <c r="I36" s="60"/>
    </row>
    <row r="37" spans="1:9" x14ac:dyDescent="0.25">
      <c r="A37" s="60"/>
      <c r="B37" s="5"/>
      <c r="C37" s="37"/>
      <c r="D37" s="60"/>
      <c r="E37" s="37"/>
      <c r="F37" s="191"/>
      <c r="G37" s="191"/>
      <c r="H37" s="37"/>
      <c r="I37" s="60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253</v>
      </c>
      <c r="H39" s="58" t="s">
        <v>78</v>
      </c>
      <c r="I39" s="6" t="s">
        <v>620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87</v>
      </c>
      <c r="G40" s="62" t="s">
        <v>621</v>
      </c>
      <c r="H40" s="60" t="s">
        <v>85</v>
      </c>
      <c r="I40" s="7" t="s">
        <v>622</v>
      </c>
    </row>
    <row r="41" spans="1:9" x14ac:dyDescent="0.25">
      <c r="A41" s="9"/>
      <c r="B41" s="9"/>
      <c r="C41" s="41"/>
      <c r="D41" s="6"/>
      <c r="E41" s="10"/>
      <c r="F41" s="9"/>
      <c r="G41" s="10"/>
      <c r="H41" s="9"/>
      <c r="I41" s="49"/>
    </row>
    <row r="42" spans="1:9" x14ac:dyDescent="0.25">
      <c r="A42" s="62">
        <v>1</v>
      </c>
      <c r="B42" s="62" t="s">
        <v>90</v>
      </c>
      <c r="C42" s="14" t="s">
        <v>91</v>
      </c>
      <c r="D42" s="6">
        <v>-295964.78999999998</v>
      </c>
      <c r="E42" s="66">
        <v>937926.67</v>
      </c>
      <c r="F42" s="95">
        <v>886192.13</v>
      </c>
      <c r="G42" s="66">
        <f>E42</f>
        <v>937926.67</v>
      </c>
      <c r="H42" s="9">
        <f>D42+F42-G42</f>
        <v>-347699.32999999996</v>
      </c>
      <c r="I42" s="49">
        <f>H42</f>
        <v>-347699.32999999996</v>
      </c>
    </row>
    <row r="43" spans="1:9" x14ac:dyDescent="0.25">
      <c r="A43" s="62"/>
      <c r="B43" s="62" t="s">
        <v>92</v>
      </c>
      <c r="C43" s="14" t="s">
        <v>93</v>
      </c>
      <c r="D43" s="6"/>
      <c r="E43" s="66"/>
      <c r="F43" s="95"/>
      <c r="G43" s="66"/>
      <c r="H43" s="7"/>
      <c r="I43" s="49"/>
    </row>
    <row r="44" spans="1:9" x14ac:dyDescent="0.25">
      <c r="A44" s="9">
        <v>2</v>
      </c>
      <c r="B44" s="9" t="s">
        <v>168</v>
      </c>
      <c r="C44" s="41" t="s">
        <v>95</v>
      </c>
      <c r="D44" s="9">
        <v>-635273.15</v>
      </c>
      <c r="E44" s="10">
        <v>1493202.65</v>
      </c>
      <c r="F44" s="9">
        <v>1379570.3</v>
      </c>
      <c r="G44" s="50">
        <f>E44</f>
        <v>1493202.65</v>
      </c>
      <c r="H44" s="6">
        <f>D44+F44-G44</f>
        <v>-748905.49999999988</v>
      </c>
      <c r="I44" s="49">
        <f>H44</f>
        <v>-748905.49999999988</v>
      </c>
    </row>
    <row r="45" spans="1:9" x14ac:dyDescent="0.25">
      <c r="A45" s="9"/>
      <c r="B45" s="9" t="s">
        <v>202</v>
      </c>
      <c r="C45" s="14" t="s">
        <v>93</v>
      </c>
      <c r="D45" s="9"/>
      <c r="E45" s="10"/>
      <c r="F45" s="9"/>
      <c r="G45" s="10"/>
      <c r="H45" s="6"/>
      <c r="I45" s="49"/>
    </row>
    <row r="46" spans="1:9" x14ac:dyDescent="0.25">
      <c r="A46" s="9">
        <v>4</v>
      </c>
      <c r="B46" s="9" t="s">
        <v>98</v>
      </c>
      <c r="C46" s="41" t="s">
        <v>203</v>
      </c>
      <c r="D46" s="9">
        <v>-1495066.26</v>
      </c>
      <c r="E46" s="10">
        <v>3997487.08</v>
      </c>
      <c r="F46" s="9">
        <v>3907055.82</v>
      </c>
      <c r="G46" s="10">
        <f>E46</f>
        <v>3997487.08</v>
      </c>
      <c r="H46" s="9">
        <f>D46+F46-G46</f>
        <v>-1585497.5200000005</v>
      </c>
      <c r="I46" s="9">
        <f>H46</f>
        <v>-1585497.5200000005</v>
      </c>
    </row>
    <row r="47" spans="1:9" x14ac:dyDescent="0.25">
      <c r="A47" s="1" t="s">
        <v>255</v>
      </c>
      <c r="B47" s="1"/>
      <c r="C47" s="1"/>
      <c r="D47" s="1"/>
      <c r="E47" s="1"/>
      <c r="F47" s="1"/>
      <c r="G47" s="1"/>
      <c r="H47" s="1"/>
      <c r="I47" s="2"/>
    </row>
    <row r="48" spans="1:9" x14ac:dyDescent="0.25">
      <c r="A48" s="5" t="s">
        <v>256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398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623</v>
      </c>
      <c r="G50" s="60"/>
      <c r="H50" s="61"/>
      <c r="I50" s="7" t="s">
        <v>108</v>
      </c>
    </row>
    <row r="51" spans="1:9" x14ac:dyDescent="0.25">
      <c r="A51" s="51"/>
      <c r="B51" s="62"/>
      <c r="C51" s="60"/>
      <c r="D51" s="60"/>
      <c r="E51" s="60"/>
      <c r="F51" s="52" t="s">
        <v>258</v>
      </c>
      <c r="G51" s="74"/>
      <c r="H51" s="192"/>
      <c r="I51" s="62"/>
    </row>
    <row r="52" spans="1:9" x14ac:dyDescent="0.25">
      <c r="A52" s="67" t="s">
        <v>110</v>
      </c>
      <c r="B52" s="18"/>
      <c r="C52" s="68" t="s">
        <v>624</v>
      </c>
      <c r="D52" s="68"/>
      <c r="E52" s="68"/>
      <c r="F52" s="51"/>
      <c r="G52" s="37"/>
      <c r="H52" s="60"/>
      <c r="I52" s="7"/>
    </row>
    <row r="53" spans="1:9" x14ac:dyDescent="0.25">
      <c r="A53" s="69" t="s">
        <v>625</v>
      </c>
      <c r="B53" s="70">
        <v>42736</v>
      </c>
      <c r="C53" s="60" t="s">
        <v>626</v>
      </c>
      <c r="D53" s="60"/>
      <c r="E53" s="60"/>
      <c r="F53" s="51"/>
      <c r="G53" s="37">
        <f t="shared" ref="G53:G59" si="2">I53/11390.36</f>
        <v>3.0803837631119646</v>
      </c>
      <c r="I53" s="7">
        <v>35086.68</v>
      </c>
    </row>
    <row r="54" spans="1:9" x14ac:dyDescent="0.25">
      <c r="A54" s="69" t="s">
        <v>627</v>
      </c>
      <c r="B54" s="70">
        <v>42851</v>
      </c>
      <c r="C54" s="60" t="s">
        <v>114</v>
      </c>
      <c r="D54" s="60"/>
      <c r="E54" s="60"/>
      <c r="F54" s="51"/>
      <c r="G54" s="37">
        <f t="shared" si="2"/>
        <v>2.4055429327958024</v>
      </c>
      <c r="I54" s="7">
        <v>27400</v>
      </c>
    </row>
    <row r="55" spans="1:9" x14ac:dyDescent="0.25">
      <c r="A55" s="69" t="s">
        <v>628</v>
      </c>
      <c r="B55" s="70">
        <v>43008</v>
      </c>
      <c r="C55" s="60" t="s">
        <v>629</v>
      </c>
      <c r="D55" s="60"/>
      <c r="E55" s="60"/>
      <c r="F55" s="51"/>
      <c r="G55" s="37">
        <f t="shared" si="2"/>
        <v>0.88178775736675563</v>
      </c>
      <c r="I55" s="7">
        <v>10043.879999999999</v>
      </c>
    </row>
    <row r="56" spans="1:9" x14ac:dyDescent="0.25">
      <c r="A56" s="69" t="s">
        <v>630</v>
      </c>
      <c r="B56" s="70">
        <v>42976</v>
      </c>
      <c r="C56" s="193" t="s">
        <v>631</v>
      </c>
      <c r="D56" s="60"/>
      <c r="E56" s="60"/>
      <c r="F56" s="51"/>
      <c r="G56" s="37">
        <f t="shared" si="2"/>
        <v>4.5604151229636285</v>
      </c>
      <c r="I56" s="7">
        <v>51944.77</v>
      </c>
    </row>
    <row r="57" spans="1:9" x14ac:dyDescent="0.25">
      <c r="A57" s="69" t="s">
        <v>632</v>
      </c>
      <c r="B57" s="70">
        <v>43069</v>
      </c>
      <c r="C57" s="60" t="s">
        <v>633</v>
      </c>
      <c r="D57" s="60"/>
      <c r="E57" s="60"/>
      <c r="F57" s="51"/>
      <c r="G57" s="37">
        <f t="shared" si="2"/>
        <v>1.1304111546957252</v>
      </c>
      <c r="I57" s="7">
        <v>12875.79</v>
      </c>
    </row>
    <row r="58" spans="1:9" x14ac:dyDescent="0.25">
      <c r="A58" s="69" t="s">
        <v>634</v>
      </c>
      <c r="B58" s="70">
        <v>43069</v>
      </c>
      <c r="C58" s="60" t="s">
        <v>635</v>
      </c>
      <c r="D58" s="60"/>
      <c r="E58" s="60"/>
      <c r="F58" s="51"/>
      <c r="G58" s="37">
        <f t="shared" si="2"/>
        <v>0.82226900642297518</v>
      </c>
      <c r="I58" s="7">
        <v>9365.94</v>
      </c>
    </row>
    <row r="59" spans="1:9" x14ac:dyDescent="0.25">
      <c r="A59" s="69" t="s">
        <v>636</v>
      </c>
      <c r="B59" s="70">
        <v>43069</v>
      </c>
      <c r="C59" s="70" t="s">
        <v>635</v>
      </c>
      <c r="D59" s="70"/>
      <c r="E59" s="70"/>
      <c r="F59" s="51"/>
      <c r="G59" s="37">
        <f t="shared" si="2"/>
        <v>1.8540011026868335</v>
      </c>
      <c r="I59" s="7">
        <v>21117.74</v>
      </c>
    </row>
    <row r="60" spans="1:9" x14ac:dyDescent="0.25">
      <c r="A60" s="69"/>
      <c r="B60" s="7"/>
      <c r="C60" s="5" t="s">
        <v>118</v>
      </c>
      <c r="D60" s="5"/>
      <c r="E60" s="5"/>
      <c r="F60" s="59"/>
      <c r="G60" s="20">
        <f>SUM(G52:G59)</f>
        <v>14.734810840043686</v>
      </c>
      <c r="H60" s="5"/>
      <c r="I60" s="12">
        <f>SUM(I52:I59)</f>
        <v>167834.8</v>
      </c>
    </row>
    <row r="61" spans="1:9" x14ac:dyDescent="0.25">
      <c r="A61" s="6"/>
      <c r="B61" s="6"/>
      <c r="C61" s="48"/>
      <c r="D61" s="58"/>
      <c r="E61" s="49"/>
      <c r="F61" s="48"/>
      <c r="G61" s="58"/>
      <c r="H61" s="49"/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49"/>
      <c r="F62" s="48" t="s">
        <v>121</v>
      </c>
      <c r="G62" s="58"/>
      <c r="H62" s="49"/>
      <c r="I62" s="6"/>
    </row>
    <row r="63" spans="1:9" x14ac:dyDescent="0.25">
      <c r="A63" s="73"/>
      <c r="B63" s="62" t="s">
        <v>119</v>
      </c>
      <c r="C63" s="15" t="s">
        <v>118</v>
      </c>
      <c r="D63" s="14"/>
      <c r="E63" s="85"/>
      <c r="F63" s="15" t="s">
        <v>71</v>
      </c>
      <c r="G63" s="78">
        <v>0</v>
      </c>
      <c r="H63" s="85"/>
      <c r="I63" s="12">
        <v>0</v>
      </c>
    </row>
    <row r="64" spans="1:9" x14ac:dyDescent="0.25">
      <c r="A64" s="2" t="s">
        <v>209</v>
      </c>
      <c r="B64" s="2"/>
      <c r="C64" s="2"/>
      <c r="D64" s="114" t="s">
        <v>123</v>
      </c>
      <c r="F64" s="2" t="s">
        <v>124</v>
      </c>
      <c r="G64" s="2" t="s">
        <v>262</v>
      </c>
      <c r="H64" s="2"/>
      <c r="I64" s="2" t="s">
        <v>263</v>
      </c>
    </row>
    <row r="65" spans="1:2" x14ac:dyDescent="0.25">
      <c r="A65" s="2"/>
      <c r="B65" s="2"/>
    </row>
  </sheetData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7" zoomScale="110" zoomScaleNormal="110" workbookViewId="0">
      <selection activeCell="G52" sqref="G52:G59"/>
    </sheetView>
  </sheetViews>
  <sheetFormatPr defaultRowHeight="15" x14ac:dyDescent="0.25"/>
  <cols>
    <col min="1" max="1" width="5" style="3" customWidth="1"/>
    <col min="2" max="2" width="35" style="3" customWidth="1"/>
    <col min="3" max="3" width="13.140625" style="3" customWidth="1"/>
    <col min="4" max="4" width="10.42578125" style="3" customWidth="1"/>
    <col min="5" max="5" width="11" style="3" customWidth="1"/>
    <col min="6" max="6" width="11.28515625" style="3" customWidth="1"/>
    <col min="7" max="7" width="10.28515625" style="3" customWidth="1"/>
    <col min="8" max="8" width="12.5703125" style="3" customWidth="1"/>
    <col min="9" max="9" width="18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637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638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639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10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5" t="s">
        <v>11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6" t="s">
        <v>71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15</v>
      </c>
      <c r="I12" s="6" t="s">
        <v>200</v>
      </c>
    </row>
    <row r="13" spans="1:9" x14ac:dyDescent="0.25">
      <c r="A13" s="7" t="s">
        <v>20</v>
      </c>
      <c r="B13" s="7"/>
      <c r="C13" s="7" t="s">
        <v>640</v>
      </c>
      <c r="D13" s="7" t="s">
        <v>22</v>
      </c>
      <c r="E13" s="7" t="s">
        <v>23</v>
      </c>
      <c r="F13" s="7" t="s">
        <v>23</v>
      </c>
      <c r="G13" s="7" t="s">
        <v>24</v>
      </c>
      <c r="H13" s="7" t="s">
        <v>25</v>
      </c>
      <c r="I13" s="7" t="s">
        <v>26</v>
      </c>
    </row>
    <row r="14" spans="1:9" x14ac:dyDescent="0.25">
      <c r="A14" s="7"/>
      <c r="B14" s="7"/>
      <c r="C14" s="7" t="s">
        <v>27</v>
      </c>
      <c r="D14" s="7" t="s">
        <v>28</v>
      </c>
      <c r="E14" s="7"/>
      <c r="F14" s="7"/>
      <c r="G14" s="7" t="s">
        <v>29</v>
      </c>
      <c r="H14" s="7" t="s">
        <v>30</v>
      </c>
      <c r="I14" s="7" t="s">
        <v>31</v>
      </c>
    </row>
    <row r="15" spans="1:9" x14ac:dyDescent="0.25">
      <c r="A15" s="7"/>
      <c r="B15" s="7"/>
      <c r="C15" s="7" t="s">
        <v>641</v>
      </c>
      <c r="D15" s="7" t="s">
        <v>33</v>
      </c>
      <c r="E15" s="7" t="s">
        <v>33</v>
      </c>
      <c r="F15" s="7" t="s">
        <v>33</v>
      </c>
      <c r="G15" s="7" t="s">
        <v>33</v>
      </c>
      <c r="H15" s="7" t="s">
        <v>33</v>
      </c>
      <c r="I15" s="7" t="s">
        <v>642</v>
      </c>
    </row>
    <row r="16" spans="1:9" x14ac:dyDescent="0.25">
      <c r="A16" s="10">
        <v>1</v>
      </c>
      <c r="B16" s="9">
        <v>2</v>
      </c>
      <c r="C16" s="10">
        <v>3</v>
      </c>
      <c r="D16" s="9">
        <v>4</v>
      </c>
      <c r="E16" s="10">
        <v>5</v>
      </c>
      <c r="F16" s="9">
        <v>6</v>
      </c>
      <c r="G16" s="10">
        <v>7</v>
      </c>
      <c r="H16" s="9">
        <v>8</v>
      </c>
      <c r="I16" s="9">
        <v>9</v>
      </c>
    </row>
    <row r="17" spans="1:9" x14ac:dyDescent="0.25">
      <c r="A17" s="15">
        <v>1</v>
      </c>
      <c r="B17" s="12" t="s">
        <v>35</v>
      </c>
      <c r="C17" s="15">
        <v>7.97</v>
      </c>
      <c r="D17" s="43">
        <v>-63136.94</v>
      </c>
      <c r="E17" s="17">
        <v>811170.6</v>
      </c>
      <c r="F17" s="14">
        <v>805157.08</v>
      </c>
      <c r="G17" s="17">
        <f t="shared" ref="G17:G25" si="0">E17</f>
        <v>811170.6</v>
      </c>
      <c r="H17" s="16">
        <f>D17+F17-G17</f>
        <v>-69150.460000000079</v>
      </c>
      <c r="I17" s="17">
        <f>H17</f>
        <v>-69150.460000000079</v>
      </c>
    </row>
    <row r="18" spans="1:9" x14ac:dyDescent="0.25">
      <c r="A18" s="73" t="s">
        <v>113</v>
      </c>
      <c r="B18" s="62" t="s">
        <v>37</v>
      </c>
      <c r="C18" s="74">
        <v>2.62</v>
      </c>
      <c r="D18" s="54"/>
      <c r="E18" s="179">
        <f>E17*33%</f>
        <v>267686.29800000001</v>
      </c>
      <c r="F18" s="54">
        <f>F17*33%</f>
        <v>265701.83639999997</v>
      </c>
      <c r="G18" s="79">
        <f t="shared" si="0"/>
        <v>267686.29800000001</v>
      </c>
      <c r="H18" s="54"/>
      <c r="I18" s="80"/>
    </row>
    <row r="19" spans="1:9" x14ac:dyDescent="0.25">
      <c r="A19" s="24" t="s">
        <v>38</v>
      </c>
      <c r="B19" s="6" t="s">
        <v>39</v>
      </c>
      <c r="C19" s="58">
        <v>1.33</v>
      </c>
      <c r="D19" s="75"/>
      <c r="E19" s="86">
        <f>E17*17%</f>
        <v>137899.00200000001</v>
      </c>
      <c r="F19" s="75">
        <f>F17*17%</f>
        <v>136876.70360000001</v>
      </c>
      <c r="G19" s="86">
        <f t="shared" si="0"/>
        <v>137899.00200000001</v>
      </c>
      <c r="H19" s="75"/>
      <c r="I19" s="30"/>
    </row>
    <row r="20" spans="1:9" x14ac:dyDescent="0.25">
      <c r="A20" s="24" t="s">
        <v>40</v>
      </c>
      <c r="B20" s="6" t="s">
        <v>41</v>
      </c>
      <c r="C20" s="58">
        <v>1.63</v>
      </c>
      <c r="D20" s="29"/>
      <c r="E20" s="86">
        <f>E17*20%</f>
        <v>162234.12</v>
      </c>
      <c r="F20" s="75">
        <f>F17*20%</f>
        <v>161031.416</v>
      </c>
      <c r="G20" s="40">
        <f t="shared" si="0"/>
        <v>162234.12</v>
      </c>
      <c r="H20" s="132"/>
      <c r="I20" s="35"/>
    </row>
    <row r="21" spans="1:9" x14ac:dyDescent="0.25">
      <c r="A21" s="24" t="s">
        <v>42</v>
      </c>
      <c r="B21" s="6" t="s">
        <v>43</v>
      </c>
      <c r="C21" s="58">
        <v>2.39</v>
      </c>
      <c r="D21" s="29"/>
      <c r="E21" s="39">
        <f>E17*30%</f>
        <v>243351.18</v>
      </c>
      <c r="F21" s="29">
        <f>F17*30%</f>
        <v>241547.12399999998</v>
      </c>
      <c r="G21" s="39">
        <f t="shared" si="0"/>
        <v>243351.18</v>
      </c>
      <c r="H21" s="29"/>
      <c r="I21" s="35"/>
    </row>
    <row r="22" spans="1:9" x14ac:dyDescent="0.25">
      <c r="A22" s="24" t="s">
        <v>44</v>
      </c>
      <c r="B22" s="6" t="s">
        <v>643</v>
      </c>
      <c r="C22" s="58">
        <v>0.20695</v>
      </c>
      <c r="D22" s="29"/>
      <c r="E22" s="39">
        <v>12403.87</v>
      </c>
      <c r="F22" s="29">
        <v>13404.49</v>
      </c>
      <c r="G22" s="39">
        <f t="shared" si="0"/>
        <v>12403.87</v>
      </c>
      <c r="H22" s="43">
        <f>F22-E22</f>
        <v>1000.619999999999</v>
      </c>
      <c r="I22" s="32"/>
    </row>
    <row r="23" spans="1:9" x14ac:dyDescent="0.25">
      <c r="A23" s="24" t="s">
        <v>46</v>
      </c>
      <c r="B23" s="6" t="s">
        <v>47</v>
      </c>
      <c r="C23" s="58">
        <v>1.82009</v>
      </c>
      <c r="D23" s="29"/>
      <c r="E23" s="60">
        <v>185349.59</v>
      </c>
      <c r="F23" s="9">
        <v>165634.37</v>
      </c>
      <c r="G23" s="74">
        <f>E23</f>
        <v>185349.59</v>
      </c>
      <c r="H23" s="11">
        <f>F23-E23</f>
        <v>-19715.22</v>
      </c>
      <c r="I23" s="18">
        <f>H23</f>
        <v>-19715.22</v>
      </c>
    </row>
    <row r="24" spans="1:9" x14ac:dyDescent="0.25">
      <c r="A24" s="11" t="s">
        <v>48</v>
      </c>
      <c r="B24" s="11" t="s">
        <v>49</v>
      </c>
      <c r="C24" s="42" t="s">
        <v>50</v>
      </c>
      <c r="D24" s="43">
        <v>-32245.48</v>
      </c>
      <c r="E24" s="41">
        <v>344519.07</v>
      </c>
      <c r="F24" s="11">
        <v>326850.03999999998</v>
      </c>
      <c r="G24" s="41">
        <f t="shared" si="0"/>
        <v>344519.07</v>
      </c>
      <c r="H24" s="43">
        <f>D24+F24-G24</f>
        <v>-49914.510000000009</v>
      </c>
      <c r="I24" s="32">
        <f>H24</f>
        <v>-49914.510000000009</v>
      </c>
    </row>
    <row r="25" spans="1:9" x14ac:dyDescent="0.25">
      <c r="A25" s="11" t="s">
        <v>51</v>
      </c>
      <c r="B25" s="1" t="s">
        <v>143</v>
      </c>
      <c r="C25" s="42">
        <v>3.15</v>
      </c>
      <c r="D25" s="44">
        <v>-21165.27</v>
      </c>
      <c r="E25" s="194">
        <v>306751.87</v>
      </c>
      <c r="F25" s="44">
        <v>282505.78999999998</v>
      </c>
      <c r="G25" s="20">
        <f t="shared" si="0"/>
        <v>306751.87</v>
      </c>
      <c r="H25" s="44">
        <f>D25+F25-G25</f>
        <v>-45411.350000000006</v>
      </c>
      <c r="I25" s="19">
        <f>H25</f>
        <v>-45411.350000000006</v>
      </c>
    </row>
    <row r="26" spans="1:9" x14ac:dyDescent="0.25">
      <c r="A26" s="11" t="s">
        <v>55</v>
      </c>
      <c r="B26" s="11" t="s">
        <v>644</v>
      </c>
      <c r="C26" s="15">
        <v>1.82</v>
      </c>
      <c r="D26" s="11">
        <v>139478.22</v>
      </c>
      <c r="E26" s="11">
        <v>185235.24</v>
      </c>
      <c r="F26" s="41">
        <v>184159.18</v>
      </c>
      <c r="G26" s="11">
        <f>G27</f>
        <v>57135.840000000004</v>
      </c>
      <c r="H26" s="11">
        <f>D26+F26-G26</f>
        <v>266501.56</v>
      </c>
      <c r="I26" s="46"/>
    </row>
    <row r="27" spans="1:9" x14ac:dyDescent="0.25">
      <c r="A27" s="9"/>
      <c r="B27" s="62" t="s">
        <v>645</v>
      </c>
      <c r="C27" s="52"/>
      <c r="D27" s="43"/>
      <c r="E27" s="41">
        <v>0</v>
      </c>
      <c r="F27" s="11">
        <v>0</v>
      </c>
      <c r="G27" s="41">
        <f>I59</f>
        <v>57135.840000000004</v>
      </c>
      <c r="H27" s="11"/>
      <c r="I27" s="32"/>
    </row>
    <row r="28" spans="1:9" x14ac:dyDescent="0.25">
      <c r="A28" s="11"/>
      <c r="B28" s="9" t="s">
        <v>54</v>
      </c>
      <c r="C28" s="42"/>
      <c r="D28" s="43"/>
      <c r="E28" s="41">
        <v>0</v>
      </c>
      <c r="F28" s="11">
        <v>0</v>
      </c>
      <c r="G28" s="41"/>
      <c r="H28" s="11"/>
      <c r="I28" s="43"/>
    </row>
    <row r="29" spans="1:9" x14ac:dyDescent="0.25">
      <c r="A29" s="11" t="s">
        <v>59</v>
      </c>
      <c r="B29" s="12" t="s">
        <v>619</v>
      </c>
      <c r="C29" s="34">
        <v>0</v>
      </c>
      <c r="D29" s="43">
        <v>-85760.08</v>
      </c>
      <c r="E29" s="41">
        <v>0</v>
      </c>
      <c r="F29" s="11">
        <f>F31</f>
        <v>65.89</v>
      </c>
      <c r="G29" s="11">
        <v>0</v>
      </c>
      <c r="H29" s="43">
        <f>D29+F29</f>
        <v>-85694.19</v>
      </c>
      <c r="I29" s="32">
        <f>H29</f>
        <v>-85694.19</v>
      </c>
    </row>
    <row r="30" spans="1:9" x14ac:dyDescent="0.25">
      <c r="A30" s="7"/>
      <c r="B30" s="62" t="s">
        <v>112</v>
      </c>
      <c r="C30" s="60"/>
      <c r="D30" s="62"/>
      <c r="E30" s="60"/>
      <c r="F30" s="7"/>
      <c r="G30" s="60"/>
      <c r="H30" s="7"/>
      <c r="I30" s="23"/>
    </row>
    <row r="31" spans="1:9" x14ac:dyDescent="0.25">
      <c r="A31" s="9"/>
      <c r="B31" s="9" t="s">
        <v>53</v>
      </c>
      <c r="C31" s="39">
        <v>0</v>
      </c>
      <c r="D31" s="9"/>
      <c r="E31" s="10"/>
      <c r="F31" s="9">
        <v>65.89</v>
      </c>
      <c r="G31" s="10"/>
      <c r="H31" s="9"/>
      <c r="I31" s="35"/>
    </row>
    <row r="32" spans="1:9" x14ac:dyDescent="0.25">
      <c r="A32" s="1" t="s">
        <v>58</v>
      </c>
      <c r="B32" s="1"/>
      <c r="C32" s="1"/>
      <c r="D32" s="47"/>
      <c r="E32" s="1"/>
      <c r="F32" s="1"/>
      <c r="G32" s="2"/>
      <c r="H32" s="2"/>
      <c r="I32" s="2"/>
    </row>
    <row r="33" spans="1:9" x14ac:dyDescent="0.25">
      <c r="A33" s="25" t="s">
        <v>196</v>
      </c>
      <c r="B33" s="49" t="s">
        <v>60</v>
      </c>
      <c r="C33" s="6" t="s">
        <v>64</v>
      </c>
      <c r="D33" s="49" t="s">
        <v>62</v>
      </c>
      <c r="E33" s="58" t="s">
        <v>63</v>
      </c>
      <c r="F33" s="6" t="s">
        <v>61</v>
      </c>
      <c r="G33" s="6" t="s">
        <v>154</v>
      </c>
      <c r="H33" s="58" t="s">
        <v>199</v>
      </c>
      <c r="I33" s="49"/>
    </row>
    <row r="34" spans="1:9" x14ac:dyDescent="0.25">
      <c r="A34" s="7"/>
      <c r="B34" s="61"/>
      <c r="C34" s="62" t="s">
        <v>66</v>
      </c>
      <c r="D34" s="53" t="s">
        <v>23</v>
      </c>
      <c r="E34" s="74" t="s">
        <v>312</v>
      </c>
      <c r="F34" s="62" t="s">
        <v>30</v>
      </c>
      <c r="G34" s="62" t="s">
        <v>646</v>
      </c>
      <c r="H34" s="74"/>
      <c r="I34" s="53"/>
    </row>
    <row r="35" spans="1:9" x14ac:dyDescent="0.25">
      <c r="A35" s="12"/>
      <c r="B35" s="53" t="s">
        <v>68</v>
      </c>
      <c r="C35" s="29">
        <v>5140.8500000000004</v>
      </c>
      <c r="D35" s="10">
        <v>5553</v>
      </c>
      <c r="E35" s="29">
        <f>D35*15%</f>
        <v>832.94999999999993</v>
      </c>
      <c r="F35" s="39">
        <f>C35+D35-E35</f>
        <v>9860.9</v>
      </c>
      <c r="G35" s="29"/>
      <c r="H35" s="39">
        <f>F35-G36</f>
        <v>7860.9</v>
      </c>
      <c r="I35" s="35"/>
    </row>
    <row r="36" spans="1:9" x14ac:dyDescent="0.25">
      <c r="A36" s="12"/>
      <c r="B36" s="53" t="s">
        <v>647</v>
      </c>
      <c r="C36" s="54"/>
      <c r="D36" s="74"/>
      <c r="E36" s="54"/>
      <c r="F36" s="79"/>
      <c r="G36" s="54">
        <v>2000</v>
      </c>
      <c r="H36" s="79"/>
      <c r="I36" s="53"/>
    </row>
    <row r="37" spans="1:9" x14ac:dyDescent="0.25">
      <c r="A37" s="1" t="s">
        <v>252</v>
      </c>
      <c r="B37" s="1"/>
      <c r="C37" s="1"/>
      <c r="D37" s="47"/>
      <c r="E37" s="1"/>
      <c r="F37" s="1"/>
      <c r="G37" s="1"/>
      <c r="H37" s="1"/>
      <c r="I37" s="1"/>
    </row>
    <row r="38" spans="1:9" x14ac:dyDescent="0.25">
      <c r="A38" s="6" t="s">
        <v>71</v>
      </c>
      <c r="B38" s="48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253</v>
      </c>
      <c r="H38" s="6" t="s">
        <v>78</v>
      </c>
      <c r="I38" s="6" t="s">
        <v>19</v>
      </c>
    </row>
    <row r="39" spans="1:9" x14ac:dyDescent="0.25">
      <c r="A39" s="7"/>
      <c r="B39" s="51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7" t="s">
        <v>85</v>
      </c>
      <c r="I39" s="7" t="s">
        <v>86</v>
      </c>
    </row>
    <row r="40" spans="1:9" x14ac:dyDescent="0.25">
      <c r="A40" s="62"/>
      <c r="B40" s="52"/>
      <c r="C40" s="62"/>
      <c r="D40" s="74"/>
      <c r="E40" s="62"/>
      <c r="F40" s="74" t="s">
        <v>87</v>
      </c>
      <c r="G40" s="62" t="s">
        <v>88</v>
      </c>
      <c r="H40" s="62"/>
      <c r="I40" s="62" t="s">
        <v>648</v>
      </c>
    </row>
    <row r="41" spans="1:9" x14ac:dyDescent="0.25">
      <c r="A41" s="7"/>
      <c r="B41" s="51"/>
      <c r="C41" s="9"/>
      <c r="D41" s="9"/>
      <c r="E41" s="60"/>
      <c r="F41" s="9"/>
      <c r="G41" s="74"/>
      <c r="H41" s="9"/>
      <c r="I41" s="7"/>
    </row>
    <row r="42" spans="1:9" x14ac:dyDescent="0.25">
      <c r="A42" s="6">
        <v>1</v>
      </c>
      <c r="B42" s="6" t="s">
        <v>90</v>
      </c>
      <c r="C42" s="68" t="s">
        <v>91</v>
      </c>
      <c r="D42" s="6">
        <v>-71248.759999999995</v>
      </c>
      <c r="E42" s="122">
        <v>603957.32999999996</v>
      </c>
      <c r="F42" s="6">
        <v>584693.94999999995</v>
      </c>
      <c r="G42" s="122">
        <f>E42</f>
        <v>603957.32999999996</v>
      </c>
      <c r="H42" s="7">
        <f>D42+F42-G42</f>
        <v>-90512.140000000014</v>
      </c>
      <c r="I42" s="6">
        <f>H42</f>
        <v>-90512.140000000014</v>
      </c>
    </row>
    <row r="43" spans="1:9" x14ac:dyDescent="0.25">
      <c r="A43" s="9"/>
      <c r="B43" s="9" t="s">
        <v>521</v>
      </c>
      <c r="C43" s="41" t="s">
        <v>93</v>
      </c>
      <c r="D43" s="9"/>
      <c r="E43" s="65"/>
      <c r="F43" s="9"/>
      <c r="G43" s="65"/>
      <c r="H43" s="9"/>
      <c r="I43" s="9"/>
    </row>
    <row r="44" spans="1:9" x14ac:dyDescent="0.25">
      <c r="A44" s="7">
        <v>2</v>
      </c>
      <c r="B44" s="7" t="s">
        <v>168</v>
      </c>
      <c r="C44" s="1" t="s">
        <v>95</v>
      </c>
      <c r="D44" s="7">
        <v>-233253.4</v>
      </c>
      <c r="E44" s="2">
        <v>913551.09</v>
      </c>
      <c r="F44" s="7">
        <v>867619.15</v>
      </c>
      <c r="G44" s="2">
        <f>E44</f>
        <v>913551.09</v>
      </c>
      <c r="H44" s="7">
        <f>D44+F44-G44</f>
        <v>-279185.33999999997</v>
      </c>
      <c r="I44" s="62">
        <f>H44</f>
        <v>-279185.33999999997</v>
      </c>
    </row>
    <row r="45" spans="1:9" x14ac:dyDescent="0.25">
      <c r="A45" s="9"/>
      <c r="B45" s="9" t="s">
        <v>521</v>
      </c>
      <c r="C45" s="41" t="s">
        <v>93</v>
      </c>
      <c r="D45" s="9"/>
      <c r="E45" s="10"/>
      <c r="F45" s="9"/>
      <c r="G45" s="10"/>
      <c r="H45" s="9"/>
      <c r="I45" s="9"/>
    </row>
    <row r="46" spans="1:9" x14ac:dyDescent="0.25">
      <c r="A46" s="9">
        <v>3</v>
      </c>
      <c r="B46" s="9" t="s">
        <v>98</v>
      </c>
      <c r="C46" s="41" t="s">
        <v>99</v>
      </c>
      <c r="D46" s="9">
        <v>-678815.63</v>
      </c>
      <c r="E46" s="10">
        <v>2534127.92</v>
      </c>
      <c r="F46" s="9">
        <v>2594486.98</v>
      </c>
      <c r="G46" s="10">
        <f>E46</f>
        <v>2534127.92</v>
      </c>
      <c r="H46" s="9">
        <f>D46+F46-G46</f>
        <v>-618456.56999999983</v>
      </c>
      <c r="I46" s="9">
        <f>H46</f>
        <v>-618456.56999999983</v>
      </c>
    </row>
    <row r="47" spans="1:9" x14ac:dyDescent="0.25">
      <c r="A47" s="1" t="s">
        <v>255</v>
      </c>
      <c r="B47" s="1"/>
      <c r="C47" s="1"/>
      <c r="D47" s="1"/>
      <c r="E47" s="1"/>
      <c r="F47" s="1"/>
      <c r="G47" s="1"/>
      <c r="H47" s="1"/>
      <c r="I47" s="2"/>
    </row>
    <row r="48" spans="1:9" x14ac:dyDescent="0.25">
      <c r="A48" s="5" t="s">
        <v>256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428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649</v>
      </c>
      <c r="G50" s="60"/>
      <c r="H50" s="61"/>
      <c r="I50" s="7" t="s">
        <v>108</v>
      </c>
    </row>
    <row r="51" spans="1:9" x14ac:dyDescent="0.25">
      <c r="A51" s="51"/>
      <c r="B51" s="62"/>
      <c r="C51" s="60"/>
      <c r="D51" s="60"/>
      <c r="E51" s="60"/>
      <c r="F51" s="51" t="s">
        <v>650</v>
      </c>
      <c r="G51" s="60"/>
      <c r="H51" s="61"/>
      <c r="I51" s="7"/>
    </row>
    <row r="52" spans="1:9" x14ac:dyDescent="0.25">
      <c r="A52" s="67" t="s">
        <v>110</v>
      </c>
      <c r="B52" s="18"/>
      <c r="C52" s="68" t="s">
        <v>651</v>
      </c>
      <c r="D52" s="68"/>
      <c r="E52" s="68"/>
      <c r="F52" s="48"/>
      <c r="G52" s="58"/>
      <c r="H52" s="49"/>
      <c r="I52" s="6"/>
    </row>
    <row r="53" spans="1:9" x14ac:dyDescent="0.25">
      <c r="A53" s="69" t="s">
        <v>113</v>
      </c>
      <c r="B53" s="70">
        <v>42851</v>
      </c>
      <c r="C53" s="60" t="s">
        <v>114</v>
      </c>
      <c r="D53" s="60"/>
      <c r="E53" s="60"/>
      <c r="F53" s="51"/>
      <c r="G53" s="37">
        <f t="shared" ref="G53:G58" si="1">I53/8491.6</f>
        <v>2.7556644213104713</v>
      </c>
      <c r="H53" s="61"/>
      <c r="I53" s="7">
        <v>23400</v>
      </c>
    </row>
    <row r="54" spans="1:9" x14ac:dyDescent="0.25">
      <c r="A54" s="69" t="s">
        <v>38</v>
      </c>
      <c r="B54" s="70">
        <v>42886</v>
      </c>
      <c r="C54" s="60" t="s">
        <v>652</v>
      </c>
      <c r="D54" s="60"/>
      <c r="E54" s="60"/>
      <c r="F54" s="51"/>
      <c r="G54" s="37">
        <f t="shared" si="1"/>
        <v>1.1823661029723491</v>
      </c>
      <c r="H54" s="61"/>
      <c r="I54" s="7">
        <v>10040.18</v>
      </c>
    </row>
    <row r="55" spans="1:9" x14ac:dyDescent="0.25">
      <c r="A55" s="69" t="s">
        <v>40</v>
      </c>
      <c r="B55" s="70">
        <v>43039</v>
      </c>
      <c r="C55" s="195" t="s">
        <v>334</v>
      </c>
      <c r="D55" s="60"/>
      <c r="E55" s="60"/>
      <c r="F55" s="51"/>
      <c r="G55" s="37">
        <f t="shared" si="1"/>
        <v>1.8048530312308635</v>
      </c>
      <c r="H55" s="61"/>
      <c r="I55" s="7">
        <v>15326.09</v>
      </c>
    </row>
    <row r="56" spans="1:9" x14ac:dyDescent="0.25">
      <c r="A56" s="69" t="s">
        <v>42</v>
      </c>
      <c r="B56" s="70">
        <v>43008</v>
      </c>
      <c r="C56" s="195" t="s">
        <v>653</v>
      </c>
      <c r="D56" s="60"/>
      <c r="E56" s="60"/>
      <c r="F56" s="51"/>
      <c r="G56" s="37">
        <f t="shared" si="1"/>
        <v>0.34759056008290545</v>
      </c>
      <c r="H56" s="61"/>
      <c r="I56" s="7">
        <v>2951.6</v>
      </c>
    </row>
    <row r="57" spans="1:9" x14ac:dyDescent="0.25">
      <c r="A57" s="69" t="s">
        <v>44</v>
      </c>
      <c r="B57" s="70">
        <v>43039</v>
      </c>
      <c r="C57" s="195" t="s">
        <v>654</v>
      </c>
      <c r="D57" s="60"/>
      <c r="E57" s="60"/>
      <c r="F57" s="51"/>
      <c r="G57" s="37">
        <f t="shared" si="1"/>
        <v>0.41136770455508975</v>
      </c>
      <c r="H57" s="61"/>
      <c r="I57" s="7">
        <v>3493.17</v>
      </c>
    </row>
    <row r="58" spans="1:9" x14ac:dyDescent="0.25">
      <c r="A58" s="69" t="s">
        <v>46</v>
      </c>
      <c r="B58" s="70" t="s">
        <v>655</v>
      </c>
      <c r="C58" s="195" t="s">
        <v>656</v>
      </c>
      <c r="D58" s="60"/>
      <c r="E58" s="60"/>
      <c r="F58" s="51"/>
      <c r="G58" s="37">
        <f t="shared" si="1"/>
        <v>0.22667106316830749</v>
      </c>
      <c r="H58" s="61"/>
      <c r="I58" s="7">
        <v>1924.8</v>
      </c>
    </row>
    <row r="59" spans="1:9" x14ac:dyDescent="0.25">
      <c r="A59" s="69"/>
      <c r="B59" s="7"/>
      <c r="C59" s="15" t="s">
        <v>118</v>
      </c>
      <c r="D59" s="14"/>
      <c r="E59" s="14"/>
      <c r="F59" s="15"/>
      <c r="G59" s="78">
        <f>SUM(G52:G58)</f>
        <v>6.7285128833199872</v>
      </c>
      <c r="H59" s="85"/>
      <c r="I59" s="12">
        <f>SUM(I52:I58)</f>
        <v>57135.840000000004</v>
      </c>
    </row>
    <row r="60" spans="1:9" x14ac:dyDescent="0.25">
      <c r="A60" s="6"/>
      <c r="B60" s="6"/>
      <c r="C60" s="51"/>
      <c r="D60" s="60"/>
      <c r="E60" s="61"/>
      <c r="F60" s="51"/>
      <c r="H60" s="61"/>
      <c r="I60" s="111"/>
    </row>
    <row r="61" spans="1:9" x14ac:dyDescent="0.25">
      <c r="A61" s="6" t="s">
        <v>48</v>
      </c>
      <c r="B61" s="25" t="s">
        <v>119</v>
      </c>
      <c r="C61" s="57" t="s">
        <v>120</v>
      </c>
      <c r="D61" s="58"/>
      <c r="E61" s="49"/>
      <c r="F61" s="48" t="s">
        <v>121</v>
      </c>
      <c r="G61" s="58"/>
      <c r="H61" s="49"/>
      <c r="I61" s="6"/>
    </row>
    <row r="62" spans="1:9" x14ac:dyDescent="0.25">
      <c r="A62" s="69" t="s">
        <v>182</v>
      </c>
      <c r="B62" s="18"/>
      <c r="C62" s="59"/>
      <c r="D62" s="60"/>
      <c r="E62" s="61"/>
      <c r="F62" s="51"/>
      <c r="G62" s="60"/>
      <c r="H62" s="61"/>
      <c r="I62" s="7"/>
    </row>
    <row r="63" spans="1:9" x14ac:dyDescent="0.25">
      <c r="A63" s="73"/>
      <c r="B63" s="62" t="s">
        <v>119</v>
      </c>
      <c r="C63" s="15" t="s">
        <v>118</v>
      </c>
      <c r="D63" s="14"/>
      <c r="E63" s="85"/>
      <c r="F63" s="15" t="s">
        <v>71</v>
      </c>
      <c r="G63" s="79">
        <v>0</v>
      </c>
      <c r="H63" s="85"/>
      <c r="I63" s="12"/>
    </row>
    <row r="64" spans="1:9" x14ac:dyDescent="0.25">
      <c r="A64" s="2" t="s">
        <v>209</v>
      </c>
      <c r="B64" s="2"/>
      <c r="C64" s="2"/>
      <c r="D64" s="114" t="s">
        <v>123</v>
      </c>
      <c r="F64" s="2" t="s">
        <v>124</v>
      </c>
      <c r="G64" s="2" t="s">
        <v>262</v>
      </c>
      <c r="H64" s="2"/>
      <c r="I64" s="2" t="s">
        <v>263</v>
      </c>
    </row>
    <row r="66" spans="1:2" x14ac:dyDescent="0.25">
      <c r="A66" s="2"/>
      <c r="B66" s="2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zoomScale="110" zoomScaleNormal="110" workbookViewId="0">
      <selection activeCell="B11" sqref="B11"/>
    </sheetView>
  </sheetViews>
  <sheetFormatPr defaultRowHeight="15" x14ac:dyDescent="0.25"/>
  <cols>
    <col min="1" max="1" width="5.42578125" style="3" customWidth="1"/>
    <col min="2" max="2" width="30.7109375" style="3" customWidth="1"/>
    <col min="3" max="3" width="14" style="3" customWidth="1"/>
    <col min="4" max="4" width="11.5703125" style="3" customWidth="1"/>
    <col min="5" max="6" width="9.140625" style="3"/>
    <col min="7" max="7" width="13" style="3" customWidth="1"/>
    <col min="8" max="8" width="12.85546875" style="3" customWidth="1"/>
    <col min="9" max="9" width="17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657</v>
      </c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658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659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660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661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135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/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57"/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17">
        <v>-67745.100000000006</v>
      </c>
      <c r="E19" s="17">
        <v>417420.72</v>
      </c>
      <c r="F19" s="14">
        <v>408823.16</v>
      </c>
      <c r="G19" s="17">
        <f t="shared" ref="G19:G24" si="0">E19</f>
        <v>417420.72</v>
      </c>
      <c r="H19" s="16">
        <f>D19+F19-G19</f>
        <v>-76342.660000000033</v>
      </c>
      <c r="I19" s="17">
        <f>H19</f>
        <v>-76342.660000000033</v>
      </c>
    </row>
    <row r="20" spans="1:9" x14ac:dyDescent="0.25">
      <c r="A20" s="73" t="s">
        <v>113</v>
      </c>
      <c r="B20" s="62" t="s">
        <v>37</v>
      </c>
      <c r="C20" s="74">
        <v>2.62</v>
      </c>
      <c r="D20" s="54"/>
      <c r="E20" s="141">
        <f>E19*33%</f>
        <v>137748.8376</v>
      </c>
      <c r="F20" s="54">
        <f>F19*33%</f>
        <v>134911.6428</v>
      </c>
      <c r="G20" s="54">
        <f t="shared" si="0"/>
        <v>137748.8376</v>
      </c>
      <c r="H20" s="55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75"/>
      <c r="E21" s="75">
        <f>E19*17%</f>
        <v>70961.522400000002</v>
      </c>
      <c r="F21" s="75">
        <f>F19*17%</f>
        <v>69499.9372</v>
      </c>
      <c r="G21" s="75">
        <f t="shared" si="0"/>
        <v>70961.522400000002</v>
      </c>
      <c r="H21" s="10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29"/>
      <c r="E22" s="75">
        <f>E19*20%</f>
        <v>83484.144</v>
      </c>
      <c r="F22" s="75">
        <f>F19*20%</f>
        <v>81764.631999999998</v>
      </c>
      <c r="G22" s="29">
        <f>E22</f>
        <v>83484.144</v>
      </c>
      <c r="H22" s="142"/>
      <c r="I22" s="29"/>
    </row>
    <row r="23" spans="1:9" x14ac:dyDescent="0.25">
      <c r="A23" s="36" t="s">
        <v>42</v>
      </c>
      <c r="B23" s="9" t="s">
        <v>43</v>
      </c>
      <c r="C23" s="50">
        <v>2.39</v>
      </c>
      <c r="D23" s="75"/>
      <c r="E23" s="75">
        <f>E19*30%</f>
        <v>125226.21599999999</v>
      </c>
      <c r="F23" s="75">
        <f>F19*30%</f>
        <v>122646.94799999999</v>
      </c>
      <c r="G23" s="105">
        <f t="shared" si="0"/>
        <v>125226.21599999999</v>
      </c>
      <c r="H23" s="105"/>
      <c r="I23" s="75"/>
    </row>
    <row r="24" spans="1:9" x14ac:dyDescent="0.25">
      <c r="A24" s="73" t="s">
        <v>44</v>
      </c>
      <c r="B24" s="62" t="s">
        <v>45</v>
      </c>
      <c r="C24" s="74">
        <v>0.39784000000000003</v>
      </c>
      <c r="D24" s="29"/>
      <c r="E24" s="29">
        <v>12271</v>
      </c>
      <c r="F24" s="29">
        <v>12353.89</v>
      </c>
      <c r="G24" s="39">
        <f t="shared" si="0"/>
        <v>12271</v>
      </c>
      <c r="H24" s="40"/>
      <c r="I24" s="29"/>
    </row>
    <row r="25" spans="1:9" x14ac:dyDescent="0.25">
      <c r="A25" s="73" t="s">
        <v>46</v>
      </c>
      <c r="B25" s="62" t="s">
        <v>47</v>
      </c>
      <c r="C25" s="74">
        <v>0.72011999999999998</v>
      </c>
      <c r="D25" s="6">
        <v>-1204.75</v>
      </c>
      <c r="E25" s="6">
        <v>37018.629999999997</v>
      </c>
      <c r="F25" s="6">
        <v>30991.88</v>
      </c>
      <c r="G25" s="60">
        <f>E25</f>
        <v>37018.629999999997</v>
      </c>
      <c r="H25" s="57">
        <f>D25+F25-G25</f>
        <v>-7231.4999999999964</v>
      </c>
      <c r="I25" s="25">
        <f>H25</f>
        <v>-7231.4999999999964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-45585.32</v>
      </c>
      <c r="E26" s="11">
        <v>177286.17</v>
      </c>
      <c r="F26" s="11">
        <v>166261.95000000001</v>
      </c>
      <c r="G26" s="41">
        <f>E26</f>
        <v>177286.17</v>
      </c>
      <c r="H26" s="42">
        <f>D26+F26-G26</f>
        <v>-56609.540000000008</v>
      </c>
      <c r="I26" s="43">
        <f>H26</f>
        <v>-56609.540000000008</v>
      </c>
    </row>
    <row r="27" spans="1:9" x14ac:dyDescent="0.25">
      <c r="A27" s="25" t="s">
        <v>51</v>
      </c>
      <c r="B27" s="25" t="s">
        <v>216</v>
      </c>
      <c r="C27" s="68"/>
      <c r="D27" s="44"/>
      <c r="E27" s="129"/>
      <c r="F27" s="45"/>
      <c r="G27" s="45"/>
      <c r="H27" s="28"/>
      <c r="I27" s="44"/>
    </row>
    <row r="28" spans="1:9" x14ac:dyDescent="0.25">
      <c r="A28" s="12"/>
      <c r="B28" s="12" t="s">
        <v>217</v>
      </c>
      <c r="C28" s="14">
        <v>1.82</v>
      </c>
      <c r="D28" s="16">
        <v>108667.92</v>
      </c>
      <c r="E28" s="12">
        <v>95320.44</v>
      </c>
      <c r="F28" s="12">
        <v>94481.43</v>
      </c>
      <c r="G28" s="12">
        <f>I63</f>
        <v>35725.97</v>
      </c>
      <c r="H28" s="16">
        <f>D28+F28-G28</f>
        <v>167423.37999999998</v>
      </c>
      <c r="I28" s="44"/>
    </row>
    <row r="29" spans="1:9" x14ac:dyDescent="0.25">
      <c r="A29" s="12"/>
      <c r="B29" s="9" t="s">
        <v>53</v>
      </c>
      <c r="C29" s="14"/>
      <c r="D29" s="16"/>
      <c r="E29" s="12"/>
      <c r="F29" s="12">
        <v>94481.43</v>
      </c>
      <c r="G29" s="14"/>
      <c r="H29" s="16"/>
      <c r="I29" s="43"/>
    </row>
    <row r="30" spans="1:9" x14ac:dyDescent="0.25">
      <c r="A30" s="12"/>
      <c r="B30" s="9" t="s">
        <v>54</v>
      </c>
      <c r="C30" s="14"/>
      <c r="D30" s="16"/>
      <c r="E30" s="12"/>
      <c r="F30" s="12">
        <v>0</v>
      </c>
      <c r="G30" s="14"/>
      <c r="H30" s="16"/>
      <c r="I30" s="44"/>
    </row>
    <row r="31" spans="1:9" x14ac:dyDescent="0.25">
      <c r="A31" s="11" t="s">
        <v>55</v>
      </c>
      <c r="B31" s="11" t="s">
        <v>146</v>
      </c>
      <c r="C31" s="41"/>
      <c r="D31" s="42" t="s">
        <v>71</v>
      </c>
      <c r="E31" s="11"/>
      <c r="F31" s="11"/>
      <c r="G31" s="41" t="s">
        <v>147</v>
      </c>
      <c r="H31" s="42" t="s">
        <v>71</v>
      </c>
      <c r="I31" s="43"/>
    </row>
    <row r="32" spans="1:9" x14ac:dyDescent="0.25">
      <c r="A32" s="12"/>
      <c r="B32" s="12" t="s">
        <v>148</v>
      </c>
      <c r="C32" s="17"/>
      <c r="D32" s="15">
        <v>86479.73</v>
      </c>
      <c r="E32" s="12">
        <v>0</v>
      </c>
      <c r="F32" s="12">
        <f>F34</f>
        <v>18.93</v>
      </c>
      <c r="G32" s="14">
        <f>I67</f>
        <v>0</v>
      </c>
      <c r="H32" s="15">
        <f>D32+F32-G32</f>
        <v>86498.659999999989</v>
      </c>
      <c r="I32" s="17"/>
    </row>
    <row r="33" spans="1:9" x14ac:dyDescent="0.25">
      <c r="A33" s="7"/>
      <c r="B33" s="62" t="s">
        <v>112</v>
      </c>
      <c r="C33" s="60"/>
      <c r="D33" s="38"/>
      <c r="E33" s="128"/>
      <c r="F33" s="22"/>
      <c r="G33" s="37"/>
      <c r="H33" s="38"/>
      <c r="I33" s="22"/>
    </row>
    <row r="34" spans="1:9" x14ac:dyDescent="0.25">
      <c r="A34" s="9"/>
      <c r="B34" s="9" t="s">
        <v>53</v>
      </c>
      <c r="C34" s="39"/>
      <c r="D34" s="8"/>
      <c r="E34" s="9">
        <v>0</v>
      </c>
      <c r="F34" s="11">
        <v>18.93</v>
      </c>
      <c r="G34" s="10"/>
      <c r="H34" s="8"/>
      <c r="I34" s="29"/>
    </row>
    <row r="35" spans="1:9" x14ac:dyDescent="0.25">
      <c r="A35" s="9"/>
      <c r="B35" s="9" t="s">
        <v>54</v>
      </c>
      <c r="C35" s="10"/>
      <c r="D35" s="8" t="s">
        <v>71</v>
      </c>
      <c r="E35" s="9">
        <v>0</v>
      </c>
      <c r="F35" s="9">
        <v>0</v>
      </c>
      <c r="G35" s="10">
        <v>0</v>
      </c>
      <c r="H35" s="8"/>
      <c r="I35" s="54"/>
    </row>
    <row r="36" spans="1:9" x14ac:dyDescent="0.25">
      <c r="A36" s="1" t="s">
        <v>58</v>
      </c>
      <c r="B36" s="1"/>
      <c r="C36" s="1"/>
      <c r="D36" s="47"/>
      <c r="E36" s="1"/>
      <c r="F36" s="1"/>
      <c r="G36" s="2"/>
      <c r="H36" s="2"/>
      <c r="I36" s="2"/>
    </row>
    <row r="37" spans="1:9" x14ac:dyDescent="0.25">
      <c r="A37" s="1"/>
      <c r="B37" s="1"/>
      <c r="C37" s="1"/>
      <c r="D37" s="47"/>
      <c r="E37" s="1"/>
      <c r="F37" s="1"/>
      <c r="G37" s="2"/>
      <c r="H37" s="2"/>
      <c r="I37" s="2"/>
    </row>
    <row r="38" spans="1:9" x14ac:dyDescent="0.25">
      <c r="A38" s="1"/>
      <c r="B38" s="1"/>
      <c r="C38" s="1"/>
      <c r="D38" s="47"/>
      <c r="E38" s="1"/>
      <c r="F38" s="1"/>
      <c r="G38" s="2"/>
      <c r="H38" s="2"/>
      <c r="I38" s="2"/>
    </row>
    <row r="39" spans="1:9" x14ac:dyDescent="0.25">
      <c r="A39" s="25" t="s">
        <v>59</v>
      </c>
      <c r="B39" s="58" t="s">
        <v>60</v>
      </c>
      <c r="C39" s="6" t="s">
        <v>64</v>
      </c>
      <c r="D39" s="49" t="s">
        <v>62</v>
      </c>
      <c r="E39" s="58" t="s">
        <v>63</v>
      </c>
      <c r="F39" s="6" t="s">
        <v>64</v>
      </c>
      <c r="G39" s="6"/>
      <c r="H39" s="58" t="s">
        <v>199</v>
      </c>
      <c r="I39" s="49"/>
    </row>
    <row r="40" spans="1:9" x14ac:dyDescent="0.25">
      <c r="A40" s="7"/>
      <c r="B40" s="60"/>
      <c r="C40" s="62" t="s">
        <v>66</v>
      </c>
      <c r="D40" s="53" t="s">
        <v>23</v>
      </c>
      <c r="E40" s="74" t="s">
        <v>312</v>
      </c>
      <c r="F40" s="62" t="s">
        <v>30</v>
      </c>
      <c r="G40" s="62"/>
      <c r="H40" s="74"/>
      <c r="I40" s="53"/>
    </row>
    <row r="41" spans="1:9" x14ac:dyDescent="0.25">
      <c r="A41" s="12"/>
      <c r="B41" s="74" t="s">
        <v>68</v>
      </c>
      <c r="C41" s="29">
        <v>16498.5</v>
      </c>
      <c r="D41" s="9">
        <v>9153</v>
      </c>
      <c r="E41" s="79">
        <f>D41*15%</f>
        <v>1372.95</v>
      </c>
      <c r="F41" s="54">
        <f>C41+(D41-E41)</f>
        <v>24278.55</v>
      </c>
      <c r="G41" s="54"/>
      <c r="H41" s="79">
        <f>F41</f>
        <v>24278.55</v>
      </c>
      <c r="I41" s="53"/>
    </row>
    <row r="42" spans="1:9" x14ac:dyDescent="0.25">
      <c r="A42" s="60"/>
      <c r="B42" s="60"/>
      <c r="C42" s="60"/>
      <c r="D42" s="118"/>
      <c r="E42" s="37"/>
      <c r="F42" s="37"/>
      <c r="G42" s="37"/>
      <c r="H42" s="37"/>
      <c r="I42" s="60"/>
    </row>
    <row r="43" spans="1:9" x14ac:dyDescent="0.25">
      <c r="A43" s="1" t="s">
        <v>252</v>
      </c>
      <c r="B43" s="1"/>
      <c r="C43" s="1"/>
      <c r="D43" s="47"/>
      <c r="E43" s="1"/>
      <c r="F43" s="1"/>
      <c r="G43" s="1"/>
      <c r="H43" s="1"/>
      <c r="I43" s="1"/>
    </row>
    <row r="44" spans="1:9" x14ac:dyDescent="0.25">
      <c r="A44" s="6" t="s">
        <v>71</v>
      </c>
      <c r="B44" s="48" t="s">
        <v>72</v>
      </c>
      <c r="C44" s="6" t="s">
        <v>73</v>
      </c>
      <c r="D44" s="58" t="s">
        <v>74</v>
      </c>
      <c r="E44" s="6" t="s">
        <v>75</v>
      </c>
      <c r="F44" s="58" t="s">
        <v>76</v>
      </c>
      <c r="G44" s="6" t="s">
        <v>253</v>
      </c>
      <c r="H44" s="6" t="s">
        <v>78</v>
      </c>
      <c r="I44" s="6" t="s">
        <v>19</v>
      </c>
    </row>
    <row r="45" spans="1:9" x14ac:dyDescent="0.25">
      <c r="A45" s="7"/>
      <c r="B45" s="51" t="s">
        <v>79</v>
      </c>
      <c r="C45" s="7" t="s">
        <v>80</v>
      </c>
      <c r="D45" s="60" t="s">
        <v>81</v>
      </c>
      <c r="E45" s="7" t="s">
        <v>82</v>
      </c>
      <c r="F45" s="60" t="s">
        <v>83</v>
      </c>
      <c r="G45" s="7" t="s">
        <v>84</v>
      </c>
      <c r="H45" s="7" t="s">
        <v>85</v>
      </c>
      <c r="I45" s="7" t="s">
        <v>86</v>
      </c>
    </row>
    <row r="46" spans="1:9" x14ac:dyDescent="0.25">
      <c r="A46" s="7"/>
      <c r="B46" s="51"/>
      <c r="C46" s="7"/>
      <c r="D46" s="60"/>
      <c r="E46" s="7"/>
      <c r="F46" s="60" t="s">
        <v>87</v>
      </c>
      <c r="G46" s="62" t="s">
        <v>88</v>
      </c>
      <c r="H46" s="62"/>
      <c r="I46" s="7" t="s">
        <v>544</v>
      </c>
    </row>
    <row r="47" spans="1:9" x14ac:dyDescent="0.25">
      <c r="A47" s="6">
        <v>1</v>
      </c>
      <c r="B47" s="6" t="s">
        <v>90</v>
      </c>
      <c r="C47" s="68" t="s">
        <v>91</v>
      </c>
      <c r="D47" s="6">
        <v>-187973.06</v>
      </c>
      <c r="E47" s="122">
        <v>394123.04</v>
      </c>
      <c r="F47" s="6">
        <v>348822.42</v>
      </c>
      <c r="G47" s="122">
        <f>E47</f>
        <v>394123.04</v>
      </c>
      <c r="H47" s="7">
        <f>D47+F47-G47</f>
        <v>-233273.68</v>
      </c>
      <c r="I47" s="6">
        <f>H47</f>
        <v>-233273.68</v>
      </c>
    </row>
    <row r="48" spans="1:9" x14ac:dyDescent="0.25">
      <c r="A48" s="9"/>
      <c r="B48" s="9" t="s">
        <v>92</v>
      </c>
      <c r="C48" s="41" t="s">
        <v>93</v>
      </c>
      <c r="D48" s="9"/>
      <c r="E48" s="65"/>
      <c r="F48" s="9"/>
      <c r="G48" s="65"/>
      <c r="H48" s="9"/>
      <c r="I48" s="9"/>
    </row>
    <row r="49" spans="1:9" x14ac:dyDescent="0.25">
      <c r="A49" s="7">
        <v>2</v>
      </c>
      <c r="B49" s="7" t="s">
        <v>94</v>
      </c>
      <c r="C49" s="1" t="s">
        <v>95</v>
      </c>
      <c r="D49" s="7">
        <v>-374382.71</v>
      </c>
      <c r="E49" s="2">
        <v>597086.63</v>
      </c>
      <c r="F49" s="7">
        <v>507282.05</v>
      </c>
      <c r="G49" s="2">
        <f>E49</f>
        <v>597086.63</v>
      </c>
      <c r="H49" s="7">
        <f>D49+F49-G49</f>
        <v>-464187.29000000004</v>
      </c>
      <c r="I49" s="7">
        <f>H49</f>
        <v>-464187.29000000004</v>
      </c>
    </row>
    <row r="50" spans="1:9" x14ac:dyDescent="0.25">
      <c r="A50" s="9"/>
      <c r="B50" s="9" t="s">
        <v>96</v>
      </c>
      <c r="C50" s="41"/>
      <c r="D50" s="6" t="s">
        <v>71</v>
      </c>
      <c r="E50" s="10"/>
      <c r="F50" s="9"/>
      <c r="G50" s="10"/>
      <c r="H50" s="6" t="s">
        <v>71</v>
      </c>
      <c r="I50" s="6" t="str">
        <f>H50</f>
        <v xml:space="preserve"> </v>
      </c>
    </row>
    <row r="51" spans="1:9" x14ac:dyDescent="0.25">
      <c r="A51" s="9"/>
      <c r="B51" s="9" t="s">
        <v>202</v>
      </c>
      <c r="C51" s="41" t="s">
        <v>93</v>
      </c>
      <c r="D51" s="6"/>
      <c r="E51" s="10"/>
      <c r="F51" s="9"/>
      <c r="G51" s="10"/>
      <c r="H51" s="6"/>
      <c r="I51" s="6"/>
    </row>
    <row r="52" spans="1:9" x14ac:dyDescent="0.25">
      <c r="A52" s="9">
        <v>3</v>
      </c>
      <c r="B52" s="9" t="s">
        <v>98</v>
      </c>
      <c r="C52" s="41" t="s">
        <v>203</v>
      </c>
      <c r="D52" s="9">
        <v>-624079.31999999995</v>
      </c>
      <c r="E52" s="10">
        <v>1008922.87</v>
      </c>
      <c r="F52" s="9">
        <v>1003995.63</v>
      </c>
      <c r="G52" s="10">
        <f>E52</f>
        <v>1008922.87</v>
      </c>
      <c r="H52" s="9">
        <f>D52+F52-G52</f>
        <v>-629006.55999999994</v>
      </c>
      <c r="I52" s="9">
        <f>H52</f>
        <v>-629006.55999999994</v>
      </c>
    </row>
    <row r="53" spans="1:9" x14ac:dyDescent="0.25">
      <c r="A53" s="1" t="s">
        <v>255</v>
      </c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5" t="s">
        <v>256</v>
      </c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48" t="s">
        <v>12</v>
      </c>
      <c r="B55" s="6" t="s">
        <v>102</v>
      </c>
      <c r="C55" s="58" t="s">
        <v>103</v>
      </c>
      <c r="D55" s="58"/>
      <c r="E55" s="58"/>
      <c r="F55" s="48" t="s">
        <v>172</v>
      </c>
      <c r="G55" s="58"/>
      <c r="H55" s="49"/>
      <c r="I55" s="6" t="s">
        <v>105</v>
      </c>
    </row>
    <row r="56" spans="1:9" x14ac:dyDescent="0.25">
      <c r="A56" s="51" t="s">
        <v>106</v>
      </c>
      <c r="B56" s="7"/>
      <c r="C56" s="60"/>
      <c r="D56" s="60"/>
      <c r="E56" s="60"/>
      <c r="F56" s="51" t="s">
        <v>204</v>
      </c>
      <c r="G56" s="60"/>
      <c r="H56" s="61"/>
      <c r="I56" s="7" t="s">
        <v>108</v>
      </c>
    </row>
    <row r="57" spans="1:9" x14ac:dyDescent="0.25">
      <c r="A57" s="51"/>
      <c r="B57" s="62"/>
      <c r="C57" s="60"/>
      <c r="D57" s="60"/>
      <c r="E57" s="60"/>
      <c r="F57" s="51" t="s">
        <v>662</v>
      </c>
      <c r="G57" s="60"/>
      <c r="H57" s="61"/>
      <c r="I57" s="7"/>
    </row>
    <row r="58" spans="1:9" x14ac:dyDescent="0.25">
      <c r="A58" s="67" t="s">
        <v>110</v>
      </c>
      <c r="B58" s="18"/>
      <c r="C58" s="68" t="s">
        <v>111</v>
      </c>
      <c r="D58" s="68"/>
      <c r="E58" s="68"/>
      <c r="F58" s="48"/>
      <c r="G58" s="58"/>
      <c r="H58" s="58"/>
      <c r="I58" s="6"/>
    </row>
    <row r="59" spans="1:9" x14ac:dyDescent="0.25">
      <c r="A59" s="69"/>
      <c r="B59" s="7"/>
      <c r="C59" s="5" t="s">
        <v>130</v>
      </c>
      <c r="D59" s="60"/>
      <c r="E59" s="60"/>
      <c r="F59" s="51" t="s">
        <v>71</v>
      </c>
      <c r="G59" s="37"/>
      <c r="H59" s="60" t="s">
        <v>71</v>
      </c>
      <c r="I59" s="7" t="s">
        <v>71</v>
      </c>
    </row>
    <row r="60" spans="1:9" x14ac:dyDescent="0.25">
      <c r="A60" s="69" t="s">
        <v>113</v>
      </c>
      <c r="B60" s="70">
        <v>42851</v>
      </c>
      <c r="C60" s="60" t="s">
        <v>114</v>
      </c>
      <c r="D60" s="60"/>
      <c r="E60" s="60"/>
      <c r="F60" s="51"/>
      <c r="G60" s="37">
        <f>I60/4409.1</f>
        <v>5.8515343267333462</v>
      </c>
      <c r="H60" s="60"/>
      <c r="I60" s="7">
        <v>25800</v>
      </c>
    </row>
    <row r="61" spans="1:9" x14ac:dyDescent="0.25">
      <c r="A61" s="69" t="s">
        <v>331</v>
      </c>
      <c r="B61" s="70">
        <v>42947</v>
      </c>
      <c r="C61" s="60" t="s">
        <v>663</v>
      </c>
      <c r="D61" s="60"/>
      <c r="E61" s="60"/>
      <c r="F61" s="51"/>
      <c r="G61" s="37">
        <f>I61/4409.1</f>
        <v>2.2512462860901312</v>
      </c>
      <c r="H61" s="60"/>
      <c r="I61" s="7">
        <v>9925.9699999999993</v>
      </c>
    </row>
    <row r="62" spans="1:9" x14ac:dyDescent="0.25">
      <c r="A62" s="69"/>
      <c r="B62" s="70"/>
      <c r="C62" s="60"/>
      <c r="D62" s="60"/>
      <c r="E62" s="60"/>
      <c r="F62" s="51"/>
      <c r="G62" s="37" t="s">
        <v>71</v>
      </c>
      <c r="H62" s="60"/>
      <c r="I62" s="7"/>
    </row>
    <row r="63" spans="1:9" x14ac:dyDescent="0.25">
      <c r="A63" s="69"/>
      <c r="B63" s="18"/>
      <c r="C63" s="5" t="s">
        <v>118</v>
      </c>
      <c r="D63" s="5"/>
      <c r="E63" s="5"/>
      <c r="F63" s="59"/>
      <c r="G63" s="196">
        <f>SUM(G60:G62)</f>
        <v>8.1027806128234765</v>
      </c>
      <c r="H63" s="5"/>
      <c r="I63" s="12">
        <f>SUM(I60:I62)</f>
        <v>35725.97</v>
      </c>
    </row>
    <row r="64" spans="1:9" x14ac:dyDescent="0.25">
      <c r="A64" s="6"/>
      <c r="B64" s="6"/>
      <c r="C64" s="48"/>
      <c r="D64" s="58"/>
      <c r="E64" s="49"/>
      <c r="F64" s="48"/>
      <c r="G64" s="58"/>
      <c r="H64" s="49"/>
    </row>
    <row r="65" spans="1:9" x14ac:dyDescent="0.25">
      <c r="A65" s="6" t="s">
        <v>48</v>
      </c>
      <c r="B65" s="25" t="s">
        <v>119</v>
      </c>
      <c r="C65" s="57" t="s">
        <v>120</v>
      </c>
      <c r="D65" s="58"/>
      <c r="E65" s="49"/>
      <c r="F65" s="48" t="s">
        <v>121</v>
      </c>
      <c r="G65" s="58"/>
      <c r="H65" s="49"/>
      <c r="I65" s="6"/>
    </row>
    <row r="66" spans="1:9" x14ac:dyDescent="0.25">
      <c r="A66" s="69"/>
      <c r="B66" s="70"/>
      <c r="C66" s="51"/>
      <c r="D66" s="60"/>
      <c r="E66" s="61"/>
      <c r="F66" s="51"/>
      <c r="G66" s="37"/>
      <c r="H66" s="61"/>
      <c r="I66" s="7"/>
    </row>
    <row r="67" spans="1:9" x14ac:dyDescent="0.25">
      <c r="A67" s="73"/>
      <c r="B67" s="62" t="s">
        <v>119</v>
      </c>
      <c r="C67" s="15" t="s">
        <v>118</v>
      </c>
      <c r="D67" s="74"/>
      <c r="E67" s="53"/>
      <c r="F67" s="52" t="s">
        <v>71</v>
      </c>
      <c r="G67" s="78">
        <f>SUM(G66:G66)</f>
        <v>0</v>
      </c>
      <c r="H67" s="53"/>
      <c r="I67" s="12">
        <f>SUM(I66:I66)</f>
        <v>0</v>
      </c>
    </row>
    <row r="68" spans="1:9" x14ac:dyDescent="0.25">
      <c r="A68" s="2" t="s">
        <v>664</v>
      </c>
      <c r="B68" s="2"/>
      <c r="C68" s="2"/>
      <c r="D68" s="114" t="s">
        <v>123</v>
      </c>
      <c r="F68" s="2" t="s">
        <v>124</v>
      </c>
      <c r="G68" s="2" t="s">
        <v>262</v>
      </c>
      <c r="H68" s="2"/>
      <c r="I68" s="2" t="s">
        <v>263</v>
      </c>
    </row>
    <row r="69" spans="1:9" x14ac:dyDescent="0.25">
      <c r="A69" s="2"/>
      <c r="B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4" zoomScale="110" zoomScaleNormal="110" workbookViewId="0">
      <selection activeCell="H29" sqref="H29"/>
    </sheetView>
  </sheetViews>
  <sheetFormatPr defaultRowHeight="15" x14ac:dyDescent="0.25"/>
  <cols>
    <col min="1" max="1" width="4.140625" style="3" customWidth="1"/>
    <col min="2" max="2" width="31.42578125" style="3" customWidth="1"/>
    <col min="3" max="3" width="12.42578125" style="3" customWidth="1"/>
    <col min="4" max="4" width="11.7109375" style="3" customWidth="1"/>
    <col min="5" max="5" width="12" style="3" customWidth="1"/>
    <col min="6" max="6" width="12.28515625" style="3" customWidth="1"/>
    <col min="7" max="7" width="11.28515625" style="3" customWidth="1"/>
    <col min="8" max="8" width="12" style="3" customWidth="1"/>
    <col min="9" max="9" width="17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211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212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213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214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215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30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6">
        <v>9</v>
      </c>
    </row>
    <row r="19" spans="1:9" x14ac:dyDescent="0.25">
      <c r="A19" s="42">
        <v>1</v>
      </c>
      <c r="B19" s="11" t="s">
        <v>191</v>
      </c>
      <c r="C19" s="41" t="s">
        <v>71</v>
      </c>
      <c r="D19" s="11"/>
      <c r="E19" s="33" t="s">
        <v>71</v>
      </c>
      <c r="F19" s="11" t="s">
        <v>71</v>
      </c>
      <c r="G19" s="42"/>
      <c r="H19" s="11" t="s">
        <v>71</v>
      </c>
      <c r="I19" s="32" t="s">
        <v>71</v>
      </c>
    </row>
    <row r="20" spans="1:9" x14ac:dyDescent="0.25">
      <c r="A20" s="15"/>
      <c r="B20" s="12" t="s">
        <v>192</v>
      </c>
      <c r="C20" s="78">
        <v>7.56</v>
      </c>
      <c r="D20" s="17">
        <v>-2063.5</v>
      </c>
      <c r="E20" s="78">
        <v>4073.74</v>
      </c>
      <c r="F20" s="17">
        <v>3608.6</v>
      </c>
      <c r="G20" s="16">
        <f t="shared" ref="G20:G26" si="0">E20</f>
        <v>4073.74</v>
      </c>
      <c r="H20" s="17">
        <f>D20+F20-G20</f>
        <v>-2528.64</v>
      </c>
      <c r="I20" s="13">
        <f>H20</f>
        <v>-2528.64</v>
      </c>
    </row>
    <row r="21" spans="1:9" x14ac:dyDescent="0.25">
      <c r="A21" s="11" t="s">
        <v>36</v>
      </c>
      <c r="B21" s="11" t="s">
        <v>37</v>
      </c>
      <c r="C21" s="33">
        <v>2.62</v>
      </c>
      <c r="D21" s="43"/>
      <c r="E21" s="33">
        <v>1405.44</v>
      </c>
      <c r="F21" s="34">
        <v>1244.97</v>
      </c>
      <c r="G21" s="34">
        <f t="shared" si="0"/>
        <v>1405.44</v>
      </c>
      <c r="H21" s="43" t="s">
        <v>71</v>
      </c>
      <c r="I21" s="35"/>
    </row>
    <row r="22" spans="1:9" x14ac:dyDescent="0.25">
      <c r="A22" s="101" t="s">
        <v>38</v>
      </c>
      <c r="B22" s="11" t="s">
        <v>39</v>
      </c>
      <c r="C22" s="33">
        <v>1.33</v>
      </c>
      <c r="D22" s="43"/>
      <c r="E22" s="33">
        <f>E20*18%</f>
        <v>733.27319999999997</v>
      </c>
      <c r="F22" s="34">
        <f>F20*18%</f>
        <v>649.548</v>
      </c>
      <c r="G22" s="34">
        <f t="shared" si="0"/>
        <v>733.27319999999997</v>
      </c>
      <c r="H22" s="29"/>
      <c r="I22" s="35"/>
    </row>
    <row r="23" spans="1:9" x14ac:dyDescent="0.25">
      <c r="A23" s="101" t="s">
        <v>40</v>
      </c>
      <c r="B23" s="11" t="s">
        <v>41</v>
      </c>
      <c r="C23" s="33">
        <v>1.22</v>
      </c>
      <c r="D23" s="43"/>
      <c r="E23" s="33">
        <f>E20*16%</f>
        <v>651.79840000000002</v>
      </c>
      <c r="F23" s="34">
        <f>F20*16%</f>
        <v>577.37599999999998</v>
      </c>
      <c r="G23" s="34">
        <f t="shared" si="0"/>
        <v>651.79840000000002</v>
      </c>
      <c r="H23" s="29"/>
      <c r="I23" s="35"/>
    </row>
    <row r="24" spans="1:9" x14ac:dyDescent="0.25">
      <c r="A24" s="31" t="s">
        <v>42</v>
      </c>
      <c r="B24" s="25" t="s">
        <v>43</v>
      </c>
      <c r="C24" s="27">
        <v>2.39</v>
      </c>
      <c r="D24" s="43"/>
      <c r="E24" s="45">
        <f>E20*31.5%</f>
        <v>1283.2281</v>
      </c>
      <c r="F24" s="45">
        <f>F20*31.5%</f>
        <v>1136.7090000000001</v>
      </c>
      <c r="G24" s="16">
        <f t="shared" si="0"/>
        <v>1283.2281</v>
      </c>
      <c r="H24" s="55"/>
      <c r="I24" s="29"/>
    </row>
    <row r="25" spans="1:9" x14ac:dyDescent="0.25">
      <c r="A25" s="24" t="s">
        <v>44</v>
      </c>
      <c r="B25" s="6" t="s">
        <v>47</v>
      </c>
      <c r="C25" s="86"/>
      <c r="D25" s="29"/>
      <c r="E25" s="29">
        <v>328.94</v>
      </c>
      <c r="F25" s="29">
        <v>227.32</v>
      </c>
      <c r="G25" s="39">
        <f t="shared" si="0"/>
        <v>328.94</v>
      </c>
      <c r="H25" s="40">
        <f>F25-E25</f>
        <v>-101.62</v>
      </c>
      <c r="I25" s="29">
        <f>H25</f>
        <v>-101.62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-4400.8900000000003</v>
      </c>
      <c r="E26" s="11">
        <v>1909.53</v>
      </c>
      <c r="F26" s="11">
        <v>1541.23</v>
      </c>
      <c r="G26" s="10">
        <f t="shared" si="0"/>
        <v>1909.53</v>
      </c>
      <c r="H26" s="42">
        <f>D26+F26-G26</f>
        <v>-4769.1900000000005</v>
      </c>
      <c r="I26" s="43"/>
    </row>
    <row r="27" spans="1:9" x14ac:dyDescent="0.25">
      <c r="A27" s="25" t="s">
        <v>51</v>
      </c>
      <c r="B27" s="25" t="s">
        <v>216</v>
      </c>
      <c r="C27" s="25"/>
      <c r="D27" s="28"/>
      <c r="E27" s="45"/>
      <c r="F27" s="45"/>
      <c r="G27" s="27"/>
      <c r="H27" s="28"/>
      <c r="I27" s="45"/>
    </row>
    <row r="28" spans="1:9" x14ac:dyDescent="0.25">
      <c r="A28" s="12"/>
      <c r="B28" s="12" t="s">
        <v>217</v>
      </c>
      <c r="C28" s="12">
        <v>1.65</v>
      </c>
      <c r="D28" s="15">
        <f>--4078.95</f>
        <v>4078.95</v>
      </c>
      <c r="E28" s="12">
        <v>889.1</v>
      </c>
      <c r="F28" s="12">
        <v>787.6</v>
      </c>
      <c r="G28" s="14">
        <f>I48</f>
        <v>0</v>
      </c>
      <c r="H28" s="15">
        <f>D28+F28-G28</f>
        <v>4866.55</v>
      </c>
      <c r="I28" s="17">
        <f>H28</f>
        <v>4866.55</v>
      </c>
    </row>
    <row r="29" spans="1:9" x14ac:dyDescent="0.25">
      <c r="A29" s="1" t="s">
        <v>58</v>
      </c>
      <c r="B29" s="2"/>
      <c r="C29" s="2"/>
      <c r="E29" s="2"/>
      <c r="F29" s="2"/>
      <c r="G29" s="2"/>
      <c r="H29" s="102"/>
      <c r="I29" s="2"/>
    </row>
    <row r="30" spans="1:9" x14ac:dyDescent="0.25">
      <c r="A30" s="5" t="s">
        <v>69</v>
      </c>
    </row>
    <row r="31" spans="1:9" x14ac:dyDescent="0.25">
      <c r="A31" s="1" t="s">
        <v>70</v>
      </c>
      <c r="B31" s="5"/>
      <c r="C31" s="5"/>
      <c r="D31" s="56"/>
      <c r="E31" s="5"/>
      <c r="F31" s="5"/>
      <c r="G31" s="5"/>
      <c r="H31" s="5"/>
      <c r="I31" s="5"/>
    </row>
    <row r="32" spans="1:9" x14ac:dyDescent="0.25">
      <c r="A32" s="6" t="s">
        <v>71</v>
      </c>
      <c r="B32" s="68" t="s">
        <v>72</v>
      </c>
      <c r="C32" s="6" t="s">
        <v>73</v>
      </c>
      <c r="D32" s="58" t="s">
        <v>74</v>
      </c>
      <c r="E32" s="6" t="s">
        <v>75</v>
      </c>
      <c r="F32" s="58" t="s">
        <v>76</v>
      </c>
      <c r="G32" s="48" t="s">
        <v>77</v>
      </c>
      <c r="H32" s="75" t="s">
        <v>15</v>
      </c>
      <c r="I32" s="49" t="s">
        <v>19</v>
      </c>
    </row>
    <row r="33" spans="1:9" x14ac:dyDescent="0.25">
      <c r="A33" s="7"/>
      <c r="B33" s="5" t="s">
        <v>79</v>
      </c>
      <c r="C33" s="7" t="s">
        <v>80</v>
      </c>
      <c r="D33" s="60" t="s">
        <v>81</v>
      </c>
      <c r="E33" s="7" t="s">
        <v>82</v>
      </c>
      <c r="F33" s="60" t="s">
        <v>83</v>
      </c>
      <c r="G33" s="51" t="s">
        <v>84</v>
      </c>
      <c r="H33" s="22" t="s">
        <v>25</v>
      </c>
      <c r="I33" s="61" t="s">
        <v>86</v>
      </c>
    </row>
    <row r="34" spans="1:9" x14ac:dyDescent="0.25">
      <c r="A34" s="7"/>
      <c r="B34" s="60"/>
      <c r="C34" s="7"/>
      <c r="D34" s="60"/>
      <c r="E34" s="7"/>
      <c r="F34" s="60" t="s">
        <v>87</v>
      </c>
      <c r="G34" s="51" t="s">
        <v>88</v>
      </c>
      <c r="H34" s="22" t="s">
        <v>30</v>
      </c>
      <c r="I34" s="61" t="s">
        <v>30</v>
      </c>
    </row>
    <row r="35" spans="1:9" x14ac:dyDescent="0.25">
      <c r="A35" s="62"/>
      <c r="B35" s="62"/>
      <c r="C35" s="85"/>
      <c r="D35" s="53"/>
      <c r="E35" s="74"/>
      <c r="F35" s="52"/>
      <c r="G35" s="62"/>
      <c r="H35" s="53"/>
      <c r="I35" s="53"/>
    </row>
    <row r="36" spans="1:9" x14ac:dyDescent="0.25">
      <c r="A36" s="9">
        <v>1</v>
      </c>
      <c r="B36" s="9" t="s">
        <v>90</v>
      </c>
      <c r="C36" s="11" t="s">
        <v>91</v>
      </c>
      <c r="D36" s="9">
        <v>-33525.68</v>
      </c>
      <c r="E36" s="65">
        <v>700.01</v>
      </c>
      <c r="F36" s="9">
        <v>418.27</v>
      </c>
      <c r="G36" s="9">
        <f>E36</f>
        <v>700.01</v>
      </c>
      <c r="H36" s="9">
        <f>D36+F36-G36</f>
        <v>-33807.420000000006</v>
      </c>
      <c r="I36" s="9">
        <f>H36</f>
        <v>-33807.420000000006</v>
      </c>
    </row>
    <row r="37" spans="1:9" x14ac:dyDescent="0.25">
      <c r="A37" s="8"/>
      <c r="B37" s="9" t="s">
        <v>218</v>
      </c>
      <c r="C37" s="10" t="s">
        <v>93</v>
      </c>
      <c r="D37" s="8"/>
      <c r="E37" s="8"/>
      <c r="F37" s="9"/>
      <c r="G37" s="50"/>
      <c r="H37" s="50"/>
      <c r="I37" s="50"/>
    </row>
    <row r="38" spans="1:9" x14ac:dyDescent="0.25">
      <c r="A38" s="2"/>
      <c r="B38" s="2" t="s">
        <v>71</v>
      </c>
      <c r="C38" s="2"/>
      <c r="D38" s="2"/>
      <c r="E38" s="2"/>
      <c r="F38" s="2" t="s">
        <v>71</v>
      </c>
      <c r="G38" s="2"/>
      <c r="H38" s="2"/>
      <c r="I38" s="2"/>
    </row>
    <row r="39" spans="1:9" x14ac:dyDescent="0.25">
      <c r="A39" s="1" t="s">
        <v>219</v>
      </c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5" t="s">
        <v>220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48" t="s">
        <v>12</v>
      </c>
      <c r="B41" s="6" t="s">
        <v>221</v>
      </c>
      <c r="C41" s="58" t="s">
        <v>103</v>
      </c>
      <c r="D41" s="58"/>
      <c r="E41" s="58"/>
      <c r="F41" s="48" t="s">
        <v>222</v>
      </c>
      <c r="G41" s="58"/>
      <c r="H41" s="49"/>
      <c r="I41" s="6" t="s">
        <v>105</v>
      </c>
    </row>
    <row r="42" spans="1:9" x14ac:dyDescent="0.25">
      <c r="A42" s="51" t="s">
        <v>106</v>
      </c>
      <c r="B42" s="7" t="s">
        <v>223</v>
      </c>
      <c r="C42" s="60"/>
      <c r="D42" s="60"/>
      <c r="E42" s="60"/>
      <c r="F42" s="51" t="s">
        <v>224</v>
      </c>
      <c r="G42" s="60"/>
      <c r="H42" s="61"/>
      <c r="I42" s="7" t="s">
        <v>108</v>
      </c>
    </row>
    <row r="43" spans="1:9" x14ac:dyDescent="0.25">
      <c r="A43" s="51"/>
      <c r="B43" s="7"/>
      <c r="C43" s="60"/>
      <c r="D43" s="60"/>
      <c r="E43" s="60"/>
      <c r="F43" s="51" t="s">
        <v>225</v>
      </c>
      <c r="G43" s="60"/>
      <c r="H43" s="61"/>
      <c r="I43" s="7"/>
    </row>
    <row r="44" spans="1:9" x14ac:dyDescent="0.25">
      <c r="A44" s="51"/>
      <c r="B44" s="62"/>
      <c r="C44" s="60"/>
      <c r="D44" s="60"/>
      <c r="E44" s="60"/>
      <c r="F44" s="51" t="s">
        <v>226</v>
      </c>
      <c r="G44" s="60"/>
      <c r="H44" s="61"/>
      <c r="I44" s="7"/>
    </row>
    <row r="45" spans="1:9" x14ac:dyDescent="0.25">
      <c r="A45" s="67" t="s">
        <v>110</v>
      </c>
      <c r="B45" s="25"/>
      <c r="C45" s="68" t="s">
        <v>111</v>
      </c>
      <c r="D45" s="68"/>
      <c r="E45" s="68"/>
      <c r="F45" s="48"/>
      <c r="G45" s="58"/>
      <c r="H45" s="49"/>
      <c r="I45" s="6"/>
    </row>
    <row r="46" spans="1:9" x14ac:dyDescent="0.25">
      <c r="A46" s="69"/>
      <c r="B46" s="7"/>
      <c r="C46" s="60" t="s">
        <v>112</v>
      </c>
      <c r="D46" s="60"/>
      <c r="E46" s="60"/>
      <c r="F46" s="51" t="s">
        <v>71</v>
      </c>
      <c r="G46" s="37"/>
      <c r="H46" s="61" t="s">
        <v>71</v>
      </c>
      <c r="I46" s="7" t="s">
        <v>71</v>
      </c>
    </row>
    <row r="47" spans="1:9" x14ac:dyDescent="0.25">
      <c r="A47" s="69" t="s">
        <v>71</v>
      </c>
      <c r="B47" s="70"/>
      <c r="C47" s="60"/>
      <c r="D47" s="60"/>
      <c r="E47" s="60"/>
      <c r="F47" s="51"/>
      <c r="G47" s="37" t="s">
        <v>71</v>
      </c>
      <c r="H47" s="61"/>
      <c r="I47" s="7"/>
    </row>
    <row r="48" spans="1:9" x14ac:dyDescent="0.25">
      <c r="A48" s="73"/>
      <c r="B48" s="62"/>
      <c r="C48" s="14" t="s">
        <v>118</v>
      </c>
      <c r="D48" s="14"/>
      <c r="E48" s="14"/>
      <c r="F48" s="15"/>
      <c r="G48" s="78" t="s">
        <v>71</v>
      </c>
      <c r="H48" s="85"/>
      <c r="I48" s="12">
        <f>SUM(I47:I47)</f>
        <v>0</v>
      </c>
    </row>
    <row r="49" spans="1:9" x14ac:dyDescent="0.25">
      <c r="A49" s="103"/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2" t="s">
        <v>227</v>
      </c>
      <c r="B50" s="2"/>
      <c r="C50" s="2" t="s">
        <v>71</v>
      </c>
      <c r="D50" s="2" t="s">
        <v>123</v>
      </c>
      <c r="E50" s="2"/>
      <c r="F50" s="2" t="s">
        <v>124</v>
      </c>
      <c r="G50" s="2"/>
      <c r="H50" s="2" t="s">
        <v>228</v>
      </c>
      <c r="I50" s="2"/>
    </row>
    <row r="51" spans="1:9" x14ac:dyDescent="0.25">
      <c r="A51" s="2"/>
      <c r="B51" s="2"/>
    </row>
  </sheetData>
  <pageMargins left="0.7" right="0.7" top="0.75" bottom="0.75" header="0.3" footer="0.3"/>
  <pageSetup paperSize="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6" zoomScale="110" zoomScaleNormal="110" workbookViewId="0">
      <selection activeCell="B11" sqref="B11"/>
    </sheetView>
  </sheetViews>
  <sheetFormatPr defaultRowHeight="15" x14ac:dyDescent="0.25"/>
  <cols>
    <col min="1" max="1" width="5.5703125" style="3" customWidth="1"/>
    <col min="2" max="2" width="32" style="3" customWidth="1"/>
    <col min="3" max="3" width="13.42578125" style="3" customWidth="1"/>
    <col min="4" max="4" width="11" style="3" customWidth="1"/>
    <col min="5" max="5" width="11.7109375" style="3" customWidth="1"/>
    <col min="6" max="6" width="11.28515625" style="3" customWidth="1"/>
    <col min="7" max="7" width="11.5703125" style="3" customWidth="1"/>
    <col min="8" max="8" width="12.42578125" style="3" customWidth="1"/>
    <col min="9" max="9" width="19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665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666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667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49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61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61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668</v>
      </c>
    </row>
    <row r="16" spans="1:9" x14ac:dyDescent="0.25">
      <c r="A16" s="61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669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4">
        <v>1</v>
      </c>
      <c r="B18" s="12" t="s">
        <v>670</v>
      </c>
      <c r="C18" s="12">
        <v>7.97</v>
      </c>
      <c r="D18" s="17">
        <v>-14484.67</v>
      </c>
      <c r="E18" s="17">
        <v>416289.36</v>
      </c>
      <c r="F18" s="14">
        <v>404946.33</v>
      </c>
      <c r="G18" s="17">
        <f t="shared" ref="G18:G25" si="0">E18</f>
        <v>416289.36</v>
      </c>
      <c r="H18" s="16">
        <f>D18+F18-G18</f>
        <v>-25827.699999999953</v>
      </c>
      <c r="I18" s="17">
        <f>H18</f>
        <v>-25827.699999999953</v>
      </c>
    </row>
    <row r="19" spans="1:9" x14ac:dyDescent="0.25">
      <c r="A19" s="99" t="s">
        <v>113</v>
      </c>
      <c r="B19" s="62" t="s">
        <v>37</v>
      </c>
      <c r="C19" s="74">
        <v>2.62</v>
      </c>
      <c r="D19" s="54"/>
      <c r="E19" s="141">
        <f>E18*33%</f>
        <v>137375.48879999999</v>
      </c>
      <c r="F19" s="54">
        <f>F18*33/100</f>
        <v>133632.28890000001</v>
      </c>
      <c r="G19" s="54">
        <f t="shared" si="0"/>
        <v>137375.48879999999</v>
      </c>
      <c r="H19" s="55"/>
      <c r="I19" s="54"/>
    </row>
    <row r="20" spans="1:9" x14ac:dyDescent="0.25">
      <c r="A20" s="91" t="s">
        <v>38</v>
      </c>
      <c r="B20" s="6" t="s">
        <v>39</v>
      </c>
      <c r="C20" s="58">
        <v>1.33</v>
      </c>
      <c r="D20" s="75"/>
      <c r="E20" s="75">
        <f>E18*17%</f>
        <v>70769.191200000001</v>
      </c>
      <c r="F20" s="75">
        <f>F18*17%</f>
        <v>68840.876100000009</v>
      </c>
      <c r="G20" s="75">
        <f t="shared" si="0"/>
        <v>70769.191200000001</v>
      </c>
      <c r="H20" s="105"/>
      <c r="I20" s="75"/>
    </row>
    <row r="21" spans="1:9" x14ac:dyDescent="0.25">
      <c r="A21" s="91" t="s">
        <v>40</v>
      </c>
      <c r="B21" s="6" t="s">
        <v>41</v>
      </c>
      <c r="C21" s="58">
        <v>1.63</v>
      </c>
      <c r="D21" s="75"/>
      <c r="E21" s="75">
        <f>E18*20%</f>
        <v>83257.872000000003</v>
      </c>
      <c r="F21" s="75">
        <f>F18*20%</f>
        <v>80989.266000000003</v>
      </c>
      <c r="G21" s="75">
        <f t="shared" si="0"/>
        <v>83257.872000000003</v>
      </c>
      <c r="H21" s="110"/>
      <c r="I21" s="75"/>
    </row>
    <row r="22" spans="1:9" x14ac:dyDescent="0.25">
      <c r="A22" s="91" t="s">
        <v>42</v>
      </c>
      <c r="B22" s="6" t="s">
        <v>43</v>
      </c>
      <c r="C22" s="58">
        <v>2.39</v>
      </c>
      <c r="D22" s="29"/>
      <c r="E22" s="75">
        <f>E18*30%</f>
        <v>124886.80799999999</v>
      </c>
      <c r="F22" s="75">
        <f>F18*30%</f>
        <v>121483.899</v>
      </c>
      <c r="G22" s="40">
        <f t="shared" si="0"/>
        <v>124886.80799999999</v>
      </c>
      <c r="H22" s="40"/>
      <c r="I22" s="29"/>
    </row>
    <row r="23" spans="1:9" x14ac:dyDescent="0.25">
      <c r="A23" s="91" t="s">
        <v>44</v>
      </c>
      <c r="B23" s="6" t="s">
        <v>45</v>
      </c>
      <c r="C23" s="58">
        <v>0.40322000000000002</v>
      </c>
      <c r="D23" s="29"/>
      <c r="E23" s="75">
        <v>12403.9</v>
      </c>
      <c r="F23" s="75">
        <v>13718.75</v>
      </c>
      <c r="G23" s="39">
        <f t="shared" si="0"/>
        <v>12403.9</v>
      </c>
      <c r="H23" s="40"/>
      <c r="I23" s="29"/>
    </row>
    <row r="24" spans="1:9" x14ac:dyDescent="0.25">
      <c r="A24" s="91" t="s">
        <v>46</v>
      </c>
      <c r="B24" s="6" t="s">
        <v>47</v>
      </c>
      <c r="C24" s="58">
        <v>0.69347000000000003</v>
      </c>
      <c r="D24" s="29"/>
      <c r="E24" s="10">
        <v>37307.69</v>
      </c>
      <c r="F24" s="9">
        <v>32303.27</v>
      </c>
      <c r="G24" s="10">
        <f>E24</f>
        <v>37307.69</v>
      </c>
      <c r="H24" s="11">
        <f>F24-E24</f>
        <v>-5004.4200000000019</v>
      </c>
      <c r="I24" s="11">
        <f>H24</f>
        <v>-5004.4200000000019</v>
      </c>
    </row>
    <row r="25" spans="1:9" x14ac:dyDescent="0.25">
      <c r="A25" s="46" t="s">
        <v>48</v>
      </c>
      <c r="B25" s="11" t="s">
        <v>49</v>
      </c>
      <c r="C25" s="11" t="s">
        <v>50</v>
      </c>
      <c r="D25" s="43">
        <v>-13624.33</v>
      </c>
      <c r="E25" s="11">
        <v>176822.85</v>
      </c>
      <c r="F25" s="11">
        <v>165290.12</v>
      </c>
      <c r="G25" s="41">
        <f t="shared" si="0"/>
        <v>176822.85</v>
      </c>
      <c r="H25" s="42">
        <f>D25+F25-G25</f>
        <v>-25157.059999999998</v>
      </c>
      <c r="I25" s="43">
        <f>H25</f>
        <v>-25157.059999999998</v>
      </c>
    </row>
    <row r="26" spans="1:9" x14ac:dyDescent="0.25">
      <c r="A26" s="72" t="s">
        <v>51</v>
      </c>
      <c r="B26" s="12" t="s">
        <v>459</v>
      </c>
      <c r="C26" s="14">
        <v>1.82</v>
      </c>
      <c r="D26" s="15">
        <v>69291.48</v>
      </c>
      <c r="E26" s="12">
        <v>95054.399999999994</v>
      </c>
      <c r="F26" s="12">
        <v>93805.49</v>
      </c>
      <c r="G26" s="12">
        <f>I58</f>
        <v>36296.51</v>
      </c>
      <c r="H26" s="15">
        <f>D26+F26-G26</f>
        <v>126800.45999999999</v>
      </c>
      <c r="I26" s="44"/>
    </row>
    <row r="27" spans="1:9" x14ac:dyDescent="0.25">
      <c r="A27" s="11" t="s">
        <v>55</v>
      </c>
      <c r="B27" s="11" t="s">
        <v>424</v>
      </c>
      <c r="C27" s="43"/>
      <c r="D27" s="11">
        <v>219694.93</v>
      </c>
      <c r="E27" s="11">
        <f>E29</f>
        <v>0</v>
      </c>
      <c r="F27" s="11">
        <f>F29</f>
        <v>551.83000000000004</v>
      </c>
      <c r="G27" s="46">
        <f>G29</f>
        <v>0</v>
      </c>
      <c r="H27" s="11">
        <f>D27+F27-G27</f>
        <v>220246.75999999998</v>
      </c>
      <c r="I27" s="43"/>
    </row>
    <row r="28" spans="1:9" x14ac:dyDescent="0.25">
      <c r="A28" s="61"/>
      <c r="B28" s="62" t="s">
        <v>112</v>
      </c>
      <c r="C28" s="60"/>
      <c r="D28" s="51"/>
      <c r="E28" s="7"/>
      <c r="F28" s="7"/>
      <c r="G28" s="62" t="s">
        <v>71</v>
      </c>
      <c r="H28" s="51"/>
      <c r="I28" s="22"/>
    </row>
    <row r="29" spans="1:9" x14ac:dyDescent="0.25">
      <c r="A29" s="50"/>
      <c r="B29" s="9" t="s">
        <v>53</v>
      </c>
      <c r="C29" s="39"/>
      <c r="D29" s="8"/>
      <c r="E29" s="11">
        <v>0</v>
      </c>
      <c r="F29" s="11">
        <v>551.83000000000004</v>
      </c>
      <c r="G29" s="53">
        <f>I62</f>
        <v>0</v>
      </c>
      <c r="H29" s="8"/>
      <c r="I29" s="29"/>
    </row>
    <row r="30" spans="1:9" x14ac:dyDescent="0.25">
      <c r="A30" s="1" t="s">
        <v>58</v>
      </c>
      <c r="B30" s="1"/>
      <c r="C30" s="1"/>
      <c r="D30" s="47"/>
      <c r="E30" s="1"/>
      <c r="F30" s="1"/>
      <c r="G30" s="2"/>
      <c r="H30" s="2"/>
      <c r="I30" s="2"/>
    </row>
    <row r="31" spans="1:9" x14ac:dyDescent="0.25">
      <c r="A31" s="6" t="s">
        <v>59</v>
      </c>
      <c r="B31" s="6"/>
      <c r="C31" s="6" t="s">
        <v>375</v>
      </c>
      <c r="D31" s="6" t="s">
        <v>62</v>
      </c>
      <c r="E31" s="6" t="s">
        <v>63</v>
      </c>
      <c r="F31" s="6" t="s">
        <v>671</v>
      </c>
      <c r="G31" s="6"/>
      <c r="H31" s="6" t="s">
        <v>65</v>
      </c>
      <c r="I31" s="60"/>
    </row>
    <row r="32" spans="1:9" x14ac:dyDescent="0.25">
      <c r="A32" s="62"/>
      <c r="B32" s="62"/>
      <c r="C32" s="54" t="s">
        <v>672</v>
      </c>
      <c r="D32" s="54" t="s">
        <v>23</v>
      </c>
      <c r="E32" s="54" t="s">
        <v>312</v>
      </c>
      <c r="F32" s="54" t="s">
        <v>673</v>
      </c>
      <c r="G32" s="54"/>
      <c r="H32" s="54" t="s">
        <v>30</v>
      </c>
      <c r="I32" s="60"/>
    </row>
    <row r="33" spans="1:9" x14ac:dyDescent="0.25">
      <c r="A33" s="62"/>
      <c r="B33" s="12" t="s">
        <v>674</v>
      </c>
      <c r="C33" s="54">
        <v>16498.5</v>
      </c>
      <c r="D33" s="54">
        <v>9153</v>
      </c>
      <c r="E33" s="54">
        <f>D33*15/100</f>
        <v>1372.95</v>
      </c>
      <c r="F33" s="54">
        <f>C33+D33-E33</f>
        <v>24278.55</v>
      </c>
      <c r="G33" s="54"/>
      <c r="H33" s="54">
        <f>F33-G33</f>
        <v>24278.55</v>
      </c>
      <c r="I33" s="60"/>
    </row>
    <row r="34" spans="1:9" x14ac:dyDescent="0.25">
      <c r="A34" s="1" t="s">
        <v>252</v>
      </c>
      <c r="B34" s="1"/>
      <c r="C34" s="1"/>
      <c r="D34" s="47"/>
      <c r="E34" s="1"/>
      <c r="F34" s="1"/>
      <c r="G34" s="1"/>
      <c r="H34" s="1"/>
      <c r="I34" s="1"/>
    </row>
    <row r="35" spans="1:9" x14ac:dyDescent="0.25">
      <c r="A35" s="49" t="s">
        <v>71</v>
      </c>
      <c r="B35" s="48" t="s">
        <v>72</v>
      </c>
      <c r="C35" s="6" t="s">
        <v>73</v>
      </c>
      <c r="D35" s="58" t="s">
        <v>74</v>
      </c>
      <c r="E35" s="6" t="s">
        <v>75</v>
      </c>
      <c r="F35" s="58" t="s">
        <v>76</v>
      </c>
      <c r="G35" s="6" t="s">
        <v>253</v>
      </c>
      <c r="H35" s="6" t="s">
        <v>78</v>
      </c>
      <c r="I35" s="6" t="s">
        <v>19</v>
      </c>
    </row>
    <row r="36" spans="1:9" x14ac:dyDescent="0.25">
      <c r="A36" s="61"/>
      <c r="B36" s="51" t="s">
        <v>79</v>
      </c>
      <c r="C36" s="7" t="s">
        <v>80</v>
      </c>
      <c r="D36" s="60" t="s">
        <v>81</v>
      </c>
      <c r="E36" s="7" t="s">
        <v>82</v>
      </c>
      <c r="F36" s="60" t="s">
        <v>83</v>
      </c>
      <c r="G36" s="7" t="s">
        <v>84</v>
      </c>
      <c r="H36" s="7" t="s">
        <v>85</v>
      </c>
      <c r="I36" s="7" t="s">
        <v>86</v>
      </c>
    </row>
    <row r="37" spans="1:9" x14ac:dyDescent="0.25">
      <c r="A37" s="61"/>
      <c r="B37" s="51"/>
      <c r="C37" s="7"/>
      <c r="D37" s="60"/>
      <c r="E37" s="7"/>
      <c r="F37" s="60" t="s">
        <v>87</v>
      </c>
      <c r="G37" s="7" t="s">
        <v>88</v>
      </c>
      <c r="H37" s="7"/>
      <c r="I37" s="7" t="s">
        <v>30</v>
      </c>
    </row>
    <row r="38" spans="1:9" x14ac:dyDescent="0.25">
      <c r="A38" s="9"/>
      <c r="B38" s="8"/>
      <c r="C38" s="9"/>
      <c r="D38" s="9"/>
      <c r="E38" s="10"/>
      <c r="F38" s="9"/>
      <c r="G38" s="10"/>
      <c r="H38" s="9"/>
      <c r="I38" s="9"/>
    </row>
    <row r="39" spans="1:9" x14ac:dyDescent="0.25">
      <c r="A39" s="61">
        <v>1</v>
      </c>
      <c r="B39" s="7" t="s">
        <v>90</v>
      </c>
      <c r="C39" s="5" t="s">
        <v>91</v>
      </c>
      <c r="D39" s="7">
        <v>-59359.47</v>
      </c>
      <c r="E39" s="112">
        <v>399958.39</v>
      </c>
      <c r="F39" s="7">
        <v>387638.41</v>
      </c>
      <c r="G39" s="112">
        <f>E39</f>
        <v>399958.39</v>
      </c>
      <c r="H39" s="7">
        <f>D39+F39-G39</f>
        <v>-71679.45000000007</v>
      </c>
      <c r="I39" s="62">
        <f>H39</f>
        <v>-71679.45000000007</v>
      </c>
    </row>
    <row r="40" spans="1:9" x14ac:dyDescent="0.25">
      <c r="A40" s="9"/>
      <c r="B40" s="9" t="s">
        <v>521</v>
      </c>
      <c r="C40" s="41" t="s">
        <v>93</v>
      </c>
      <c r="D40" s="9"/>
      <c r="E40" s="65"/>
      <c r="F40" s="9"/>
      <c r="G40" s="65"/>
      <c r="H40" s="9"/>
      <c r="I40" s="62"/>
    </row>
    <row r="41" spans="1:9" x14ac:dyDescent="0.25">
      <c r="A41" s="61">
        <v>2</v>
      </c>
      <c r="B41" s="7" t="s">
        <v>168</v>
      </c>
      <c r="C41" s="1" t="s">
        <v>95</v>
      </c>
      <c r="D41" s="7">
        <v>-216514.76</v>
      </c>
      <c r="E41" s="2">
        <v>738805.56</v>
      </c>
      <c r="F41" s="7">
        <v>705156.73</v>
      </c>
      <c r="G41" s="2">
        <f>E41</f>
        <v>738805.56</v>
      </c>
      <c r="H41" s="7">
        <f>D41+F41-G41</f>
        <v>-250163.59000000008</v>
      </c>
      <c r="I41" s="9">
        <f>H41</f>
        <v>-250163.59000000008</v>
      </c>
    </row>
    <row r="42" spans="1:9" x14ac:dyDescent="0.25">
      <c r="A42" s="9"/>
      <c r="B42" s="9" t="s">
        <v>521</v>
      </c>
      <c r="C42" s="41" t="s">
        <v>93</v>
      </c>
      <c r="D42" s="9"/>
      <c r="E42" s="10"/>
      <c r="F42" s="9"/>
      <c r="G42" s="10"/>
      <c r="H42" s="9"/>
      <c r="I42" s="9"/>
    </row>
    <row r="43" spans="1:9" x14ac:dyDescent="0.25">
      <c r="A43" s="50">
        <v>3</v>
      </c>
      <c r="B43" s="9" t="s">
        <v>98</v>
      </c>
      <c r="C43" s="41" t="s">
        <v>99</v>
      </c>
      <c r="D43" s="9">
        <v>-403081.59</v>
      </c>
      <c r="E43" s="10">
        <v>1032241.02</v>
      </c>
      <c r="F43" s="9">
        <v>1030000.64</v>
      </c>
      <c r="G43" s="10">
        <f>E43</f>
        <v>1032241.02</v>
      </c>
      <c r="H43" s="9">
        <f>D43+F43-G43</f>
        <v>-405321.97</v>
      </c>
      <c r="I43" s="9">
        <f>H43</f>
        <v>-405321.97</v>
      </c>
    </row>
    <row r="44" spans="1:9" x14ac:dyDescent="0.25">
      <c r="A44" s="1" t="s">
        <v>255</v>
      </c>
      <c r="B44" s="1"/>
      <c r="C44" s="1"/>
      <c r="D44" s="1"/>
      <c r="E44" s="1"/>
      <c r="F44" s="1"/>
      <c r="G44" s="1"/>
      <c r="H44" s="1"/>
      <c r="I44" s="2"/>
    </row>
    <row r="45" spans="1:9" x14ac:dyDescent="0.25">
      <c r="A45" s="5" t="s">
        <v>256</v>
      </c>
      <c r="B45" s="1"/>
      <c r="C45" s="1"/>
      <c r="D45" s="1"/>
      <c r="E45" s="1"/>
      <c r="F45" s="1"/>
      <c r="G45" s="1"/>
      <c r="H45" s="1"/>
      <c r="I45" s="2"/>
    </row>
    <row r="46" spans="1:9" x14ac:dyDescent="0.25">
      <c r="A46" s="58" t="s">
        <v>12</v>
      </c>
      <c r="B46" s="6" t="s">
        <v>102</v>
      </c>
      <c r="C46" s="58" t="s">
        <v>103</v>
      </c>
      <c r="D46" s="58"/>
      <c r="E46" s="58"/>
      <c r="F46" s="48" t="s">
        <v>222</v>
      </c>
      <c r="G46" s="58"/>
      <c r="H46" s="49"/>
      <c r="I46" s="6" t="s">
        <v>105</v>
      </c>
    </row>
    <row r="47" spans="1:9" x14ac:dyDescent="0.25">
      <c r="A47" s="60" t="s">
        <v>106</v>
      </c>
      <c r="B47" s="7"/>
      <c r="C47" s="60"/>
      <c r="D47" s="60"/>
      <c r="E47" s="60"/>
      <c r="F47" s="51" t="s">
        <v>224</v>
      </c>
      <c r="G47" s="60"/>
      <c r="H47" s="61"/>
      <c r="I47" s="7" t="s">
        <v>108</v>
      </c>
    </row>
    <row r="48" spans="1:9" x14ac:dyDescent="0.25">
      <c r="A48" s="60"/>
      <c r="B48" s="7"/>
      <c r="C48" s="60"/>
      <c r="D48" s="60"/>
      <c r="E48" s="60"/>
      <c r="F48" s="51" t="s">
        <v>257</v>
      </c>
      <c r="G48" s="60"/>
      <c r="H48" s="61"/>
      <c r="I48" s="7"/>
    </row>
    <row r="49" spans="1:9" x14ac:dyDescent="0.25">
      <c r="A49" s="60"/>
      <c r="B49" s="62"/>
      <c r="C49" s="60"/>
      <c r="D49" s="60"/>
      <c r="E49" s="60"/>
      <c r="F49" s="51" t="s">
        <v>258</v>
      </c>
      <c r="G49" s="60"/>
      <c r="H49" s="61"/>
      <c r="I49" s="7"/>
    </row>
    <row r="50" spans="1:9" x14ac:dyDescent="0.25">
      <c r="A50" s="96" t="s">
        <v>110</v>
      </c>
      <c r="B50" s="18"/>
      <c r="C50" s="68" t="s">
        <v>111</v>
      </c>
      <c r="D50" s="68"/>
      <c r="E50" s="68"/>
      <c r="F50" s="48"/>
      <c r="G50" s="58"/>
      <c r="H50" s="58"/>
      <c r="I50" s="6"/>
    </row>
    <row r="51" spans="1:9" x14ac:dyDescent="0.25">
      <c r="A51" s="89"/>
      <c r="B51" s="7"/>
      <c r="C51" s="60" t="s">
        <v>112</v>
      </c>
      <c r="D51" s="60"/>
      <c r="E51" s="60"/>
      <c r="F51" s="51" t="s">
        <v>71</v>
      </c>
      <c r="G51" s="37"/>
      <c r="H51" s="60" t="s">
        <v>71</v>
      </c>
      <c r="I51" s="7" t="s">
        <v>71</v>
      </c>
    </row>
    <row r="52" spans="1:9" x14ac:dyDescent="0.25">
      <c r="A52" s="89" t="s">
        <v>113</v>
      </c>
      <c r="B52" s="70">
        <v>42886</v>
      </c>
      <c r="C52" s="60" t="s">
        <v>675</v>
      </c>
      <c r="D52" s="60"/>
      <c r="E52" s="60"/>
      <c r="F52" s="51"/>
      <c r="G52" s="37">
        <f>I52/4353.1</f>
        <v>1.7071075785072705</v>
      </c>
      <c r="H52" s="61"/>
      <c r="I52" s="7">
        <v>7431.21</v>
      </c>
    </row>
    <row r="53" spans="1:9" x14ac:dyDescent="0.25">
      <c r="A53" s="89" t="s">
        <v>38</v>
      </c>
      <c r="B53" s="70">
        <v>42916</v>
      </c>
      <c r="C53" s="60" t="s">
        <v>676</v>
      </c>
      <c r="D53" s="60"/>
      <c r="E53" s="60"/>
      <c r="F53" s="51"/>
      <c r="G53" s="37">
        <f>I53/4353.1</f>
        <v>2.2294112241850632</v>
      </c>
      <c r="H53" s="61"/>
      <c r="I53" s="7">
        <v>9704.85</v>
      </c>
    </row>
    <row r="54" spans="1:9" x14ac:dyDescent="0.25">
      <c r="A54" s="89"/>
      <c r="B54" s="70"/>
      <c r="C54" s="60" t="s">
        <v>677</v>
      </c>
      <c r="D54" s="60"/>
      <c r="E54" s="60"/>
      <c r="F54" s="51"/>
      <c r="G54" s="37" t="s">
        <v>71</v>
      </c>
      <c r="H54" s="60"/>
      <c r="I54" s="7"/>
    </row>
    <row r="55" spans="1:9" x14ac:dyDescent="0.25">
      <c r="A55" s="89" t="s">
        <v>40</v>
      </c>
      <c r="B55" s="70">
        <v>42947</v>
      </c>
      <c r="C55" s="60" t="s">
        <v>676</v>
      </c>
      <c r="D55" s="60"/>
      <c r="E55" s="60"/>
      <c r="F55" s="51"/>
      <c r="G55" s="37">
        <f>I55/4353.1</f>
        <v>1.4320576141140795</v>
      </c>
      <c r="H55" s="60"/>
      <c r="I55" s="7">
        <v>6233.89</v>
      </c>
    </row>
    <row r="56" spans="1:9" x14ac:dyDescent="0.25">
      <c r="A56" s="89" t="s">
        <v>42</v>
      </c>
      <c r="B56" s="70">
        <v>42947</v>
      </c>
      <c r="C56" s="60" t="s">
        <v>678</v>
      </c>
      <c r="D56" s="60"/>
      <c r="E56" s="60"/>
      <c r="F56" s="51"/>
      <c r="G56" s="37">
        <f>I56/4353.1</f>
        <v>0.74009556408076993</v>
      </c>
      <c r="H56" s="60"/>
      <c r="I56" s="7">
        <v>3221.71</v>
      </c>
    </row>
    <row r="57" spans="1:9" x14ac:dyDescent="0.25">
      <c r="A57" s="89" t="s">
        <v>44</v>
      </c>
      <c r="B57" s="70">
        <v>43008</v>
      </c>
      <c r="C57" s="60" t="s">
        <v>679</v>
      </c>
      <c r="D57" s="60"/>
      <c r="E57" s="60"/>
      <c r="F57" s="51"/>
      <c r="G57" s="37">
        <f>I57/4353.1</f>
        <v>2.2294112241850632</v>
      </c>
      <c r="H57" s="60"/>
      <c r="I57" s="7">
        <v>9704.85</v>
      </c>
    </row>
    <row r="58" spans="1:9" x14ac:dyDescent="0.25">
      <c r="A58" s="89"/>
      <c r="B58" s="7"/>
      <c r="C58" s="5" t="s">
        <v>118</v>
      </c>
      <c r="D58" s="5"/>
      <c r="E58" s="5"/>
      <c r="F58" s="59"/>
      <c r="G58" s="20">
        <f>SUM(G51:G57)</f>
        <v>8.3380832050722447</v>
      </c>
      <c r="H58" s="5"/>
      <c r="I58" s="12">
        <f>SUM(I52:I57)</f>
        <v>36296.51</v>
      </c>
    </row>
    <row r="59" spans="1:9" x14ac:dyDescent="0.25">
      <c r="A59" s="49"/>
      <c r="B59" s="6"/>
      <c r="C59" s="48"/>
      <c r="D59" s="58"/>
      <c r="E59" s="49"/>
      <c r="F59" s="48"/>
      <c r="G59" s="58"/>
      <c r="H59" s="49"/>
    </row>
    <row r="60" spans="1:9" x14ac:dyDescent="0.25">
      <c r="A60" s="49" t="s">
        <v>48</v>
      </c>
      <c r="B60" s="25" t="s">
        <v>119</v>
      </c>
      <c r="C60" s="57" t="s">
        <v>120</v>
      </c>
      <c r="D60" s="58"/>
      <c r="E60" s="58"/>
      <c r="F60" s="48" t="s">
        <v>121</v>
      </c>
      <c r="G60" s="86"/>
      <c r="H60" s="49"/>
      <c r="I60" s="49"/>
    </row>
    <row r="61" spans="1:9" x14ac:dyDescent="0.25">
      <c r="A61" s="89" t="s">
        <v>182</v>
      </c>
      <c r="B61" s="70"/>
      <c r="C61" s="51"/>
      <c r="D61" s="5"/>
      <c r="E61" s="5"/>
      <c r="F61" s="59"/>
      <c r="G61" s="37"/>
      <c r="H61" s="71"/>
      <c r="I61" s="61"/>
    </row>
    <row r="62" spans="1:9" x14ac:dyDescent="0.25">
      <c r="A62" s="197"/>
      <c r="B62" s="12" t="s">
        <v>119</v>
      </c>
      <c r="C62" s="15" t="s">
        <v>118</v>
      </c>
      <c r="D62" s="14"/>
      <c r="E62" s="14"/>
      <c r="F62" s="15" t="s">
        <v>71</v>
      </c>
      <c r="G62" s="79">
        <f>I62/4352.4</f>
        <v>0</v>
      </c>
      <c r="H62" s="85"/>
      <c r="I62" s="53">
        <f>SUM(I61:I61)</f>
        <v>0</v>
      </c>
    </row>
    <row r="63" spans="1:9" x14ac:dyDescent="0.25">
      <c r="A63" s="2" t="s">
        <v>680</v>
      </c>
      <c r="B63" s="2"/>
      <c r="C63" s="114" t="s">
        <v>123</v>
      </c>
      <c r="E63" s="2" t="s">
        <v>124</v>
      </c>
      <c r="G63" s="2" t="s">
        <v>262</v>
      </c>
      <c r="H63" s="2"/>
      <c r="I63" s="2" t="s">
        <v>263</v>
      </c>
    </row>
    <row r="66" spans="1:9" x14ac:dyDescent="0.25">
      <c r="A66" s="118"/>
      <c r="B66" s="118"/>
      <c r="C66" s="118"/>
      <c r="D66" s="118"/>
      <c r="E66" s="118"/>
      <c r="F66" s="118"/>
      <c r="G66" s="118"/>
      <c r="H66" s="118"/>
      <c r="I66" s="11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" zoomScale="110" zoomScaleNormal="110" workbookViewId="0">
      <selection activeCell="A7" sqref="A7"/>
    </sheetView>
  </sheetViews>
  <sheetFormatPr defaultRowHeight="15" x14ac:dyDescent="0.25"/>
  <cols>
    <col min="1" max="1" width="4.42578125" style="3" customWidth="1"/>
    <col min="2" max="2" width="30.42578125" style="3" customWidth="1"/>
    <col min="3" max="3" width="14.42578125" style="3" customWidth="1"/>
    <col min="4" max="4" width="12.140625" style="3" customWidth="1"/>
    <col min="5" max="7" width="9.140625" style="3"/>
    <col min="8" max="8" width="12.28515625" style="3" customWidth="1"/>
    <col min="9" max="10" width="17.85546875" style="3" customWidth="1"/>
    <col min="11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1"/>
      <c r="E5" s="1"/>
      <c r="F5" s="1"/>
      <c r="G5" s="1"/>
      <c r="H5" s="2"/>
      <c r="I5" s="2"/>
    </row>
    <row r="6" spans="1:9" x14ac:dyDescent="0.25">
      <c r="A6" s="1" t="s">
        <v>681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682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683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5" t="s">
        <v>133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49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61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61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61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14" t="s">
        <v>110</v>
      </c>
      <c r="B19" s="12" t="s">
        <v>323</v>
      </c>
      <c r="C19" s="12">
        <v>7.97</v>
      </c>
      <c r="D19" s="44">
        <v>-76728.95</v>
      </c>
      <c r="E19" s="17">
        <v>513790.44</v>
      </c>
      <c r="F19" s="14">
        <v>512442.94</v>
      </c>
      <c r="G19" s="17">
        <f>E19</f>
        <v>513790.44</v>
      </c>
      <c r="H19" s="16">
        <f>D19+F19-G19</f>
        <v>-78076.450000000012</v>
      </c>
      <c r="I19" s="17">
        <f>H19</f>
        <v>-78076.450000000012</v>
      </c>
    </row>
    <row r="20" spans="1:9" x14ac:dyDescent="0.25">
      <c r="A20" s="61" t="s">
        <v>36</v>
      </c>
      <c r="B20" s="7" t="s">
        <v>457</v>
      </c>
      <c r="C20" s="60"/>
      <c r="D20" s="75"/>
      <c r="E20" s="49"/>
      <c r="F20" s="22"/>
      <c r="G20" s="7" t="s">
        <v>71</v>
      </c>
      <c r="H20" s="51"/>
      <c r="I20" s="75"/>
    </row>
    <row r="21" spans="1:9" x14ac:dyDescent="0.25">
      <c r="A21" s="53"/>
      <c r="B21" s="62" t="s">
        <v>458</v>
      </c>
      <c r="C21" s="74">
        <v>2.62</v>
      </c>
      <c r="D21" s="54"/>
      <c r="E21" s="183">
        <f>E19*33%</f>
        <v>169550.84520000001</v>
      </c>
      <c r="F21" s="54">
        <f>F19*33%</f>
        <v>169106.17020000002</v>
      </c>
      <c r="G21" s="54">
        <f t="shared" ref="G21:G28" si="0">E21</f>
        <v>169550.84520000001</v>
      </c>
      <c r="H21" s="55"/>
      <c r="I21" s="54"/>
    </row>
    <row r="22" spans="1:9" x14ac:dyDescent="0.25">
      <c r="A22" s="91" t="s">
        <v>38</v>
      </c>
      <c r="B22" s="6" t="s">
        <v>39</v>
      </c>
      <c r="C22" s="58">
        <v>1.33</v>
      </c>
      <c r="D22" s="54"/>
      <c r="E22" s="75">
        <f>E19*17%</f>
        <v>87344.374800000005</v>
      </c>
      <c r="F22" s="75">
        <f>F19*17%</f>
        <v>87115.299800000008</v>
      </c>
      <c r="G22" s="75">
        <f t="shared" si="0"/>
        <v>87344.374800000005</v>
      </c>
      <c r="H22" s="105"/>
      <c r="I22" s="75"/>
    </row>
    <row r="23" spans="1:9" x14ac:dyDescent="0.25">
      <c r="A23" s="91" t="s">
        <v>40</v>
      </c>
      <c r="B23" s="6" t="s">
        <v>41</v>
      </c>
      <c r="C23" s="58">
        <v>1.63</v>
      </c>
      <c r="D23" s="29"/>
      <c r="E23" s="75">
        <f>E19*20%</f>
        <v>102758.088</v>
      </c>
      <c r="F23" s="75">
        <f>F19*20%</f>
        <v>102488.588</v>
      </c>
      <c r="G23" s="29">
        <f t="shared" si="0"/>
        <v>102758.088</v>
      </c>
      <c r="H23" s="110"/>
      <c r="I23" s="29"/>
    </row>
    <row r="24" spans="1:9" x14ac:dyDescent="0.25">
      <c r="A24" s="91" t="s">
        <v>42</v>
      </c>
      <c r="B24" s="6" t="s">
        <v>43</v>
      </c>
      <c r="C24" s="9">
        <v>2.39</v>
      </c>
      <c r="D24" s="29"/>
      <c r="E24" s="75">
        <f>E19*30%</f>
        <v>154137.13199999998</v>
      </c>
      <c r="F24" s="75">
        <f>F19*33%</f>
        <v>169106.17020000002</v>
      </c>
      <c r="G24" s="29">
        <f>E24</f>
        <v>154137.13199999998</v>
      </c>
      <c r="H24" s="40"/>
      <c r="I24" s="29"/>
    </row>
    <row r="25" spans="1:9" x14ac:dyDescent="0.25">
      <c r="A25" s="91" t="s">
        <v>44</v>
      </c>
      <c r="B25" s="6" t="s">
        <v>47</v>
      </c>
      <c r="C25" s="74">
        <v>2.9001899999999998</v>
      </c>
      <c r="D25" s="29"/>
      <c r="E25" s="10">
        <v>148596.10999999999</v>
      </c>
      <c r="F25" s="9">
        <v>128867.26</v>
      </c>
      <c r="G25" s="10">
        <f>E25</f>
        <v>148596.10999999999</v>
      </c>
      <c r="H25" s="11">
        <f>F25-E25</f>
        <v>-19728.849999999991</v>
      </c>
      <c r="I25" s="46">
        <f>H25</f>
        <v>-19728.849999999991</v>
      </c>
    </row>
    <row r="26" spans="1:9" x14ac:dyDescent="0.25">
      <c r="A26" s="101" t="s">
        <v>48</v>
      </c>
      <c r="B26" s="11" t="s">
        <v>194</v>
      </c>
      <c r="C26" s="14">
        <v>0.92</v>
      </c>
      <c r="D26" s="43">
        <v>-15246.9</v>
      </c>
      <c r="E26" s="11">
        <v>59291.28</v>
      </c>
      <c r="F26" s="43">
        <v>59138.38</v>
      </c>
      <c r="G26" s="11">
        <f t="shared" si="0"/>
        <v>59291.28</v>
      </c>
      <c r="H26" s="34">
        <f>D26+F26-G26</f>
        <v>-15399.800000000003</v>
      </c>
      <c r="I26" s="43">
        <f>H26</f>
        <v>-15399.800000000003</v>
      </c>
    </row>
    <row r="27" spans="1:9" x14ac:dyDescent="0.25">
      <c r="A27" s="85" t="s">
        <v>51</v>
      </c>
      <c r="B27" s="12" t="s">
        <v>684</v>
      </c>
      <c r="C27" s="14">
        <v>3.15</v>
      </c>
      <c r="D27" s="43">
        <v>-56614.36</v>
      </c>
      <c r="E27" s="12">
        <v>202842.73</v>
      </c>
      <c r="F27" s="17">
        <v>202487.81</v>
      </c>
      <c r="G27" s="42">
        <f t="shared" si="0"/>
        <v>202842.73</v>
      </c>
      <c r="H27" s="43">
        <f>D27+F27-G27</f>
        <v>-56969.279999999999</v>
      </c>
      <c r="I27" s="43">
        <f>H27</f>
        <v>-56969.279999999999</v>
      </c>
    </row>
    <row r="28" spans="1:9" x14ac:dyDescent="0.25">
      <c r="A28" s="46" t="s">
        <v>55</v>
      </c>
      <c r="B28" s="11" t="s">
        <v>49</v>
      </c>
      <c r="C28" s="11" t="s">
        <v>50</v>
      </c>
      <c r="D28" s="43">
        <v>-21882.74</v>
      </c>
      <c r="E28" s="11">
        <v>218153.88</v>
      </c>
      <c r="F28" s="11">
        <v>207987.43</v>
      </c>
      <c r="G28" s="41">
        <f t="shared" si="0"/>
        <v>218153.88</v>
      </c>
      <c r="H28" s="34">
        <f>D28+F28-G28</f>
        <v>-32049.190000000002</v>
      </c>
      <c r="I28" s="43">
        <f>H28</f>
        <v>-32049.190000000002</v>
      </c>
    </row>
    <row r="29" spans="1:9" x14ac:dyDescent="0.25">
      <c r="A29" s="72" t="s">
        <v>59</v>
      </c>
      <c r="B29" s="25" t="s">
        <v>216</v>
      </c>
      <c r="C29" s="126"/>
      <c r="D29" s="25"/>
      <c r="E29" s="72"/>
      <c r="F29" s="25"/>
      <c r="G29" s="25"/>
      <c r="H29" s="57"/>
      <c r="I29" s="45"/>
    </row>
    <row r="30" spans="1:9" x14ac:dyDescent="0.25">
      <c r="A30" s="71"/>
      <c r="B30" s="18" t="s">
        <v>217</v>
      </c>
      <c r="C30" s="12">
        <v>1.82</v>
      </c>
      <c r="D30" s="18">
        <v>79854.47</v>
      </c>
      <c r="E30" s="85">
        <v>117293.75999999999</v>
      </c>
      <c r="F30" s="12">
        <v>117203.66</v>
      </c>
      <c r="G30" s="12">
        <f>I56</f>
        <v>0</v>
      </c>
      <c r="H30" s="15">
        <f>D30+F30-G30</f>
        <v>197058.13</v>
      </c>
      <c r="I30" s="17"/>
    </row>
    <row r="31" spans="1:9" x14ac:dyDescent="0.25">
      <c r="A31" s="11" t="s">
        <v>196</v>
      </c>
      <c r="B31" s="11" t="s">
        <v>685</v>
      </c>
      <c r="C31" s="43">
        <v>0</v>
      </c>
      <c r="D31" s="42">
        <v>24335.67</v>
      </c>
      <c r="E31" s="11">
        <v>0</v>
      </c>
      <c r="F31" s="43">
        <f>F32+F33</f>
        <v>117.68</v>
      </c>
      <c r="G31" s="85">
        <f>G32+G33</f>
        <v>0</v>
      </c>
      <c r="H31" s="42">
        <f>D31+F31-G31</f>
        <v>24453.35</v>
      </c>
      <c r="I31" s="43"/>
    </row>
    <row r="32" spans="1:9" x14ac:dyDescent="0.25">
      <c r="A32" s="50"/>
      <c r="B32" s="9" t="s">
        <v>149</v>
      </c>
      <c r="C32" s="39">
        <v>0</v>
      </c>
      <c r="D32" s="9">
        <v>0</v>
      </c>
      <c r="E32" s="10">
        <v>0</v>
      </c>
      <c r="F32" s="9">
        <v>117.68</v>
      </c>
      <c r="G32" s="53">
        <f>I60</f>
        <v>0</v>
      </c>
      <c r="H32" s="8"/>
      <c r="I32" s="29"/>
    </row>
    <row r="33" spans="1:9" x14ac:dyDescent="0.25">
      <c r="A33" s="50"/>
      <c r="B33" s="9"/>
      <c r="C33" s="39">
        <v>0</v>
      </c>
      <c r="D33" s="9">
        <v>0</v>
      </c>
      <c r="E33" s="10">
        <v>0</v>
      </c>
      <c r="F33" s="9"/>
      <c r="G33" s="10">
        <v>0</v>
      </c>
      <c r="H33" s="8"/>
      <c r="I33" s="54"/>
    </row>
    <row r="34" spans="1:9" x14ac:dyDescent="0.25">
      <c r="A34" s="1" t="s">
        <v>58</v>
      </c>
      <c r="B34" s="6"/>
      <c r="C34" s="2"/>
      <c r="E34" s="2"/>
      <c r="F34" s="2"/>
      <c r="G34" s="2"/>
      <c r="H34" s="2"/>
      <c r="I34" s="2"/>
    </row>
    <row r="35" spans="1:9" x14ac:dyDescent="0.25">
      <c r="A35" s="68" t="s">
        <v>686</v>
      </c>
      <c r="B35" s="48" t="s">
        <v>60</v>
      </c>
      <c r="C35" s="48" t="s">
        <v>375</v>
      </c>
      <c r="D35" s="6" t="s">
        <v>687</v>
      </c>
      <c r="E35" s="58" t="s">
        <v>688</v>
      </c>
      <c r="F35" s="6" t="s">
        <v>375</v>
      </c>
      <c r="G35" s="6" t="s">
        <v>689</v>
      </c>
      <c r="H35" s="48" t="s">
        <v>199</v>
      </c>
      <c r="I35" s="49"/>
    </row>
    <row r="36" spans="1:9" x14ac:dyDescent="0.25">
      <c r="A36" s="5"/>
      <c r="B36" s="51"/>
      <c r="C36" s="52" t="s">
        <v>66</v>
      </c>
      <c r="D36" s="62" t="s">
        <v>23</v>
      </c>
      <c r="E36" s="74" t="s">
        <v>312</v>
      </c>
      <c r="F36" s="62" t="s">
        <v>30</v>
      </c>
      <c r="G36" s="62"/>
      <c r="H36" s="52"/>
      <c r="I36" s="53"/>
    </row>
    <row r="37" spans="1:9" x14ac:dyDescent="0.25">
      <c r="A37" s="74"/>
      <c r="B37" s="52" t="s">
        <v>68</v>
      </c>
      <c r="C37" s="62">
        <v>19026.07</v>
      </c>
      <c r="D37" s="53">
        <v>5553</v>
      </c>
      <c r="E37" s="54">
        <f>D37*15%</f>
        <v>832.94999999999993</v>
      </c>
      <c r="F37" s="54">
        <f>C37+D37-E37</f>
        <v>23746.12</v>
      </c>
      <c r="G37" s="80"/>
      <c r="H37" s="79">
        <f>F37-G37-G38</f>
        <v>19791.12</v>
      </c>
      <c r="I37" s="53"/>
    </row>
    <row r="38" spans="1:9" x14ac:dyDescent="0.25">
      <c r="A38" s="8"/>
      <c r="B38" s="9" t="s">
        <v>690</v>
      </c>
      <c r="C38" s="10"/>
      <c r="D38" s="9"/>
      <c r="E38" s="39"/>
      <c r="F38" s="29"/>
      <c r="G38" s="29">
        <v>3955</v>
      </c>
      <c r="H38" s="39"/>
      <c r="I38" s="50"/>
    </row>
    <row r="39" spans="1:9" x14ac:dyDescent="0.25">
      <c r="A39" s="1" t="s">
        <v>252</v>
      </c>
      <c r="B39" s="1"/>
      <c r="C39" s="1"/>
      <c r="D39" s="47"/>
      <c r="E39" s="1"/>
      <c r="F39" s="1"/>
      <c r="G39" s="1"/>
      <c r="H39" s="18"/>
      <c r="I39" s="1"/>
    </row>
    <row r="40" spans="1:9" x14ac:dyDescent="0.25">
      <c r="A40" s="49" t="s">
        <v>71</v>
      </c>
      <c r="B40" s="57" t="s">
        <v>72</v>
      </c>
      <c r="C40" s="6" t="s">
        <v>73</v>
      </c>
      <c r="D40" s="6" t="s">
        <v>74</v>
      </c>
      <c r="E40" s="6" t="s">
        <v>75</v>
      </c>
      <c r="F40" s="58" t="s">
        <v>76</v>
      </c>
      <c r="G40" s="48" t="s">
        <v>253</v>
      </c>
      <c r="H40" s="6" t="s">
        <v>78</v>
      </c>
      <c r="I40" s="49" t="s">
        <v>19</v>
      </c>
    </row>
    <row r="41" spans="1:9" x14ac:dyDescent="0.25">
      <c r="A41" s="61"/>
      <c r="B41" s="59" t="s">
        <v>79</v>
      </c>
      <c r="C41" s="7" t="s">
        <v>80</v>
      </c>
      <c r="D41" s="7" t="s">
        <v>81</v>
      </c>
      <c r="E41" s="7" t="s">
        <v>82</v>
      </c>
      <c r="F41" s="60" t="s">
        <v>83</v>
      </c>
      <c r="G41" s="51" t="s">
        <v>84</v>
      </c>
      <c r="H41" s="7" t="s">
        <v>85</v>
      </c>
      <c r="I41" s="61" t="s">
        <v>86</v>
      </c>
    </row>
    <row r="42" spans="1:9" x14ac:dyDescent="0.25">
      <c r="A42" s="61"/>
      <c r="B42" s="51"/>
      <c r="C42" s="7"/>
      <c r="D42" s="7"/>
      <c r="E42" s="7"/>
      <c r="F42" s="60" t="s">
        <v>87</v>
      </c>
      <c r="G42" s="51" t="s">
        <v>88</v>
      </c>
      <c r="H42" s="7"/>
      <c r="I42" s="61" t="s">
        <v>30</v>
      </c>
    </row>
    <row r="43" spans="1:9" x14ac:dyDescent="0.25">
      <c r="A43" s="133"/>
      <c r="B43" s="50"/>
      <c r="C43" s="10"/>
      <c r="D43" s="9"/>
      <c r="E43" s="10"/>
      <c r="F43" s="9"/>
      <c r="G43" s="10"/>
      <c r="H43" s="9"/>
      <c r="I43" s="50"/>
    </row>
    <row r="44" spans="1:9" x14ac:dyDescent="0.25">
      <c r="A44" s="61">
        <v>1</v>
      </c>
      <c r="B44" s="7" t="s">
        <v>90</v>
      </c>
      <c r="C44" s="5" t="s">
        <v>691</v>
      </c>
      <c r="D44" s="7">
        <v>-137032.34</v>
      </c>
      <c r="E44" s="112">
        <v>452461.28</v>
      </c>
      <c r="F44" s="7">
        <v>432966.43</v>
      </c>
      <c r="G44" s="112">
        <f>E44</f>
        <v>452461.28</v>
      </c>
      <c r="H44" s="7">
        <f>D44+F44-G44</f>
        <v>-156527.19000000006</v>
      </c>
      <c r="I44" s="7">
        <f>H44</f>
        <v>-156527.19000000006</v>
      </c>
    </row>
    <row r="45" spans="1:9" x14ac:dyDescent="0.25">
      <c r="A45" s="9"/>
      <c r="B45" s="9" t="s">
        <v>521</v>
      </c>
      <c r="C45" s="41" t="s">
        <v>93</v>
      </c>
      <c r="D45" s="9"/>
      <c r="E45" s="65"/>
      <c r="F45" s="9"/>
      <c r="G45" s="65"/>
      <c r="H45" s="9"/>
      <c r="I45" s="9"/>
    </row>
    <row r="46" spans="1:9" x14ac:dyDescent="0.25">
      <c r="A46" s="61">
        <v>2</v>
      </c>
      <c r="B46" s="7" t="s">
        <v>168</v>
      </c>
      <c r="C46" s="1" t="s">
        <v>95</v>
      </c>
      <c r="D46" s="7">
        <v>-415369.58</v>
      </c>
      <c r="E46" s="2">
        <v>760091.49</v>
      </c>
      <c r="F46" s="7">
        <v>729298.91</v>
      </c>
      <c r="G46" s="2">
        <f>E46</f>
        <v>760091.49</v>
      </c>
      <c r="H46" s="7">
        <f>D46+F46-G46</f>
        <v>-446162.16</v>
      </c>
      <c r="I46" s="7">
        <f>H46</f>
        <v>-446162.16</v>
      </c>
    </row>
    <row r="47" spans="1:9" x14ac:dyDescent="0.25">
      <c r="A47" s="9"/>
      <c r="B47" s="9" t="s">
        <v>313</v>
      </c>
      <c r="C47" s="41" t="s">
        <v>93</v>
      </c>
      <c r="D47" s="9"/>
      <c r="E47" s="10"/>
      <c r="F47" s="9"/>
      <c r="G47" s="10"/>
      <c r="H47" s="9"/>
      <c r="I47" s="9"/>
    </row>
    <row r="48" spans="1:9" x14ac:dyDescent="0.25">
      <c r="A48" s="50">
        <v>3</v>
      </c>
      <c r="B48" s="9" t="s">
        <v>98</v>
      </c>
      <c r="C48" s="41" t="s">
        <v>203</v>
      </c>
      <c r="D48" s="9">
        <v>-706794.74</v>
      </c>
      <c r="E48" s="10">
        <v>1884831.32</v>
      </c>
      <c r="F48" s="9">
        <v>1882598.11</v>
      </c>
      <c r="G48" s="10">
        <f>E48</f>
        <v>1884831.32</v>
      </c>
      <c r="H48" s="9">
        <f>D48+F48-G48</f>
        <v>-709027.95</v>
      </c>
      <c r="I48" s="9">
        <f>H48</f>
        <v>-709027.95</v>
      </c>
    </row>
    <row r="49" spans="1:9" x14ac:dyDescent="0.25">
      <c r="A49" s="1" t="s">
        <v>255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256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58" t="s">
        <v>12</v>
      </c>
      <c r="B51" s="6" t="s">
        <v>221</v>
      </c>
      <c r="C51" s="58" t="s">
        <v>103</v>
      </c>
      <c r="D51" s="58"/>
      <c r="E51" s="58"/>
      <c r="F51" s="48" t="s">
        <v>428</v>
      </c>
      <c r="G51" s="58"/>
      <c r="H51" s="49"/>
      <c r="I51" s="6" t="s">
        <v>105</v>
      </c>
    </row>
    <row r="52" spans="1:9" x14ac:dyDescent="0.25">
      <c r="A52" s="60" t="s">
        <v>106</v>
      </c>
      <c r="B52" s="7" t="s">
        <v>223</v>
      </c>
      <c r="C52" s="60"/>
      <c r="D52" s="60"/>
      <c r="E52" s="60"/>
      <c r="F52" s="51" t="s">
        <v>692</v>
      </c>
      <c r="G52" s="60"/>
      <c r="H52" s="61"/>
      <c r="I52" s="7" t="s">
        <v>108</v>
      </c>
    </row>
    <row r="53" spans="1:9" x14ac:dyDescent="0.25">
      <c r="A53" s="60"/>
      <c r="B53" s="62"/>
      <c r="C53" s="60"/>
      <c r="D53" s="60"/>
      <c r="E53" s="60"/>
      <c r="F53" s="51" t="s">
        <v>258</v>
      </c>
      <c r="G53" s="60"/>
      <c r="H53" s="61"/>
      <c r="I53" s="7"/>
    </row>
    <row r="54" spans="1:9" x14ac:dyDescent="0.25">
      <c r="A54" s="96" t="s">
        <v>110</v>
      </c>
      <c r="B54" s="18"/>
      <c r="C54" s="68" t="s">
        <v>111</v>
      </c>
      <c r="D54" s="68"/>
      <c r="E54" s="68"/>
      <c r="F54" s="48"/>
      <c r="G54" s="58"/>
      <c r="H54" s="58"/>
      <c r="I54" s="6"/>
    </row>
    <row r="55" spans="1:9" x14ac:dyDescent="0.25">
      <c r="A55" s="89"/>
      <c r="B55" s="7"/>
      <c r="C55" s="60" t="s">
        <v>112</v>
      </c>
      <c r="D55" s="60"/>
      <c r="E55" s="60"/>
      <c r="F55" s="51" t="s">
        <v>71</v>
      </c>
      <c r="G55" s="37"/>
      <c r="H55" s="60" t="s">
        <v>71</v>
      </c>
      <c r="I55" s="7" t="s">
        <v>71</v>
      </c>
    </row>
    <row r="56" spans="1:9" x14ac:dyDescent="0.25">
      <c r="A56" s="89"/>
      <c r="B56" s="7"/>
      <c r="C56" s="5" t="s">
        <v>118</v>
      </c>
      <c r="D56" s="5"/>
      <c r="E56" s="5"/>
      <c r="F56" s="59"/>
      <c r="G56" s="20">
        <v>0</v>
      </c>
      <c r="H56" s="5"/>
      <c r="I56" s="12">
        <v>0</v>
      </c>
    </row>
    <row r="57" spans="1:9" x14ac:dyDescent="0.25">
      <c r="A57" s="49"/>
      <c r="B57" s="6"/>
      <c r="C57" s="48"/>
      <c r="D57" s="58"/>
      <c r="E57" s="49"/>
      <c r="F57" s="48"/>
      <c r="G57" s="58"/>
      <c r="H57" s="49"/>
    </row>
    <row r="58" spans="1:9" x14ac:dyDescent="0.25">
      <c r="A58" s="49" t="s">
        <v>48</v>
      </c>
      <c r="B58" s="25" t="s">
        <v>119</v>
      </c>
      <c r="C58" s="57" t="s">
        <v>120</v>
      </c>
      <c r="D58" s="58"/>
      <c r="E58" s="58"/>
      <c r="F58" s="48" t="s">
        <v>121</v>
      </c>
      <c r="G58" s="86"/>
      <c r="H58" s="58"/>
      <c r="I58" s="6"/>
    </row>
    <row r="59" spans="1:9" x14ac:dyDescent="0.25">
      <c r="A59" s="89" t="s">
        <v>71</v>
      </c>
      <c r="B59" s="89"/>
      <c r="C59" s="60"/>
      <c r="D59" s="60"/>
      <c r="E59" s="60"/>
      <c r="F59" s="51"/>
      <c r="G59" s="37"/>
      <c r="H59" s="60"/>
      <c r="I59" s="7">
        <v>0</v>
      </c>
    </row>
    <row r="60" spans="1:9" x14ac:dyDescent="0.25">
      <c r="A60" s="197"/>
      <c r="B60" s="12" t="s">
        <v>119</v>
      </c>
      <c r="C60" s="15" t="s">
        <v>118</v>
      </c>
      <c r="D60" s="14"/>
      <c r="E60" s="14"/>
      <c r="F60" s="15" t="s">
        <v>71</v>
      </c>
      <c r="G60" s="78">
        <f>SUM(G59:G59)</f>
        <v>0</v>
      </c>
      <c r="H60" s="14"/>
      <c r="I60" s="12">
        <f>SUM(I59:I59)</f>
        <v>0</v>
      </c>
    </row>
    <row r="61" spans="1:9" x14ac:dyDescent="0.25">
      <c r="A61" s="2" t="s">
        <v>450</v>
      </c>
      <c r="B61" s="2"/>
      <c r="C61" s="2" t="s">
        <v>451</v>
      </c>
      <c r="D61" s="114" t="s">
        <v>123</v>
      </c>
      <c r="F61" s="2" t="s">
        <v>124</v>
      </c>
      <c r="G61" s="2" t="s">
        <v>262</v>
      </c>
      <c r="H61" s="2"/>
      <c r="I61" s="2" t="s">
        <v>263</v>
      </c>
    </row>
    <row r="62" spans="1:9" x14ac:dyDescent="0.25">
      <c r="G62" s="107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zoomScale="110" zoomScaleNormal="110" workbookViewId="0">
      <selection activeCell="A3" sqref="A3"/>
    </sheetView>
  </sheetViews>
  <sheetFormatPr defaultRowHeight="15" x14ac:dyDescent="0.25"/>
  <cols>
    <col min="1" max="1" width="5.140625" style="3" customWidth="1"/>
    <col min="2" max="2" width="25.7109375" style="3" customWidth="1"/>
    <col min="3" max="3" width="12.7109375" style="3" customWidth="1"/>
    <col min="4" max="4" width="10.5703125" style="3" customWidth="1"/>
    <col min="5" max="5" width="11.5703125" style="3" customWidth="1"/>
    <col min="6" max="6" width="11.140625" style="3" customWidth="1"/>
    <col min="7" max="7" width="14.42578125" style="3" customWidth="1"/>
    <col min="8" max="8" width="10.7109375" style="3" customWidth="1"/>
    <col min="9" max="9" width="20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693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694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695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696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5" t="s">
        <v>133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518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519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25"/>
      <c r="E18" s="27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12">
        <v>10314.030000000001</v>
      </c>
      <c r="E19" s="17">
        <v>106045.68</v>
      </c>
      <c r="F19" s="14">
        <v>100209.82</v>
      </c>
      <c r="G19" s="17">
        <f>E19</f>
        <v>106045.68</v>
      </c>
      <c r="H19" s="16">
        <f>D19+F19-G19</f>
        <v>4478.1700000000128</v>
      </c>
      <c r="I19" s="17" t="s">
        <v>71</v>
      </c>
    </row>
    <row r="20" spans="1:9" x14ac:dyDescent="0.25">
      <c r="A20" s="7" t="s">
        <v>36</v>
      </c>
      <c r="B20" s="7" t="s">
        <v>457</v>
      </c>
      <c r="C20" s="60"/>
      <c r="D20" s="22" t="s">
        <v>71</v>
      </c>
      <c r="E20" s="60"/>
      <c r="F20" s="22"/>
      <c r="G20" s="7" t="s">
        <v>71</v>
      </c>
      <c r="H20" s="51"/>
      <c r="I20" s="75"/>
    </row>
    <row r="21" spans="1:9" x14ac:dyDescent="0.25">
      <c r="A21" s="62"/>
      <c r="B21" s="62" t="s">
        <v>458</v>
      </c>
      <c r="C21" s="74">
        <v>2.62</v>
      </c>
      <c r="D21" s="54"/>
      <c r="E21" s="179">
        <f>E19*33%</f>
        <v>34995.074399999998</v>
      </c>
      <c r="F21" s="54">
        <f>F19*33%</f>
        <v>33069.240600000005</v>
      </c>
      <c r="G21" s="54">
        <f>E21</f>
        <v>34995.074399999998</v>
      </c>
      <c r="H21" s="55"/>
      <c r="I21" s="54"/>
    </row>
    <row r="22" spans="1:9" x14ac:dyDescent="0.25">
      <c r="A22" s="24" t="s">
        <v>38</v>
      </c>
      <c r="B22" s="6" t="s">
        <v>295</v>
      </c>
      <c r="C22" s="58">
        <v>1.33</v>
      </c>
      <c r="D22" s="75"/>
      <c r="E22" s="86">
        <f>E19*17%</f>
        <v>18027.765599999999</v>
      </c>
      <c r="F22" s="75">
        <f>F19*17%</f>
        <v>17035.669400000002</v>
      </c>
      <c r="G22" s="75">
        <f>E22</f>
        <v>18027.765599999999</v>
      </c>
      <c r="H22" s="105"/>
      <c r="I22" s="75"/>
    </row>
    <row r="23" spans="1:9" x14ac:dyDescent="0.25">
      <c r="A23" s="62"/>
      <c r="B23" s="62" t="s">
        <v>581</v>
      </c>
      <c r="C23" s="74"/>
      <c r="D23" s="54"/>
      <c r="E23" s="74"/>
      <c r="F23" s="54"/>
      <c r="G23" s="62" t="s">
        <v>71</v>
      </c>
      <c r="H23" s="52"/>
      <c r="I23" s="54"/>
    </row>
    <row r="24" spans="1:9" x14ac:dyDescent="0.25">
      <c r="A24" s="24" t="s">
        <v>40</v>
      </c>
      <c r="B24" s="6" t="s">
        <v>697</v>
      </c>
      <c r="C24" s="58">
        <v>1.63</v>
      </c>
      <c r="D24" s="130"/>
      <c r="E24" s="86">
        <f>E19*20%</f>
        <v>21209.135999999999</v>
      </c>
      <c r="F24" s="75">
        <f>F19*20%</f>
        <v>20041.964000000004</v>
      </c>
      <c r="G24" s="75">
        <f>E24</f>
        <v>21209.135999999999</v>
      </c>
      <c r="H24" s="110"/>
      <c r="I24" s="75"/>
    </row>
    <row r="25" spans="1:9" x14ac:dyDescent="0.25">
      <c r="A25" s="24" t="s">
        <v>42</v>
      </c>
      <c r="B25" s="6" t="s">
        <v>301</v>
      </c>
      <c r="C25" s="58">
        <v>2.39</v>
      </c>
      <c r="D25" s="75"/>
      <c r="E25" s="86">
        <f>E19*30%</f>
        <v>31813.703999999998</v>
      </c>
      <c r="F25" s="75">
        <f>F19*30%</f>
        <v>30062.946</v>
      </c>
      <c r="G25" s="105">
        <f>E25</f>
        <v>31813.703999999998</v>
      </c>
      <c r="H25" s="105"/>
      <c r="I25" s="75"/>
    </row>
    <row r="26" spans="1:9" x14ac:dyDescent="0.25">
      <c r="A26" s="62"/>
      <c r="B26" s="62" t="s">
        <v>302</v>
      </c>
      <c r="C26" s="74"/>
      <c r="D26" s="54"/>
      <c r="E26" s="74"/>
      <c r="F26" s="54"/>
      <c r="G26" s="52" t="s">
        <v>71</v>
      </c>
      <c r="H26" s="55"/>
      <c r="I26" s="54"/>
    </row>
    <row r="27" spans="1:9" x14ac:dyDescent="0.25">
      <c r="A27" s="73" t="s">
        <v>44</v>
      </c>
      <c r="B27" s="62" t="s">
        <v>45</v>
      </c>
      <c r="C27" s="74">
        <v>3.2969999999999999E-2</v>
      </c>
      <c r="D27" s="54"/>
      <c r="E27" s="74">
        <v>438.48</v>
      </c>
      <c r="F27" s="54">
        <v>405.95</v>
      </c>
      <c r="G27" s="74">
        <f>E27</f>
        <v>438.48</v>
      </c>
      <c r="H27" s="16">
        <f>F27-E27</f>
        <v>-32.53000000000003</v>
      </c>
      <c r="I27" s="17">
        <f>H27</f>
        <v>-32.53000000000003</v>
      </c>
    </row>
    <row r="28" spans="1:9" x14ac:dyDescent="0.25">
      <c r="A28" s="73" t="s">
        <v>46</v>
      </c>
      <c r="B28" s="62" t="s">
        <v>47</v>
      </c>
      <c r="C28" s="74">
        <v>1.0315399999999999</v>
      </c>
      <c r="D28" s="54"/>
      <c r="E28" s="10">
        <v>17374.599999999999</v>
      </c>
      <c r="F28" s="9">
        <v>15221.79</v>
      </c>
      <c r="G28" s="10">
        <f>E28</f>
        <v>17374.599999999999</v>
      </c>
      <c r="H28" s="11">
        <f>F28-E28</f>
        <v>-2152.8099999999977</v>
      </c>
      <c r="I28" s="11">
        <f>H28</f>
        <v>-2152.8099999999977</v>
      </c>
    </row>
    <row r="29" spans="1:9" x14ac:dyDescent="0.25">
      <c r="A29" s="11" t="s">
        <v>48</v>
      </c>
      <c r="B29" s="11" t="s">
        <v>49</v>
      </c>
      <c r="C29" s="11" t="s">
        <v>50</v>
      </c>
      <c r="D29" s="43">
        <v>1426.5</v>
      </c>
      <c r="E29" s="41">
        <v>45039.51</v>
      </c>
      <c r="F29" s="11">
        <v>40551.050000000003</v>
      </c>
      <c r="G29" s="41">
        <f>E29</f>
        <v>45039.51</v>
      </c>
      <c r="H29" s="42">
        <f>D29+F29-G29</f>
        <v>-3061.9599999999991</v>
      </c>
      <c r="I29" s="43">
        <f>H29</f>
        <v>-3061.9599999999991</v>
      </c>
    </row>
    <row r="30" spans="1:9" x14ac:dyDescent="0.25">
      <c r="A30" s="25" t="s">
        <v>51</v>
      </c>
      <c r="B30" s="25" t="s">
        <v>216</v>
      </c>
      <c r="C30" s="68"/>
      <c r="D30" s="57" t="s">
        <v>71</v>
      </c>
      <c r="E30" s="25"/>
      <c r="F30" s="25"/>
      <c r="G30" s="25"/>
      <c r="H30" s="57"/>
      <c r="I30" s="44"/>
    </row>
    <row r="31" spans="1:9" x14ac:dyDescent="0.25">
      <c r="A31" s="12"/>
      <c r="B31" s="12" t="s">
        <v>217</v>
      </c>
      <c r="C31" s="14">
        <v>1.82</v>
      </c>
      <c r="D31" s="15">
        <v>116292.68</v>
      </c>
      <c r="E31" s="12">
        <v>24216.12</v>
      </c>
      <c r="F31" s="12">
        <v>22882.5</v>
      </c>
      <c r="G31" s="12">
        <f>I65</f>
        <v>36784.909999999996</v>
      </c>
      <c r="H31" s="15">
        <f>D31+F31-G31</f>
        <v>102390.26999999999</v>
      </c>
      <c r="I31" s="44"/>
    </row>
    <row r="32" spans="1:9" x14ac:dyDescent="0.25">
      <c r="A32" s="18" t="s">
        <v>55</v>
      </c>
      <c r="B32" s="18" t="s">
        <v>146</v>
      </c>
      <c r="C32" s="5"/>
      <c r="D32" s="59" t="s">
        <v>71</v>
      </c>
      <c r="E32" s="18"/>
      <c r="F32" s="18"/>
      <c r="G32" s="5" t="s">
        <v>147</v>
      </c>
      <c r="H32" s="59" t="s">
        <v>71</v>
      </c>
      <c r="I32" s="45" t="str">
        <f>H32</f>
        <v xml:space="preserve"> </v>
      </c>
    </row>
    <row r="33" spans="1:9" x14ac:dyDescent="0.25">
      <c r="A33" s="11"/>
      <c r="B33" s="11" t="s">
        <v>698</v>
      </c>
      <c r="C33" s="43">
        <v>0</v>
      </c>
      <c r="D33" s="42">
        <v>34023.870000000003</v>
      </c>
      <c r="E33" s="11">
        <v>0</v>
      </c>
      <c r="F33" s="11">
        <v>0</v>
      </c>
      <c r="G33" s="41">
        <v>0</v>
      </c>
      <c r="H33" s="42">
        <f>D33+F33-G33</f>
        <v>34023.870000000003</v>
      </c>
      <c r="I33" s="43"/>
    </row>
    <row r="34" spans="1:9" x14ac:dyDescent="0.25">
      <c r="A34" s="9"/>
      <c r="B34" s="62" t="s">
        <v>112</v>
      </c>
      <c r="C34" s="60"/>
      <c r="D34" s="38"/>
      <c r="E34" s="128"/>
      <c r="F34" s="22"/>
      <c r="G34" s="37"/>
      <c r="H34" s="38"/>
      <c r="I34" s="22"/>
    </row>
    <row r="35" spans="1:9" x14ac:dyDescent="0.25">
      <c r="A35" s="9"/>
      <c r="B35" s="9" t="s">
        <v>53</v>
      </c>
      <c r="C35" s="39">
        <v>0</v>
      </c>
      <c r="D35" s="8" t="s">
        <v>71</v>
      </c>
      <c r="E35" s="9">
        <v>0</v>
      </c>
      <c r="F35" s="9">
        <v>0</v>
      </c>
      <c r="G35" s="10">
        <v>0</v>
      </c>
      <c r="H35" s="8" t="s">
        <v>71</v>
      </c>
      <c r="I35" s="29"/>
    </row>
    <row r="36" spans="1:9" x14ac:dyDescent="0.25">
      <c r="A36" s="2" t="s">
        <v>699</v>
      </c>
      <c r="B36" s="60"/>
      <c r="C36" s="60"/>
      <c r="D36" s="60"/>
      <c r="E36" s="60"/>
      <c r="F36" s="60"/>
      <c r="G36" s="60"/>
      <c r="H36" s="60"/>
      <c r="I36" s="37"/>
    </row>
    <row r="37" spans="1:9" x14ac:dyDescent="0.25">
      <c r="A37" s="25" t="s">
        <v>59</v>
      </c>
      <c r="B37" s="58" t="s">
        <v>60</v>
      </c>
      <c r="C37" s="6" t="s">
        <v>64</v>
      </c>
      <c r="D37" s="49" t="s">
        <v>62</v>
      </c>
      <c r="E37" s="58" t="s">
        <v>63</v>
      </c>
      <c r="F37" s="6" t="s">
        <v>64</v>
      </c>
      <c r="G37" s="6"/>
      <c r="H37" s="58" t="s">
        <v>199</v>
      </c>
      <c r="I37" s="49"/>
    </row>
    <row r="38" spans="1:9" x14ac:dyDescent="0.25">
      <c r="A38" s="7"/>
      <c r="B38" s="60"/>
      <c r="C38" s="62" t="s">
        <v>66</v>
      </c>
      <c r="D38" s="53" t="s">
        <v>23</v>
      </c>
      <c r="E38" s="74" t="s">
        <v>312</v>
      </c>
      <c r="F38" s="62" t="s">
        <v>30</v>
      </c>
      <c r="G38" s="62"/>
      <c r="H38" s="74"/>
      <c r="I38" s="53"/>
    </row>
    <row r="39" spans="1:9" x14ac:dyDescent="0.25">
      <c r="A39" s="12"/>
      <c r="B39" s="74" t="s">
        <v>68</v>
      </c>
      <c r="C39" s="29">
        <v>18431.62</v>
      </c>
      <c r="D39" s="9">
        <v>5553</v>
      </c>
      <c r="E39" s="79">
        <f>D39*15%</f>
        <v>832.94999999999993</v>
      </c>
      <c r="F39" s="54">
        <f>C39+D39-E39</f>
        <v>23151.67</v>
      </c>
      <c r="G39" s="54"/>
      <c r="H39" s="79">
        <f>F39-G39</f>
        <v>23151.67</v>
      </c>
      <c r="I39" s="53"/>
    </row>
    <row r="40" spans="1:9" x14ac:dyDescent="0.25">
      <c r="A40" s="5"/>
      <c r="B40" s="60"/>
      <c r="C40" s="60"/>
      <c r="D40" s="118"/>
      <c r="E40" s="37"/>
      <c r="F40" s="37"/>
      <c r="G40" s="37"/>
      <c r="H40" s="37"/>
      <c r="I40" s="60"/>
    </row>
    <row r="41" spans="1:9" x14ac:dyDescent="0.25">
      <c r="A41" s="1" t="s">
        <v>252</v>
      </c>
      <c r="B41" s="1"/>
      <c r="C41" s="1"/>
      <c r="D41" s="47"/>
      <c r="E41" s="1"/>
      <c r="F41" s="1"/>
      <c r="G41" s="1"/>
      <c r="H41" s="1"/>
      <c r="I41" s="1"/>
    </row>
    <row r="42" spans="1:9" x14ac:dyDescent="0.25">
      <c r="A42" s="6"/>
      <c r="B42" s="58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253</v>
      </c>
      <c r="H42" s="6" t="s">
        <v>78</v>
      </c>
      <c r="I42" s="6" t="s">
        <v>19</v>
      </c>
    </row>
    <row r="43" spans="1:9" x14ac:dyDescent="0.25">
      <c r="A43" s="7"/>
      <c r="B43" s="60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7" t="s">
        <v>85</v>
      </c>
      <c r="I43" s="7" t="s">
        <v>86</v>
      </c>
    </row>
    <row r="44" spans="1:9" x14ac:dyDescent="0.25">
      <c r="A44" s="7"/>
      <c r="B44" s="60"/>
      <c r="C44" s="7"/>
      <c r="D44" s="60"/>
      <c r="E44" s="7"/>
      <c r="F44" s="60" t="s">
        <v>87</v>
      </c>
      <c r="G44" s="7" t="s">
        <v>88</v>
      </c>
      <c r="H44" s="7"/>
      <c r="I44" s="7" t="s">
        <v>544</v>
      </c>
    </row>
    <row r="45" spans="1:9" x14ac:dyDescent="0.25">
      <c r="A45" s="7"/>
      <c r="B45" s="60"/>
      <c r="C45" s="7"/>
      <c r="D45" s="60"/>
      <c r="E45" s="7"/>
      <c r="F45" s="60"/>
      <c r="G45" s="7"/>
      <c r="H45" s="7"/>
      <c r="I45" s="7"/>
    </row>
    <row r="46" spans="1:9" x14ac:dyDescent="0.25">
      <c r="A46" s="9"/>
      <c r="B46" s="10"/>
      <c r="C46" s="9"/>
      <c r="D46" s="9"/>
      <c r="E46" s="10"/>
      <c r="F46" s="9"/>
      <c r="G46" s="10"/>
      <c r="H46" s="9"/>
      <c r="I46" s="9"/>
    </row>
    <row r="47" spans="1:9" x14ac:dyDescent="0.25">
      <c r="A47" s="7">
        <v>1</v>
      </c>
      <c r="B47" s="7" t="s">
        <v>90</v>
      </c>
      <c r="C47" s="5" t="s">
        <v>91</v>
      </c>
      <c r="D47" s="7">
        <v>-5797.88</v>
      </c>
      <c r="E47" s="112">
        <v>43490.47</v>
      </c>
      <c r="F47" s="7">
        <v>39497.31</v>
      </c>
      <c r="G47" s="112">
        <f>E47</f>
        <v>43490.47</v>
      </c>
      <c r="H47" s="7">
        <f>D47+F47-G47</f>
        <v>-9791.0400000000009</v>
      </c>
      <c r="I47" s="7">
        <f>H47</f>
        <v>-9791.0400000000009</v>
      </c>
    </row>
    <row r="48" spans="1:9" x14ac:dyDescent="0.25">
      <c r="A48" s="9"/>
      <c r="B48" s="9" t="s">
        <v>700</v>
      </c>
      <c r="C48" s="41" t="s">
        <v>93</v>
      </c>
      <c r="D48" s="9"/>
      <c r="E48" s="65"/>
      <c r="F48" s="9"/>
      <c r="G48" s="65"/>
      <c r="H48" s="9"/>
      <c r="I48" s="9"/>
    </row>
    <row r="49" spans="1:9" x14ac:dyDescent="0.25">
      <c r="A49" s="7">
        <v>2</v>
      </c>
      <c r="B49" s="7" t="s">
        <v>94</v>
      </c>
      <c r="C49" s="1" t="s">
        <v>95</v>
      </c>
      <c r="D49" s="62">
        <v>-27304.43</v>
      </c>
      <c r="E49" s="2">
        <v>79978.09</v>
      </c>
      <c r="F49" s="7">
        <v>72643.8</v>
      </c>
      <c r="G49" s="2">
        <f>E49</f>
        <v>79978.09</v>
      </c>
      <c r="H49" s="7">
        <f>D49+F49-G49</f>
        <v>-34638.719999999994</v>
      </c>
      <c r="I49" s="62">
        <f>H49</f>
        <v>-34638.719999999994</v>
      </c>
    </row>
    <row r="50" spans="1:9" x14ac:dyDescent="0.25">
      <c r="A50" s="9"/>
      <c r="B50" s="9" t="s">
        <v>96</v>
      </c>
      <c r="C50" s="41"/>
      <c r="D50" s="9" t="s">
        <v>71</v>
      </c>
      <c r="E50" s="10"/>
      <c r="F50" s="9"/>
      <c r="G50" s="10"/>
      <c r="H50" s="6" t="s">
        <v>71</v>
      </c>
      <c r="I50" s="9" t="str">
        <f>H50</f>
        <v xml:space="preserve"> </v>
      </c>
    </row>
    <row r="51" spans="1:9" x14ac:dyDescent="0.25">
      <c r="A51" s="9"/>
      <c r="B51" s="9" t="s">
        <v>313</v>
      </c>
      <c r="C51" s="41" t="s">
        <v>93</v>
      </c>
      <c r="D51" s="9"/>
      <c r="E51" s="10"/>
      <c r="F51" s="9"/>
      <c r="G51" s="10"/>
      <c r="H51" s="6"/>
      <c r="I51" s="9"/>
    </row>
    <row r="52" spans="1:9" x14ac:dyDescent="0.25">
      <c r="A52" s="9">
        <v>3</v>
      </c>
      <c r="B52" s="9" t="s">
        <v>98</v>
      </c>
      <c r="C52" s="41" t="s">
        <v>203</v>
      </c>
      <c r="D52" s="9">
        <v>-125662.55</v>
      </c>
      <c r="E52" s="10">
        <v>389137.27</v>
      </c>
      <c r="F52" s="9">
        <v>364102.97</v>
      </c>
      <c r="G52" s="10">
        <f>E52</f>
        <v>389137.27</v>
      </c>
      <c r="H52" s="9">
        <f>D52+F52-G52</f>
        <v>-150696.85000000003</v>
      </c>
      <c r="I52" s="9">
        <f>H52</f>
        <v>-150696.85000000003</v>
      </c>
    </row>
    <row r="53" spans="1:9" x14ac:dyDescent="0.25">
      <c r="A53" s="60"/>
      <c r="B53" s="60"/>
      <c r="C53" s="5"/>
      <c r="D53" s="60"/>
      <c r="E53" s="60"/>
      <c r="F53" s="60"/>
      <c r="G53" s="60"/>
      <c r="H53" s="60"/>
      <c r="I53" s="60"/>
    </row>
    <row r="54" spans="1:9" x14ac:dyDescent="0.25">
      <c r="A54" s="5" t="s">
        <v>255</v>
      </c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5" t="s">
        <v>701</v>
      </c>
      <c r="B55" s="1"/>
      <c r="C55" s="1"/>
      <c r="D55" s="5" t="s">
        <v>702</v>
      </c>
      <c r="E55" s="1"/>
      <c r="F55" s="1"/>
      <c r="G55" s="1"/>
      <c r="H55" s="1"/>
      <c r="I55" s="1"/>
    </row>
    <row r="56" spans="1:9" x14ac:dyDescent="0.25">
      <c r="A56" s="6" t="s">
        <v>12</v>
      </c>
      <c r="B56" s="49" t="s">
        <v>102</v>
      </c>
      <c r="C56" s="58" t="s">
        <v>103</v>
      </c>
      <c r="D56" s="58"/>
      <c r="E56" s="58"/>
      <c r="F56" s="48" t="s">
        <v>222</v>
      </c>
      <c r="G56" s="58"/>
      <c r="H56" s="49"/>
      <c r="I56" s="6" t="s">
        <v>105</v>
      </c>
    </row>
    <row r="57" spans="1:9" x14ac:dyDescent="0.25">
      <c r="A57" s="7" t="s">
        <v>106</v>
      </c>
      <c r="B57" s="61"/>
      <c r="C57" s="60"/>
      <c r="D57" s="60"/>
      <c r="E57" s="60"/>
      <c r="F57" s="51" t="s">
        <v>224</v>
      </c>
      <c r="G57" s="60"/>
      <c r="H57" s="61"/>
      <c r="I57" s="7" t="s">
        <v>108</v>
      </c>
    </row>
    <row r="58" spans="1:9" x14ac:dyDescent="0.25">
      <c r="A58" s="7"/>
      <c r="B58" s="61"/>
      <c r="C58" s="60"/>
      <c r="D58" s="60"/>
      <c r="E58" s="60"/>
      <c r="F58" s="51" t="s">
        <v>257</v>
      </c>
      <c r="G58" s="60"/>
      <c r="H58" s="61"/>
      <c r="I58" s="7"/>
    </row>
    <row r="59" spans="1:9" x14ac:dyDescent="0.25">
      <c r="A59" s="62"/>
      <c r="B59" s="53"/>
      <c r="C59" s="60"/>
      <c r="D59" s="60"/>
      <c r="E59" s="60"/>
      <c r="F59" s="51" t="s">
        <v>258</v>
      </c>
      <c r="G59" s="60"/>
      <c r="H59" s="61"/>
      <c r="I59" s="62"/>
    </row>
    <row r="60" spans="1:9" x14ac:dyDescent="0.25">
      <c r="A60" s="82" t="s">
        <v>110</v>
      </c>
      <c r="B60" s="18"/>
      <c r="C60" s="68" t="s">
        <v>111</v>
      </c>
      <c r="D60" s="68"/>
      <c r="E60" s="68"/>
      <c r="F60" s="48"/>
      <c r="G60" s="58"/>
      <c r="H60" s="49"/>
      <c r="I60" s="7"/>
    </row>
    <row r="61" spans="1:9" x14ac:dyDescent="0.25">
      <c r="A61" s="69"/>
      <c r="B61" s="7"/>
      <c r="C61" s="60" t="s">
        <v>112</v>
      </c>
      <c r="D61" s="60"/>
      <c r="E61" s="60"/>
      <c r="F61" s="51" t="s">
        <v>71</v>
      </c>
      <c r="G61" s="37"/>
      <c r="H61" s="61" t="s">
        <v>71</v>
      </c>
      <c r="I61" s="7" t="s">
        <v>71</v>
      </c>
    </row>
    <row r="62" spans="1:9" x14ac:dyDescent="0.25">
      <c r="A62" s="69" t="s">
        <v>113</v>
      </c>
      <c r="B62" s="70">
        <v>42849</v>
      </c>
      <c r="C62" s="60" t="s">
        <v>703</v>
      </c>
      <c r="D62" s="60"/>
      <c r="E62" s="60"/>
      <c r="F62" s="51"/>
      <c r="G62" s="37">
        <f>I62/1108.8</f>
        <v>1.0416937229437229</v>
      </c>
      <c r="H62" s="61"/>
      <c r="I62" s="7">
        <v>1155.03</v>
      </c>
    </row>
    <row r="63" spans="1:9" x14ac:dyDescent="0.25">
      <c r="A63" s="69" t="s">
        <v>38</v>
      </c>
      <c r="B63" s="70">
        <v>42865</v>
      </c>
      <c r="C63" s="60" t="s">
        <v>704</v>
      </c>
      <c r="D63" s="60"/>
      <c r="E63" s="60"/>
      <c r="F63" s="51"/>
      <c r="G63" s="37">
        <f>I63/1108.8</f>
        <v>1.0416937229437229</v>
      </c>
      <c r="H63" s="61"/>
      <c r="I63" s="7">
        <v>1155.03</v>
      </c>
    </row>
    <row r="64" spans="1:9" x14ac:dyDescent="0.25">
      <c r="A64" s="69" t="s">
        <v>40</v>
      </c>
      <c r="B64" s="70">
        <v>42947</v>
      </c>
      <c r="C64" s="60" t="s">
        <v>315</v>
      </c>
      <c r="D64" s="60"/>
      <c r="E64" s="60"/>
      <c r="F64" s="51"/>
      <c r="G64" s="37">
        <f>I64/1108.8</f>
        <v>31.092036435786436</v>
      </c>
      <c r="H64" s="61"/>
      <c r="I64" s="7">
        <v>34474.85</v>
      </c>
    </row>
    <row r="65" spans="1:9" x14ac:dyDescent="0.25">
      <c r="A65" s="69"/>
      <c r="B65" s="7"/>
      <c r="C65" s="5" t="s">
        <v>118</v>
      </c>
      <c r="D65" s="5"/>
      <c r="E65" s="5"/>
      <c r="F65" s="59"/>
      <c r="G65" s="196">
        <v>33.17</v>
      </c>
      <c r="H65" s="71"/>
      <c r="I65" s="18">
        <f>SUM(I62:I64)</f>
        <v>36784.909999999996</v>
      </c>
    </row>
    <row r="66" spans="1:9" x14ac:dyDescent="0.25">
      <c r="A66" s="6"/>
      <c r="B66" s="6"/>
      <c r="C66" s="48"/>
      <c r="D66" s="58"/>
      <c r="E66" s="49"/>
      <c r="F66" s="48"/>
      <c r="G66" s="58"/>
      <c r="H66" s="49"/>
      <c r="I66" s="6"/>
    </row>
    <row r="67" spans="1:9" x14ac:dyDescent="0.25">
      <c r="A67" s="25" t="s">
        <v>48</v>
      </c>
      <c r="B67" s="25" t="s">
        <v>119</v>
      </c>
      <c r="C67" s="57" t="s">
        <v>120</v>
      </c>
      <c r="D67" s="58"/>
      <c r="E67" s="49"/>
      <c r="F67" s="48" t="s">
        <v>121</v>
      </c>
      <c r="G67" s="58"/>
      <c r="H67" s="49"/>
      <c r="I67" s="6"/>
    </row>
    <row r="68" spans="1:9" x14ac:dyDescent="0.25">
      <c r="A68" s="7"/>
      <c r="B68" s="18"/>
      <c r="C68" s="59"/>
      <c r="D68" s="60"/>
      <c r="E68" s="61"/>
      <c r="F68" s="51"/>
      <c r="G68" s="60"/>
      <c r="H68" s="61"/>
      <c r="I68" s="7"/>
    </row>
    <row r="69" spans="1:9" x14ac:dyDescent="0.25">
      <c r="A69" s="73"/>
      <c r="B69" s="62" t="s">
        <v>119</v>
      </c>
      <c r="C69" s="52" t="s">
        <v>118</v>
      </c>
      <c r="D69" s="74"/>
      <c r="E69" s="53"/>
      <c r="F69" s="52" t="s">
        <v>71</v>
      </c>
      <c r="G69" s="74">
        <v>0</v>
      </c>
      <c r="H69" s="53"/>
      <c r="I69" s="62">
        <v>0</v>
      </c>
    </row>
    <row r="70" spans="1:9" x14ac:dyDescent="0.25">
      <c r="A70" s="2" t="s">
        <v>209</v>
      </c>
      <c r="B70" s="2"/>
      <c r="C70" s="2" t="s">
        <v>451</v>
      </c>
      <c r="D70" s="114" t="s">
        <v>123</v>
      </c>
      <c r="F70" s="2" t="s">
        <v>124</v>
      </c>
      <c r="G70" s="2"/>
      <c r="H70" s="2" t="s">
        <v>262</v>
      </c>
      <c r="I70" s="2" t="s">
        <v>705</v>
      </c>
    </row>
    <row r="71" spans="1:9" x14ac:dyDescent="0.25">
      <c r="B71" s="2"/>
    </row>
  </sheetData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110" zoomScaleNormal="110" workbookViewId="0">
      <selection activeCell="B3" sqref="B3"/>
    </sheetView>
  </sheetViews>
  <sheetFormatPr defaultRowHeight="15" x14ac:dyDescent="0.25"/>
  <cols>
    <col min="1" max="1" width="4.28515625" style="3" customWidth="1"/>
    <col min="2" max="2" width="32.5703125" style="3" customWidth="1"/>
    <col min="3" max="3" width="13" style="3" customWidth="1"/>
    <col min="4" max="4" width="12.42578125" style="3" customWidth="1"/>
    <col min="5" max="7" width="9.140625" style="3"/>
    <col min="8" max="8" width="12.28515625" style="3" customWidth="1"/>
    <col min="9" max="9" width="19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60"/>
    </row>
    <row r="6" spans="1:9" x14ac:dyDescent="0.25">
      <c r="A6" s="1" t="s">
        <v>706</v>
      </c>
      <c r="B6" s="2"/>
      <c r="C6" s="2"/>
      <c r="D6" s="2"/>
      <c r="E6" s="2"/>
      <c r="F6" s="2"/>
      <c r="G6" s="2"/>
      <c r="H6" s="1"/>
      <c r="I6" s="60"/>
    </row>
    <row r="7" spans="1:9" x14ac:dyDescent="0.25">
      <c r="A7" s="2" t="s">
        <v>707</v>
      </c>
      <c r="B7" s="2"/>
      <c r="C7" s="2"/>
      <c r="D7" s="2"/>
      <c r="E7" s="2"/>
      <c r="F7" s="2"/>
      <c r="G7" s="2"/>
      <c r="H7" s="2"/>
      <c r="I7" s="60"/>
    </row>
    <row r="8" spans="1:9" x14ac:dyDescent="0.25">
      <c r="A8" s="2" t="s">
        <v>130</v>
      </c>
      <c r="B8" s="2"/>
      <c r="C8" s="2"/>
      <c r="D8" s="2"/>
      <c r="E8" s="2"/>
      <c r="F8" s="2"/>
      <c r="G8" s="2"/>
      <c r="H8" s="2"/>
      <c r="I8" s="60"/>
    </row>
    <row r="9" spans="1:9" x14ac:dyDescent="0.25">
      <c r="A9" s="2" t="s">
        <v>708</v>
      </c>
      <c r="B9" s="2"/>
      <c r="C9" s="2"/>
      <c r="D9" s="2"/>
      <c r="E9" s="2"/>
      <c r="F9" s="2"/>
      <c r="G9" s="2"/>
      <c r="H9" s="2"/>
      <c r="I9" s="60"/>
    </row>
    <row r="10" spans="1:9" x14ac:dyDescent="0.25">
      <c r="A10" s="2" t="s">
        <v>709</v>
      </c>
      <c r="B10" s="2"/>
      <c r="C10" s="2"/>
      <c r="D10" s="2"/>
      <c r="E10" s="2"/>
      <c r="F10" s="2"/>
      <c r="G10" s="2"/>
      <c r="H10" s="2"/>
      <c r="I10" s="60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2"/>
    </row>
    <row r="13" spans="1:9" x14ac:dyDescent="0.25">
      <c r="A13" s="5" t="s">
        <v>11</v>
      </c>
      <c r="B13" s="1"/>
      <c r="C13" s="1"/>
      <c r="D13" s="1"/>
      <c r="E13" s="1"/>
      <c r="F13" s="1"/>
      <c r="G13" s="1"/>
      <c r="H13" s="1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48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51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51" t="s">
        <v>30</v>
      </c>
      <c r="I16" s="7" t="s">
        <v>31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51" t="s">
        <v>33</v>
      </c>
      <c r="I17" s="7" t="s">
        <v>34</v>
      </c>
    </row>
    <row r="18" spans="1:9" x14ac:dyDescent="0.25">
      <c r="A18" s="9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8">
        <v>8</v>
      </c>
      <c r="I18" s="6">
        <v>9</v>
      </c>
    </row>
    <row r="19" spans="1:9" x14ac:dyDescent="0.25">
      <c r="A19" s="25">
        <v>1</v>
      </c>
      <c r="B19" s="25" t="s">
        <v>191</v>
      </c>
      <c r="C19" s="68"/>
      <c r="D19" s="57"/>
      <c r="E19" s="45"/>
      <c r="F19" s="25"/>
      <c r="G19" s="68"/>
      <c r="H19" s="57"/>
      <c r="I19" s="45" t="s">
        <v>71</v>
      </c>
    </row>
    <row r="20" spans="1:9" x14ac:dyDescent="0.25">
      <c r="A20" s="12"/>
      <c r="B20" s="12" t="s">
        <v>192</v>
      </c>
      <c r="C20" s="14">
        <v>7.56</v>
      </c>
      <c r="D20" s="16">
        <v>-1802.53</v>
      </c>
      <c r="E20" s="12">
        <v>294350.15999999997</v>
      </c>
      <c r="F20" s="12">
        <v>291047.51</v>
      </c>
      <c r="G20" s="14">
        <f>E20</f>
        <v>294350.15999999997</v>
      </c>
      <c r="H20" s="16">
        <f>D20+F20-G20</f>
        <v>-5105.179999999993</v>
      </c>
      <c r="I20" s="17">
        <f>H20</f>
        <v>-5105.179999999993</v>
      </c>
    </row>
    <row r="21" spans="1:9" x14ac:dyDescent="0.25">
      <c r="A21" s="7" t="s">
        <v>36</v>
      </c>
      <c r="B21" s="7" t="s">
        <v>457</v>
      </c>
      <c r="C21" s="60"/>
      <c r="D21" s="38"/>
      <c r="E21" s="7"/>
      <c r="F21" s="22"/>
      <c r="G21" s="51"/>
      <c r="H21" s="38"/>
      <c r="I21" s="22"/>
    </row>
    <row r="22" spans="1:9" x14ac:dyDescent="0.25">
      <c r="A22" s="62"/>
      <c r="B22" s="62" t="s">
        <v>458</v>
      </c>
      <c r="C22" s="79">
        <v>2.62</v>
      </c>
      <c r="D22" s="55"/>
      <c r="E22" s="54">
        <f>E20*34.5%</f>
        <v>101550.80519999999</v>
      </c>
      <c r="F22" s="54">
        <f>F20*34.5%</f>
        <v>100411.39095</v>
      </c>
      <c r="G22" s="55">
        <f t="shared" ref="G22:G28" si="0">E22</f>
        <v>101550.80519999999</v>
      </c>
      <c r="H22" s="55"/>
      <c r="I22" s="22"/>
    </row>
    <row r="23" spans="1:9" x14ac:dyDescent="0.25">
      <c r="A23" s="24" t="s">
        <v>38</v>
      </c>
      <c r="B23" s="6" t="s">
        <v>39</v>
      </c>
      <c r="C23" s="86">
        <v>1.33</v>
      </c>
      <c r="D23" s="38"/>
      <c r="E23" s="75">
        <f>E20*18%</f>
        <v>52983.028799999993</v>
      </c>
      <c r="F23" s="75">
        <f>F20*18%</f>
        <v>52388.551800000001</v>
      </c>
      <c r="G23" s="37">
        <f t="shared" si="0"/>
        <v>52983.028799999993</v>
      </c>
      <c r="H23" s="38"/>
      <c r="I23" s="29"/>
    </row>
    <row r="24" spans="1:9" x14ac:dyDescent="0.25">
      <c r="A24" s="24" t="s">
        <v>40</v>
      </c>
      <c r="B24" s="6" t="s">
        <v>41</v>
      </c>
      <c r="C24" s="86">
        <v>1.22</v>
      </c>
      <c r="D24" s="105"/>
      <c r="E24" s="75">
        <f>E20*16%</f>
        <v>47096.025599999994</v>
      </c>
      <c r="F24" s="75">
        <f>F20*16%</f>
        <v>46567.601600000002</v>
      </c>
      <c r="G24" s="105">
        <f t="shared" si="0"/>
        <v>47096.025599999994</v>
      </c>
      <c r="H24" s="105"/>
      <c r="I24" s="22"/>
    </row>
    <row r="25" spans="1:9" x14ac:dyDescent="0.25">
      <c r="A25" s="24" t="s">
        <v>42</v>
      </c>
      <c r="B25" s="6" t="s">
        <v>43</v>
      </c>
      <c r="C25" s="86">
        <v>2.39</v>
      </c>
      <c r="D25" s="105"/>
      <c r="E25" s="75">
        <f>E20*31.5%</f>
        <v>92720.300399999993</v>
      </c>
      <c r="F25" s="75">
        <f>F20*31.5%</f>
        <v>91679.965649999998</v>
      </c>
      <c r="G25" s="105">
        <f t="shared" si="0"/>
        <v>92720.300399999993</v>
      </c>
      <c r="H25" s="105"/>
      <c r="I25" s="75"/>
    </row>
    <row r="26" spans="1:9" x14ac:dyDescent="0.25">
      <c r="A26" s="24" t="s">
        <v>44</v>
      </c>
      <c r="B26" s="6" t="s">
        <v>45</v>
      </c>
      <c r="C26" s="106">
        <v>0.53476999999999997</v>
      </c>
      <c r="D26" s="105"/>
      <c r="E26" s="75">
        <v>12329.81</v>
      </c>
      <c r="F26" s="75">
        <v>13542.19</v>
      </c>
      <c r="G26" s="86">
        <f t="shared" si="0"/>
        <v>12329.81</v>
      </c>
      <c r="H26" s="28">
        <f>F26-E26</f>
        <v>1212.380000000001</v>
      </c>
      <c r="I26" s="45"/>
    </row>
    <row r="27" spans="1:9" x14ac:dyDescent="0.25">
      <c r="A27" s="24" t="s">
        <v>46</v>
      </c>
      <c r="B27" s="6" t="s">
        <v>710</v>
      </c>
      <c r="C27" s="198">
        <v>1.1979230000000001</v>
      </c>
      <c r="D27" s="105"/>
      <c r="E27" s="9">
        <v>31086.12</v>
      </c>
      <c r="F27" s="9">
        <v>26436.29</v>
      </c>
      <c r="G27" s="10">
        <f>E27</f>
        <v>31086.12</v>
      </c>
      <c r="H27" s="11">
        <f>F27-E27</f>
        <v>-4649.8299999999981</v>
      </c>
      <c r="I27" s="11">
        <f>H27</f>
        <v>-4649.8299999999981</v>
      </c>
    </row>
    <row r="28" spans="1:9" x14ac:dyDescent="0.25">
      <c r="A28" s="11" t="s">
        <v>48</v>
      </c>
      <c r="B28" s="11" t="s">
        <v>49</v>
      </c>
      <c r="C28" s="41" t="s">
        <v>50</v>
      </c>
      <c r="D28" s="43">
        <v>-10665.93</v>
      </c>
      <c r="E28" s="11">
        <v>131795.49</v>
      </c>
      <c r="F28" s="11">
        <v>124665.08</v>
      </c>
      <c r="G28" s="41">
        <f t="shared" si="0"/>
        <v>131795.49</v>
      </c>
      <c r="H28" s="34">
        <f>D28+F28-G28</f>
        <v>-17796.339999999997</v>
      </c>
      <c r="I28" s="43">
        <f>H28</f>
        <v>-17796.339999999997</v>
      </c>
    </row>
    <row r="29" spans="1:9" x14ac:dyDescent="0.25">
      <c r="A29" s="18" t="s">
        <v>51</v>
      </c>
      <c r="B29" s="12" t="s">
        <v>459</v>
      </c>
      <c r="C29" s="42">
        <v>1.65</v>
      </c>
      <c r="D29" s="34">
        <v>280213.51</v>
      </c>
      <c r="E29" s="11">
        <v>64245.120000000003</v>
      </c>
      <c r="F29" s="11">
        <f>F30+F31</f>
        <v>57853.380000000005</v>
      </c>
      <c r="G29" s="46">
        <f>I61</f>
        <v>22360.6</v>
      </c>
      <c r="H29" s="16">
        <f>D29+F29-G29</f>
        <v>315706.29000000004</v>
      </c>
      <c r="I29" s="17"/>
    </row>
    <row r="30" spans="1:9" x14ac:dyDescent="0.25">
      <c r="A30" s="11"/>
      <c r="B30" s="9" t="s">
        <v>149</v>
      </c>
      <c r="C30" s="14"/>
      <c r="D30" s="16"/>
      <c r="E30" s="12"/>
      <c r="F30" s="12">
        <v>57140.65</v>
      </c>
      <c r="G30" s="85"/>
      <c r="H30" s="16"/>
      <c r="I30" s="17"/>
    </row>
    <row r="31" spans="1:9" x14ac:dyDescent="0.25">
      <c r="A31" s="18"/>
      <c r="B31" s="62" t="s">
        <v>54</v>
      </c>
      <c r="C31" s="5"/>
      <c r="D31" s="16"/>
      <c r="E31" s="18"/>
      <c r="F31" s="12">
        <v>712.73</v>
      </c>
      <c r="G31" s="1"/>
      <c r="H31" s="16"/>
      <c r="I31" s="17"/>
    </row>
    <row r="32" spans="1:9" x14ac:dyDescent="0.25">
      <c r="A32" s="11" t="s">
        <v>55</v>
      </c>
      <c r="B32" s="11" t="s">
        <v>711</v>
      </c>
      <c r="C32" s="33"/>
      <c r="D32" s="42">
        <v>43229.7</v>
      </c>
      <c r="E32" s="11">
        <f>E33</f>
        <v>0</v>
      </c>
      <c r="F32" s="11">
        <f>F33</f>
        <v>0</v>
      </c>
      <c r="G32" s="41">
        <f>G33</f>
        <v>0</v>
      </c>
      <c r="H32" s="42">
        <f>D32+F32-G32</f>
        <v>43229.7</v>
      </c>
      <c r="I32" s="43"/>
    </row>
    <row r="33" spans="1:9" x14ac:dyDescent="0.25">
      <c r="A33" s="9"/>
      <c r="B33" s="9" t="s">
        <v>149</v>
      </c>
      <c r="C33" s="10"/>
      <c r="D33" s="8"/>
      <c r="E33" s="9">
        <v>0</v>
      </c>
      <c r="F33" s="9">
        <v>0</v>
      </c>
      <c r="G33" s="10">
        <f>I64</f>
        <v>0</v>
      </c>
      <c r="H33" s="8"/>
      <c r="I33" s="54"/>
    </row>
    <row r="34" spans="1:9" x14ac:dyDescent="0.25">
      <c r="A34" s="9"/>
      <c r="B34" s="9" t="s">
        <v>54</v>
      </c>
      <c r="C34" s="10" t="s">
        <v>71</v>
      </c>
      <c r="D34" s="8"/>
      <c r="E34" s="9">
        <v>0</v>
      </c>
      <c r="F34" s="9">
        <v>0</v>
      </c>
      <c r="G34" s="10">
        <v>0</v>
      </c>
      <c r="H34" s="9"/>
      <c r="I34" s="62"/>
    </row>
    <row r="35" spans="1:9" x14ac:dyDescent="0.25">
      <c r="A35" s="1" t="s">
        <v>58</v>
      </c>
      <c r="B35" s="1"/>
      <c r="C35" s="1"/>
      <c r="D35" s="47"/>
      <c r="E35" s="1"/>
      <c r="F35" s="60"/>
      <c r="G35" s="60"/>
      <c r="H35" s="60"/>
      <c r="I35" s="61"/>
    </row>
    <row r="36" spans="1:9" x14ac:dyDescent="0.25">
      <c r="A36" s="1"/>
      <c r="B36" s="1"/>
      <c r="C36" s="1"/>
      <c r="D36" s="47"/>
      <c r="E36" s="1"/>
      <c r="F36" s="60"/>
      <c r="G36" s="60"/>
      <c r="H36" s="60"/>
      <c r="I36" s="61"/>
    </row>
    <row r="37" spans="1:9" x14ac:dyDescent="0.25">
      <c r="A37" s="1"/>
      <c r="B37" s="1"/>
      <c r="C37" s="1"/>
      <c r="D37" s="47"/>
      <c r="E37" s="1"/>
      <c r="F37" s="60"/>
      <c r="G37" s="60"/>
      <c r="H37" s="60"/>
      <c r="I37" s="61"/>
    </row>
    <row r="38" spans="1:9" x14ac:dyDescent="0.25">
      <c r="A38" s="6" t="s">
        <v>196</v>
      </c>
      <c r="B38" s="58" t="s">
        <v>712</v>
      </c>
      <c r="C38" s="48" t="s">
        <v>713</v>
      </c>
      <c r="D38" s="6" t="s">
        <v>62</v>
      </c>
      <c r="E38" s="6" t="s">
        <v>688</v>
      </c>
      <c r="F38" s="48" t="s">
        <v>713</v>
      </c>
      <c r="G38" s="6"/>
      <c r="H38" s="58" t="s">
        <v>714</v>
      </c>
      <c r="I38" s="49"/>
    </row>
    <row r="39" spans="1:9" x14ac:dyDescent="0.25">
      <c r="A39" s="7"/>
      <c r="B39" s="60"/>
      <c r="C39" s="52" t="s">
        <v>66</v>
      </c>
      <c r="D39" s="62" t="s">
        <v>23</v>
      </c>
      <c r="E39" s="62" t="s">
        <v>312</v>
      </c>
      <c r="F39" s="52" t="s">
        <v>30</v>
      </c>
      <c r="G39" s="62"/>
      <c r="H39" s="74"/>
      <c r="I39" s="53"/>
    </row>
    <row r="40" spans="1:9" x14ac:dyDescent="0.25">
      <c r="A40" s="62"/>
      <c r="B40" s="74" t="s">
        <v>715</v>
      </c>
      <c r="C40" s="62">
        <v>10900.5</v>
      </c>
      <c r="D40" s="53">
        <v>5553</v>
      </c>
      <c r="E40" s="54">
        <f>D40*15%</f>
        <v>832.94999999999993</v>
      </c>
      <c r="F40" s="54">
        <f>C40+D40-E40</f>
        <v>15620.55</v>
      </c>
      <c r="G40" s="80"/>
      <c r="H40" s="55">
        <f>F40-G40</f>
        <v>15620.55</v>
      </c>
      <c r="I40" s="62"/>
    </row>
    <row r="41" spans="1:9" x14ac:dyDescent="0.25">
      <c r="A41" s="60"/>
      <c r="B41" s="60"/>
      <c r="C41" s="60"/>
      <c r="D41" s="60"/>
      <c r="E41" s="37"/>
      <c r="F41" s="37"/>
      <c r="G41" s="37"/>
      <c r="H41" s="37"/>
      <c r="I41" s="60"/>
    </row>
    <row r="42" spans="1:9" x14ac:dyDescent="0.25">
      <c r="A42" s="5" t="s">
        <v>716</v>
      </c>
      <c r="B42" s="5"/>
      <c r="C42" s="5"/>
      <c r="D42" s="56"/>
      <c r="E42" s="5"/>
      <c r="F42" s="5"/>
      <c r="G42" s="5"/>
      <c r="H42" s="5"/>
      <c r="I42" s="5"/>
    </row>
    <row r="43" spans="1:9" x14ac:dyDescent="0.25">
      <c r="A43" s="1" t="s">
        <v>717</v>
      </c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6" t="s">
        <v>71</v>
      </c>
      <c r="B44" s="57" t="s">
        <v>72</v>
      </c>
      <c r="C44" s="6" t="s">
        <v>73</v>
      </c>
      <c r="D44" s="58" t="s">
        <v>74</v>
      </c>
      <c r="E44" s="6" t="s">
        <v>75</v>
      </c>
      <c r="F44" s="58" t="s">
        <v>76</v>
      </c>
      <c r="G44" s="6" t="s">
        <v>77</v>
      </c>
      <c r="H44" s="58" t="s">
        <v>78</v>
      </c>
      <c r="I44" s="6" t="s">
        <v>19</v>
      </c>
    </row>
    <row r="45" spans="1:9" x14ac:dyDescent="0.25">
      <c r="A45" s="7"/>
      <c r="B45" s="59" t="s">
        <v>79</v>
      </c>
      <c r="C45" s="7" t="s">
        <v>80</v>
      </c>
      <c r="D45" s="60" t="s">
        <v>81</v>
      </c>
      <c r="E45" s="7" t="s">
        <v>82</v>
      </c>
      <c r="F45" s="60" t="s">
        <v>83</v>
      </c>
      <c r="G45" s="7" t="s">
        <v>84</v>
      </c>
      <c r="H45" s="60" t="s">
        <v>85</v>
      </c>
      <c r="I45" s="7" t="s">
        <v>86</v>
      </c>
    </row>
    <row r="46" spans="1:9" x14ac:dyDescent="0.25">
      <c r="A46" s="7"/>
      <c r="B46" s="59"/>
      <c r="C46" s="62"/>
      <c r="D46" s="74"/>
      <c r="E46" s="62"/>
      <c r="F46" s="74" t="s">
        <v>87</v>
      </c>
      <c r="G46" s="62" t="s">
        <v>88</v>
      </c>
      <c r="H46" s="74"/>
      <c r="I46" s="62" t="s">
        <v>325</v>
      </c>
    </row>
    <row r="47" spans="1:9" x14ac:dyDescent="0.25">
      <c r="A47" s="9">
        <v>1</v>
      </c>
      <c r="B47" s="9" t="s">
        <v>90</v>
      </c>
      <c r="C47" s="14" t="s">
        <v>91</v>
      </c>
      <c r="D47" s="54">
        <v>-30898.41</v>
      </c>
      <c r="E47" s="66">
        <v>399939.9</v>
      </c>
      <c r="F47" s="62">
        <v>393576.62</v>
      </c>
      <c r="G47" s="66">
        <f>E47</f>
        <v>399939.9</v>
      </c>
      <c r="H47" s="54">
        <f>D47+F47-G47</f>
        <v>-37261.69</v>
      </c>
      <c r="I47" s="54">
        <f>H47</f>
        <v>-37261.69</v>
      </c>
    </row>
    <row r="48" spans="1:9" x14ac:dyDescent="0.25">
      <c r="A48" s="9"/>
      <c r="B48" s="9" t="s">
        <v>92</v>
      </c>
      <c r="C48" s="14" t="s">
        <v>93</v>
      </c>
      <c r="D48" s="54"/>
      <c r="E48" s="66"/>
      <c r="F48" s="62"/>
      <c r="G48" s="66"/>
      <c r="H48" s="54"/>
      <c r="I48" s="54"/>
    </row>
    <row r="49" spans="1:9" x14ac:dyDescent="0.25">
      <c r="A49" s="9">
        <v>2</v>
      </c>
      <c r="B49" s="9" t="s">
        <v>98</v>
      </c>
      <c r="C49" s="41" t="s">
        <v>99</v>
      </c>
      <c r="D49" s="54">
        <v>-221083.66</v>
      </c>
      <c r="E49" s="10">
        <v>771264.08</v>
      </c>
      <c r="F49" s="9">
        <v>788194.07</v>
      </c>
      <c r="G49" s="10">
        <f>E49</f>
        <v>771264.08</v>
      </c>
      <c r="H49" s="29">
        <f>D49+F49-G49</f>
        <v>-204153.67000000004</v>
      </c>
      <c r="I49" s="54">
        <f>H49</f>
        <v>-204153.67000000004</v>
      </c>
    </row>
    <row r="50" spans="1:9" x14ac:dyDescent="0.25">
      <c r="A50" s="60"/>
      <c r="B50" s="60"/>
      <c r="C50" s="5"/>
      <c r="D50" s="37"/>
      <c r="E50" s="60"/>
      <c r="F50" s="60"/>
      <c r="G50" s="60"/>
      <c r="H50" s="37"/>
      <c r="I50" s="60"/>
    </row>
    <row r="51" spans="1:9" x14ac:dyDescent="0.25">
      <c r="A51" s="1" t="s">
        <v>718</v>
      </c>
      <c r="B51" s="1"/>
      <c r="C51" s="1"/>
      <c r="D51" s="1"/>
      <c r="E51" s="1"/>
      <c r="F51" s="1"/>
      <c r="G51" s="1"/>
      <c r="H51" s="1"/>
      <c r="I51" s="2"/>
    </row>
    <row r="52" spans="1:9" x14ac:dyDescent="0.25">
      <c r="A52" s="5" t="s">
        <v>220</v>
      </c>
      <c r="B52" s="1"/>
      <c r="C52" s="1"/>
      <c r="D52" s="1"/>
      <c r="E52" s="1"/>
      <c r="F52" s="1"/>
      <c r="G52" s="1"/>
      <c r="H52" s="1"/>
      <c r="I52" s="2"/>
    </row>
    <row r="53" spans="1:9" x14ac:dyDescent="0.25">
      <c r="A53" s="6" t="s">
        <v>12</v>
      </c>
      <c r="B53" s="6" t="s">
        <v>102</v>
      </c>
      <c r="C53" s="58" t="s">
        <v>103</v>
      </c>
      <c r="D53" s="58"/>
      <c r="E53" s="58"/>
      <c r="F53" s="48" t="s">
        <v>485</v>
      </c>
      <c r="G53" s="58"/>
      <c r="H53" s="49"/>
      <c r="I53" s="6" t="s">
        <v>105</v>
      </c>
    </row>
    <row r="54" spans="1:9" x14ac:dyDescent="0.25">
      <c r="A54" s="7" t="s">
        <v>106</v>
      </c>
      <c r="B54" s="7"/>
      <c r="C54" s="60"/>
      <c r="D54" s="60"/>
      <c r="E54" s="60"/>
      <c r="F54" s="51" t="s">
        <v>719</v>
      </c>
      <c r="G54" s="60"/>
      <c r="H54" s="61"/>
      <c r="I54" s="7" t="s">
        <v>108</v>
      </c>
    </row>
    <row r="55" spans="1:9" x14ac:dyDescent="0.25">
      <c r="A55" s="7"/>
      <c r="B55" s="62"/>
      <c r="C55" s="60"/>
      <c r="D55" s="60"/>
      <c r="E55" s="60"/>
      <c r="F55" s="51" t="s">
        <v>416</v>
      </c>
      <c r="G55" s="60"/>
      <c r="H55" s="61"/>
      <c r="I55" s="7"/>
    </row>
    <row r="56" spans="1:9" x14ac:dyDescent="0.25">
      <c r="A56" s="67" t="s">
        <v>110</v>
      </c>
      <c r="B56" s="59"/>
      <c r="C56" s="57" t="s">
        <v>111</v>
      </c>
      <c r="D56" s="68"/>
      <c r="E56" s="72"/>
      <c r="F56" s="58"/>
      <c r="G56" s="58"/>
      <c r="H56" s="49"/>
      <c r="I56" s="6"/>
    </row>
    <row r="57" spans="1:9" x14ac:dyDescent="0.25">
      <c r="A57" s="69"/>
      <c r="B57" s="83"/>
      <c r="C57" s="51"/>
      <c r="D57" s="60"/>
      <c r="E57" s="61"/>
      <c r="F57" s="60"/>
      <c r="G57" s="37"/>
      <c r="H57" s="61"/>
      <c r="I57" s="7"/>
    </row>
    <row r="58" spans="1:9" x14ac:dyDescent="0.25">
      <c r="A58" s="69" t="s">
        <v>113</v>
      </c>
      <c r="B58" s="199">
        <v>42851</v>
      </c>
      <c r="C58" s="51" t="s">
        <v>114</v>
      </c>
      <c r="D58" s="60"/>
      <c r="E58" s="200"/>
      <c r="F58" s="60"/>
      <c r="G58" s="37">
        <f>I58/3348.8</f>
        <v>4.5389393215480167</v>
      </c>
      <c r="H58" s="61"/>
      <c r="I58" s="7">
        <v>15200</v>
      </c>
    </row>
    <row r="59" spans="1:9" x14ac:dyDescent="0.25">
      <c r="A59" s="69" t="s">
        <v>38</v>
      </c>
      <c r="B59" s="199">
        <v>43069</v>
      </c>
      <c r="C59" s="51" t="s">
        <v>720</v>
      </c>
      <c r="D59" s="60"/>
      <c r="E59" s="200"/>
      <c r="F59" s="60"/>
      <c r="G59" s="37">
        <f>I59/3348.8</f>
        <v>2.1382584806497849</v>
      </c>
      <c r="H59" s="61"/>
      <c r="I59" s="7">
        <v>7160.6</v>
      </c>
    </row>
    <row r="60" spans="1:9" x14ac:dyDescent="0.25">
      <c r="A60" s="69" t="s">
        <v>40</v>
      </c>
      <c r="B60" s="199"/>
      <c r="C60" s="51"/>
      <c r="D60" s="60"/>
      <c r="E60" s="200"/>
      <c r="F60" s="60"/>
      <c r="G60" s="37"/>
      <c r="H60" s="61"/>
      <c r="I60" s="7"/>
    </row>
    <row r="61" spans="1:9" x14ac:dyDescent="0.25">
      <c r="A61" s="69"/>
      <c r="B61" s="51"/>
      <c r="C61" s="15" t="s">
        <v>118</v>
      </c>
      <c r="D61" s="14"/>
      <c r="E61" s="85"/>
      <c r="F61" s="5"/>
      <c r="G61" s="20">
        <f>SUM(G57:G60)</f>
        <v>6.6771978021978011</v>
      </c>
      <c r="H61" s="71"/>
      <c r="I61" s="18">
        <f>SUM(I57:I60)</f>
        <v>22360.6</v>
      </c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49"/>
      <c r="F62" s="48" t="s">
        <v>121</v>
      </c>
      <c r="G62" s="86"/>
      <c r="H62" s="49"/>
      <c r="I62" s="6"/>
    </row>
    <row r="63" spans="1:9" x14ac:dyDescent="0.25">
      <c r="A63" s="69" t="s">
        <v>71</v>
      </c>
      <c r="B63" s="70"/>
      <c r="C63" s="51"/>
      <c r="D63" s="60"/>
      <c r="E63" s="61"/>
      <c r="F63" s="51"/>
      <c r="G63" s="37"/>
      <c r="H63" s="61"/>
      <c r="I63" s="7"/>
    </row>
    <row r="64" spans="1:9" x14ac:dyDescent="0.25">
      <c r="A64" s="73"/>
      <c r="B64" s="62" t="s">
        <v>119</v>
      </c>
      <c r="C64" s="15" t="s">
        <v>118</v>
      </c>
      <c r="D64" s="14"/>
      <c r="E64" s="85"/>
      <c r="F64" s="15" t="s">
        <v>71</v>
      </c>
      <c r="G64" s="78">
        <f>SUM(G62:G63)</f>
        <v>0</v>
      </c>
      <c r="H64" s="85"/>
      <c r="I64" s="12">
        <f>SUM(I62:I63)</f>
        <v>0</v>
      </c>
    </row>
    <row r="65" spans="1:9" x14ac:dyDescent="0.25">
      <c r="A65" s="103"/>
      <c r="B65" s="60"/>
      <c r="C65" s="60"/>
      <c r="D65" s="60"/>
      <c r="E65" s="60"/>
      <c r="F65" s="60"/>
      <c r="G65" s="37"/>
      <c r="H65" s="60"/>
      <c r="I65" s="60"/>
    </row>
    <row r="66" spans="1:9" x14ac:dyDescent="0.25">
      <c r="A66" s="2" t="s">
        <v>680</v>
      </c>
      <c r="B66" s="2"/>
      <c r="C66" s="2" t="s">
        <v>123</v>
      </c>
      <c r="E66" s="2" t="s">
        <v>124</v>
      </c>
      <c r="F66" s="2"/>
      <c r="G66" s="2"/>
      <c r="H66" s="2" t="s">
        <v>125</v>
      </c>
      <c r="I66" s="2" t="s">
        <v>126</v>
      </c>
    </row>
    <row r="67" spans="1:9" x14ac:dyDescent="0.25">
      <c r="A67" s="2"/>
      <c r="B67" s="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22" zoomScale="110" zoomScaleNormal="110" workbookViewId="0">
      <selection activeCell="B11" sqref="B11"/>
    </sheetView>
  </sheetViews>
  <sheetFormatPr defaultRowHeight="15" x14ac:dyDescent="0.25"/>
  <cols>
    <col min="1" max="1" width="5.5703125" style="3" customWidth="1"/>
    <col min="2" max="2" width="30.85546875" style="3" customWidth="1"/>
    <col min="3" max="3" width="14" style="3" customWidth="1"/>
    <col min="4" max="4" width="9.140625" style="3"/>
    <col min="5" max="5" width="11.28515625" style="3" customWidth="1"/>
    <col min="6" max="7" width="9.140625" style="3"/>
    <col min="8" max="8" width="12.140625" style="3" customWidth="1"/>
    <col min="9" max="9" width="18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 t="s">
        <v>721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722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723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5" t="s">
        <v>11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136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138</v>
      </c>
    </row>
    <row r="17" spans="1:9" x14ac:dyDescent="0.25">
      <c r="A17" s="62"/>
      <c r="B17" s="62"/>
      <c r="C17" s="62" t="s">
        <v>309</v>
      </c>
      <c r="D17" s="62" t="s">
        <v>33</v>
      </c>
      <c r="E17" s="62" t="s">
        <v>33</v>
      </c>
      <c r="F17" s="62" t="s">
        <v>33</v>
      </c>
      <c r="G17" s="62" t="s">
        <v>33</v>
      </c>
      <c r="H17" s="62" t="s">
        <v>33</v>
      </c>
      <c r="I17" s="62" t="s">
        <v>396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57">
        <v>1</v>
      </c>
      <c r="B19" s="25" t="s">
        <v>191</v>
      </c>
      <c r="C19" s="68"/>
      <c r="D19" s="25"/>
      <c r="E19" s="27" t="s">
        <v>71</v>
      </c>
      <c r="F19" s="25" t="s">
        <v>71</v>
      </c>
      <c r="G19" s="68"/>
      <c r="H19" s="25" t="s">
        <v>71</v>
      </c>
      <c r="I19" s="45" t="s">
        <v>71</v>
      </c>
    </row>
    <row r="20" spans="1:9" x14ac:dyDescent="0.25">
      <c r="A20" s="15"/>
      <c r="B20" s="12" t="s">
        <v>192</v>
      </c>
      <c r="C20" s="14">
        <v>7.56</v>
      </c>
      <c r="D20" s="17">
        <v>-124867.53</v>
      </c>
      <c r="E20" s="14">
        <v>303261.09000000003</v>
      </c>
      <c r="F20" s="12">
        <v>290085.81</v>
      </c>
      <c r="G20" s="14">
        <f>E20</f>
        <v>303261.09000000003</v>
      </c>
      <c r="H20" s="17">
        <f>D20+F20-G20</f>
        <v>-138042.81000000003</v>
      </c>
      <c r="I20" s="17">
        <f>H20</f>
        <v>-138042.81000000003</v>
      </c>
    </row>
    <row r="21" spans="1:9" x14ac:dyDescent="0.25">
      <c r="A21" s="73" t="s">
        <v>113</v>
      </c>
      <c r="B21" s="62" t="s">
        <v>37</v>
      </c>
      <c r="C21" s="74">
        <v>2.62</v>
      </c>
      <c r="D21" s="54"/>
      <c r="E21" s="79">
        <f>E20*34.5/100</f>
        <v>104625.07605</v>
      </c>
      <c r="F21" s="54">
        <f>F20*34.5/100</f>
        <v>100079.60445</v>
      </c>
      <c r="G21" s="55">
        <f t="shared" ref="G21:G27" si="0">E21</f>
        <v>104625.07605</v>
      </c>
      <c r="H21" s="54"/>
      <c r="I21" s="54"/>
    </row>
    <row r="22" spans="1:9" x14ac:dyDescent="0.25">
      <c r="A22" s="24" t="s">
        <v>38</v>
      </c>
      <c r="B22" s="6" t="s">
        <v>39</v>
      </c>
      <c r="C22" s="58">
        <v>1.33</v>
      </c>
      <c r="D22" s="22"/>
      <c r="E22" s="86">
        <f>E20*18/100</f>
        <v>54586.996200000001</v>
      </c>
      <c r="F22" s="75">
        <f>F20*18/100</f>
        <v>52215.445800000001</v>
      </c>
      <c r="G22" s="37">
        <f t="shared" si="0"/>
        <v>54586.996200000001</v>
      </c>
      <c r="H22" s="22"/>
      <c r="I22" s="22"/>
    </row>
    <row r="23" spans="1:9" x14ac:dyDescent="0.25">
      <c r="A23" s="24" t="s">
        <v>40</v>
      </c>
      <c r="B23" s="6" t="s">
        <v>41</v>
      </c>
      <c r="C23" s="58">
        <v>1.22</v>
      </c>
      <c r="D23" s="29"/>
      <c r="E23" s="39">
        <f>E20*16/100</f>
        <v>48521.774400000002</v>
      </c>
      <c r="F23" s="29">
        <f>F20*16/100</f>
        <v>46413.729599999999</v>
      </c>
      <c r="G23" s="40">
        <f t="shared" si="0"/>
        <v>48521.774400000002</v>
      </c>
      <c r="H23" s="29"/>
      <c r="I23" s="29"/>
    </row>
    <row r="24" spans="1:9" x14ac:dyDescent="0.25">
      <c r="A24" s="24" t="s">
        <v>42</v>
      </c>
      <c r="B24" s="6" t="s">
        <v>43</v>
      </c>
      <c r="C24" s="58">
        <v>2.39</v>
      </c>
      <c r="D24" s="22"/>
      <c r="E24" s="37">
        <f>E20*31.5/100</f>
        <v>95527.243350000004</v>
      </c>
      <c r="F24" s="22">
        <f>F20*31.5/100</f>
        <v>91377.030150000006</v>
      </c>
      <c r="G24" s="37">
        <f t="shared" si="0"/>
        <v>95527.243350000004</v>
      </c>
      <c r="H24" s="22"/>
      <c r="I24" s="22"/>
    </row>
    <row r="25" spans="1:9" x14ac:dyDescent="0.25">
      <c r="A25" s="24" t="s">
        <v>44</v>
      </c>
      <c r="B25" s="6" t="s">
        <v>45</v>
      </c>
      <c r="C25" s="58">
        <v>0.52510000000000001</v>
      </c>
      <c r="D25" s="29"/>
      <c r="E25" s="39">
        <v>12440.54</v>
      </c>
      <c r="F25" s="29">
        <v>13483.66</v>
      </c>
      <c r="G25" s="39">
        <f>E25</f>
        <v>12440.54</v>
      </c>
      <c r="H25" s="43">
        <f>F25-E25</f>
        <v>1043.119999999999</v>
      </c>
      <c r="I25" s="43"/>
    </row>
    <row r="26" spans="1:9" x14ac:dyDescent="0.25">
      <c r="A26" s="24" t="s">
        <v>46</v>
      </c>
      <c r="B26" s="6" t="s">
        <v>710</v>
      </c>
      <c r="C26" s="58">
        <v>0.73004000000000002</v>
      </c>
      <c r="D26" s="6">
        <v>-2130.96</v>
      </c>
      <c r="E26" s="58">
        <v>43281.4</v>
      </c>
      <c r="F26" s="6">
        <v>37485.61</v>
      </c>
      <c r="G26" s="58">
        <f>E26</f>
        <v>43281.4</v>
      </c>
      <c r="H26" s="25">
        <f>D26+F26-G26</f>
        <v>-7926.75</v>
      </c>
      <c r="I26" s="25">
        <f>H26</f>
        <v>-7926.75</v>
      </c>
    </row>
    <row r="27" spans="1:9" x14ac:dyDescent="0.25">
      <c r="A27" s="11" t="s">
        <v>48</v>
      </c>
      <c r="B27" s="11" t="s">
        <v>49</v>
      </c>
      <c r="C27" s="11" t="s">
        <v>50</v>
      </c>
      <c r="D27" s="11">
        <v>-43358.77</v>
      </c>
      <c r="E27" s="11">
        <v>135785.1</v>
      </c>
      <c r="F27" s="11">
        <v>126176.11</v>
      </c>
      <c r="G27" s="41">
        <f t="shared" si="0"/>
        <v>135785.1</v>
      </c>
      <c r="H27" s="11">
        <f>D27+F27-G27</f>
        <v>-52967.760000000009</v>
      </c>
      <c r="I27" s="11">
        <f>H27</f>
        <v>-52967.760000000009</v>
      </c>
    </row>
    <row r="28" spans="1:9" x14ac:dyDescent="0.25">
      <c r="A28" s="25" t="s">
        <v>51</v>
      </c>
      <c r="B28" s="25" t="s">
        <v>216</v>
      </c>
      <c r="C28" s="68"/>
      <c r="D28" s="25"/>
      <c r="E28" s="68"/>
      <c r="F28" s="25"/>
      <c r="G28" s="68"/>
      <c r="H28" s="25"/>
      <c r="I28" s="25"/>
    </row>
    <row r="29" spans="1:9" x14ac:dyDescent="0.25">
      <c r="A29" s="12"/>
      <c r="B29" s="12" t="s">
        <v>217</v>
      </c>
      <c r="C29" s="14">
        <v>1.65</v>
      </c>
      <c r="D29" s="12">
        <v>745.15</v>
      </c>
      <c r="E29" s="14">
        <v>66190.320000000007</v>
      </c>
      <c r="F29" s="12">
        <v>64926.79</v>
      </c>
      <c r="G29" s="14">
        <f>I57</f>
        <v>15200</v>
      </c>
      <c r="H29" s="17">
        <f>D29+F29-G29</f>
        <v>50471.94</v>
      </c>
      <c r="I29" s="12"/>
    </row>
    <row r="30" spans="1:9" x14ac:dyDescent="0.25">
      <c r="A30" s="12" t="s">
        <v>55</v>
      </c>
      <c r="B30" s="12" t="s">
        <v>146</v>
      </c>
      <c r="C30" s="85"/>
      <c r="D30" s="18" t="s">
        <v>71</v>
      </c>
      <c r="E30" s="5"/>
      <c r="F30" s="18"/>
      <c r="G30" s="5" t="s">
        <v>147</v>
      </c>
      <c r="H30" s="18" t="s">
        <v>71</v>
      </c>
      <c r="I30" s="18"/>
    </row>
    <row r="31" spans="1:9" x14ac:dyDescent="0.25">
      <c r="A31" s="12"/>
      <c r="B31" s="12" t="s">
        <v>303</v>
      </c>
      <c r="C31" s="14"/>
      <c r="D31" s="11">
        <v>0</v>
      </c>
      <c r="E31" s="41">
        <v>0</v>
      </c>
      <c r="F31" s="11">
        <f>F32</f>
        <v>20.61</v>
      </c>
      <c r="G31" s="41">
        <f>G32</f>
        <v>0</v>
      </c>
      <c r="H31" s="11">
        <f>D31+F31</f>
        <v>20.61</v>
      </c>
      <c r="I31" s="11"/>
    </row>
    <row r="32" spans="1:9" x14ac:dyDescent="0.25">
      <c r="A32" s="9"/>
      <c r="B32" s="9" t="s">
        <v>53</v>
      </c>
      <c r="C32" s="10"/>
      <c r="D32" s="9"/>
      <c r="E32" s="10">
        <v>0</v>
      </c>
      <c r="F32" s="9">
        <v>20.61</v>
      </c>
      <c r="G32" s="10">
        <v>0</v>
      </c>
      <c r="H32" s="9"/>
      <c r="I32" s="9"/>
    </row>
    <row r="33" spans="1:9" x14ac:dyDescent="0.25">
      <c r="A33" s="9"/>
      <c r="B33" s="41"/>
      <c r="C33" s="9"/>
      <c r="D33" s="10"/>
      <c r="E33" s="9"/>
      <c r="F33" s="41"/>
      <c r="G33" s="9"/>
      <c r="H33" s="10"/>
      <c r="I33" s="9"/>
    </row>
    <row r="34" spans="1:9" x14ac:dyDescent="0.25">
      <c r="A34" s="1" t="s">
        <v>58</v>
      </c>
      <c r="B34" s="1"/>
      <c r="C34" s="1"/>
      <c r="D34" s="47"/>
      <c r="E34" s="1"/>
      <c r="F34" s="1"/>
      <c r="G34" s="1"/>
      <c r="H34" s="2"/>
      <c r="I34" s="2"/>
    </row>
    <row r="35" spans="1:9" x14ac:dyDescent="0.25">
      <c r="A35" s="1"/>
      <c r="B35" s="1"/>
      <c r="C35" s="1"/>
      <c r="D35" s="47"/>
      <c r="E35" s="1"/>
      <c r="F35" s="1"/>
      <c r="G35" s="1"/>
      <c r="H35" s="2"/>
      <c r="I35" s="2"/>
    </row>
    <row r="36" spans="1:9" x14ac:dyDescent="0.25">
      <c r="A36" s="25" t="s">
        <v>196</v>
      </c>
      <c r="B36" s="48" t="s">
        <v>724</v>
      </c>
      <c r="C36" s="48" t="s">
        <v>725</v>
      </c>
      <c r="D36" s="6" t="s">
        <v>62</v>
      </c>
      <c r="E36" s="58" t="s">
        <v>726</v>
      </c>
      <c r="F36" s="6" t="s">
        <v>727</v>
      </c>
      <c r="G36" s="58"/>
      <c r="H36" s="48" t="s">
        <v>714</v>
      </c>
      <c r="I36" s="49"/>
    </row>
    <row r="37" spans="1:9" x14ac:dyDescent="0.25">
      <c r="A37" s="18"/>
      <c r="B37" s="51"/>
      <c r="C37" s="52" t="s">
        <v>672</v>
      </c>
      <c r="D37" s="62" t="s">
        <v>23</v>
      </c>
      <c r="E37" s="74" t="s">
        <v>312</v>
      </c>
      <c r="F37" s="62" t="s">
        <v>30</v>
      </c>
      <c r="G37" s="74"/>
      <c r="H37" s="52"/>
      <c r="I37" s="53"/>
    </row>
    <row r="38" spans="1:9" x14ac:dyDescent="0.25">
      <c r="A38" s="62"/>
      <c r="B38" s="62" t="s">
        <v>728</v>
      </c>
      <c r="C38" s="74">
        <v>10900.5</v>
      </c>
      <c r="D38" s="52">
        <v>5553</v>
      </c>
      <c r="E38" s="141">
        <f>D38*15%</f>
        <v>832.94999999999993</v>
      </c>
      <c r="F38" s="183">
        <f>C38+D38-E38</f>
        <v>15620.55</v>
      </c>
      <c r="G38" s="141" t="s">
        <v>71</v>
      </c>
      <c r="H38" s="79">
        <f>F38</f>
        <v>15620.55</v>
      </c>
      <c r="I38" s="53"/>
    </row>
    <row r="39" spans="1:9" x14ac:dyDescent="0.25">
      <c r="A39" s="60"/>
      <c r="B39" s="60"/>
      <c r="C39" s="60"/>
      <c r="D39" s="60"/>
      <c r="E39" s="60"/>
      <c r="F39" s="60"/>
      <c r="G39" s="60"/>
      <c r="H39" s="60"/>
      <c r="I39" s="60"/>
    </row>
    <row r="40" spans="1:9" x14ac:dyDescent="0.25">
      <c r="A40" s="1" t="s">
        <v>162</v>
      </c>
      <c r="B40" s="1"/>
      <c r="C40" s="1"/>
      <c r="D40" s="47"/>
      <c r="E40" s="1"/>
      <c r="F40" s="1"/>
      <c r="G40" s="1"/>
      <c r="H40" s="1"/>
      <c r="I40" s="1"/>
    </row>
    <row r="41" spans="1:9" x14ac:dyDescent="0.25">
      <c r="A41" s="6" t="s">
        <v>71</v>
      </c>
      <c r="B41" s="57" t="s">
        <v>72</v>
      </c>
      <c r="C41" s="6" t="s">
        <v>73</v>
      </c>
      <c r="D41" s="58" t="s">
        <v>74</v>
      </c>
      <c r="E41" s="6" t="s">
        <v>75</v>
      </c>
      <c r="F41" s="58" t="s">
        <v>76</v>
      </c>
      <c r="G41" s="6" t="s">
        <v>410</v>
      </c>
      <c r="H41" s="58" t="s">
        <v>78</v>
      </c>
      <c r="I41" s="6" t="s">
        <v>19</v>
      </c>
    </row>
    <row r="42" spans="1:9" x14ac:dyDescent="0.25">
      <c r="A42" s="7"/>
      <c r="B42" s="59" t="s">
        <v>79</v>
      </c>
      <c r="C42" s="7" t="s">
        <v>80</v>
      </c>
      <c r="D42" s="60" t="s">
        <v>81</v>
      </c>
      <c r="E42" s="7" t="s">
        <v>82</v>
      </c>
      <c r="F42" s="60" t="s">
        <v>83</v>
      </c>
      <c r="G42" s="7" t="s">
        <v>84</v>
      </c>
      <c r="H42" s="60" t="s">
        <v>85</v>
      </c>
      <c r="I42" s="7" t="s">
        <v>86</v>
      </c>
    </row>
    <row r="43" spans="1:9" x14ac:dyDescent="0.25">
      <c r="A43" s="7"/>
      <c r="B43" s="51"/>
      <c r="C43" s="7"/>
      <c r="D43" s="60"/>
      <c r="E43" s="7"/>
      <c r="F43" s="60" t="s">
        <v>87</v>
      </c>
      <c r="G43" s="62" t="s">
        <v>88</v>
      </c>
      <c r="H43" s="60"/>
      <c r="I43" s="7" t="s">
        <v>325</v>
      </c>
    </row>
    <row r="44" spans="1:9" x14ac:dyDescent="0.25">
      <c r="A44" s="9">
        <v>1</v>
      </c>
      <c r="B44" s="9" t="s">
        <v>90</v>
      </c>
      <c r="C44" s="41">
        <v>25.1</v>
      </c>
      <c r="D44" s="9">
        <v>-187960.37</v>
      </c>
      <c r="E44" s="65">
        <v>479889.29</v>
      </c>
      <c r="F44" s="9">
        <v>449203.51</v>
      </c>
      <c r="G44" s="65">
        <f>E44</f>
        <v>479889.29</v>
      </c>
      <c r="H44" s="9">
        <f>D44+F44-G44</f>
        <v>-218646.14999999997</v>
      </c>
      <c r="I44" s="9">
        <f>H44</f>
        <v>-218646.14999999997</v>
      </c>
    </row>
    <row r="45" spans="1:9" x14ac:dyDescent="0.25">
      <c r="A45" s="9"/>
      <c r="B45" s="9" t="s">
        <v>92</v>
      </c>
      <c r="C45" s="41" t="s">
        <v>93</v>
      </c>
      <c r="D45" s="9"/>
      <c r="E45" s="65"/>
      <c r="F45" s="9"/>
      <c r="G45" s="65"/>
      <c r="H45" s="9"/>
      <c r="I45" s="9"/>
    </row>
    <row r="46" spans="1:9" x14ac:dyDescent="0.25">
      <c r="A46" s="9">
        <v>2</v>
      </c>
      <c r="B46" s="9" t="s">
        <v>98</v>
      </c>
      <c r="C46" s="41" t="s">
        <v>99</v>
      </c>
      <c r="D46" s="9">
        <v>-563525.54</v>
      </c>
      <c r="E46" s="10">
        <v>793224.94</v>
      </c>
      <c r="F46" s="9">
        <v>796094.43</v>
      </c>
      <c r="G46" s="10">
        <f>E46</f>
        <v>793224.94</v>
      </c>
      <c r="H46" s="9">
        <f>D46+F46-G46</f>
        <v>-560656.04999999993</v>
      </c>
      <c r="I46" s="9">
        <f>H46</f>
        <v>-560656.04999999993</v>
      </c>
    </row>
    <row r="47" spans="1:9" x14ac:dyDescent="0.25">
      <c r="A47" s="1" t="s">
        <v>426</v>
      </c>
      <c r="B47" s="1"/>
      <c r="C47" s="1"/>
      <c r="D47" s="1"/>
      <c r="E47" s="1"/>
      <c r="F47" s="1"/>
      <c r="G47" s="1"/>
      <c r="H47" s="1"/>
      <c r="I47" s="2"/>
    </row>
    <row r="48" spans="1:9" x14ac:dyDescent="0.25">
      <c r="A48" s="5" t="s">
        <v>729</v>
      </c>
      <c r="B48" s="1"/>
      <c r="C48" s="1"/>
      <c r="D48" s="1"/>
      <c r="E48" s="1"/>
      <c r="F48" s="1"/>
      <c r="G48" s="1"/>
      <c r="H48" s="1"/>
      <c r="I48" s="2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556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730</v>
      </c>
      <c r="G50" s="60"/>
      <c r="H50" s="61"/>
      <c r="I50" s="7" t="s">
        <v>108</v>
      </c>
    </row>
    <row r="51" spans="1:9" x14ac:dyDescent="0.25">
      <c r="A51" s="51"/>
      <c r="B51" s="7"/>
      <c r="C51" s="60"/>
      <c r="D51" s="60"/>
      <c r="E51" s="60"/>
      <c r="F51" s="51" t="s">
        <v>731</v>
      </c>
      <c r="G51" s="60"/>
      <c r="H51" s="61"/>
      <c r="I51" s="7"/>
    </row>
    <row r="52" spans="1:9" x14ac:dyDescent="0.25">
      <c r="A52" s="51"/>
      <c r="B52" s="62"/>
      <c r="C52" s="60"/>
      <c r="D52" s="60"/>
      <c r="E52" s="60"/>
      <c r="F52" s="51"/>
      <c r="G52" s="60"/>
      <c r="H52" s="61"/>
      <c r="I52" s="7"/>
    </row>
    <row r="53" spans="1:9" x14ac:dyDescent="0.25">
      <c r="A53" s="67" t="s">
        <v>110</v>
      </c>
      <c r="B53" s="18"/>
      <c r="C53" s="68" t="s">
        <v>111</v>
      </c>
      <c r="D53" s="68"/>
      <c r="E53" s="68"/>
      <c r="F53" s="48"/>
      <c r="G53" s="58"/>
      <c r="H53" s="49"/>
      <c r="I53" s="6"/>
    </row>
    <row r="54" spans="1:9" x14ac:dyDescent="0.25">
      <c r="A54" s="69"/>
      <c r="B54" s="7"/>
      <c r="C54" s="60" t="s">
        <v>112</v>
      </c>
      <c r="D54" s="60"/>
      <c r="E54" s="60"/>
      <c r="F54" s="51" t="s">
        <v>71</v>
      </c>
      <c r="G54" s="37"/>
      <c r="H54" s="61" t="s">
        <v>71</v>
      </c>
      <c r="I54" s="7" t="s">
        <v>71</v>
      </c>
    </row>
    <row r="55" spans="1:9" x14ac:dyDescent="0.25">
      <c r="A55" s="69" t="s">
        <v>113</v>
      </c>
      <c r="B55" s="3" t="s">
        <v>732</v>
      </c>
      <c r="C55" s="60" t="s">
        <v>114</v>
      </c>
      <c r="D55" s="60"/>
      <c r="E55" s="60"/>
      <c r="F55" s="51"/>
      <c r="G55" s="37">
        <f>I55/3342.7</f>
        <v>4.5472223053220455</v>
      </c>
      <c r="H55" s="61"/>
      <c r="I55" s="7">
        <v>15200</v>
      </c>
    </row>
    <row r="56" spans="1:9" x14ac:dyDescent="0.25">
      <c r="A56" s="69" t="s">
        <v>71</v>
      </c>
      <c r="B56" s="70"/>
      <c r="C56" s="60"/>
      <c r="D56" s="60"/>
      <c r="E56" s="60"/>
      <c r="F56" s="51"/>
      <c r="G56" s="37" t="s">
        <v>71</v>
      </c>
      <c r="H56" s="61"/>
      <c r="I56" s="7"/>
    </row>
    <row r="57" spans="1:9" x14ac:dyDescent="0.25">
      <c r="A57" s="69"/>
      <c r="B57" s="7"/>
      <c r="C57" s="5" t="s">
        <v>118</v>
      </c>
      <c r="D57" s="5"/>
      <c r="E57" s="5"/>
      <c r="F57" s="59"/>
      <c r="G57" s="20">
        <f>SUM(G55:G56)</f>
        <v>4.5472223053220455</v>
      </c>
      <c r="H57" s="71"/>
      <c r="I57" s="18">
        <f>SUM(I55:I56)</f>
        <v>15200</v>
      </c>
    </row>
    <row r="58" spans="1:9" x14ac:dyDescent="0.25">
      <c r="A58" s="6"/>
      <c r="B58" s="6"/>
      <c r="C58" s="48"/>
      <c r="D58" s="58"/>
      <c r="E58" s="49"/>
      <c r="F58" s="48"/>
      <c r="G58" s="58"/>
      <c r="H58" s="49"/>
      <c r="I58" s="6"/>
    </row>
    <row r="59" spans="1:9" x14ac:dyDescent="0.25">
      <c r="A59" s="6" t="s">
        <v>48</v>
      </c>
      <c r="B59" s="25" t="s">
        <v>119</v>
      </c>
      <c r="C59" s="57" t="s">
        <v>120</v>
      </c>
      <c r="D59" s="58"/>
      <c r="E59" s="49"/>
      <c r="F59" s="48" t="s">
        <v>121</v>
      </c>
      <c r="G59" s="58"/>
      <c r="H59" s="49"/>
      <c r="I59" s="6"/>
    </row>
    <row r="60" spans="1:9" x14ac:dyDescent="0.25">
      <c r="A60" s="69" t="s">
        <v>71</v>
      </c>
      <c r="B60" s="70"/>
      <c r="C60" s="51"/>
      <c r="D60" s="60"/>
      <c r="E60" s="61"/>
      <c r="F60" s="51"/>
      <c r="G60" s="37">
        <f>I60/3342.7</f>
        <v>0</v>
      </c>
      <c r="H60" s="61"/>
      <c r="I60" s="7"/>
    </row>
    <row r="61" spans="1:9" x14ac:dyDescent="0.25">
      <c r="A61" s="73"/>
      <c r="B61" s="62" t="s">
        <v>119</v>
      </c>
      <c r="C61" s="15" t="s">
        <v>118</v>
      </c>
      <c r="D61" s="14"/>
      <c r="E61" s="85"/>
      <c r="F61" s="15" t="s">
        <v>71</v>
      </c>
      <c r="G61" s="78">
        <f>SUM(G60:G60)</f>
        <v>0</v>
      </c>
      <c r="H61" s="85"/>
      <c r="I61" s="12">
        <f>SUM(I60:I60)</f>
        <v>0</v>
      </c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 t="s">
        <v>317</v>
      </c>
      <c r="B63" s="2"/>
      <c r="C63" s="2" t="s">
        <v>733</v>
      </c>
      <c r="D63" s="2"/>
      <c r="E63" s="2"/>
      <c r="F63" s="2"/>
      <c r="G63" s="2" t="s">
        <v>734</v>
      </c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1" zoomScale="120" zoomScaleNormal="120" workbookViewId="0">
      <selection activeCell="B17" sqref="B17"/>
    </sheetView>
  </sheetViews>
  <sheetFormatPr defaultRowHeight="15" x14ac:dyDescent="0.25"/>
  <cols>
    <col min="1" max="1" width="9.140625" style="3"/>
    <col min="2" max="2" width="35.42578125" style="3" customWidth="1"/>
    <col min="3" max="3" width="13.5703125" style="3" customWidth="1"/>
    <col min="4" max="4" width="11" style="3" customWidth="1"/>
    <col min="5" max="5" width="14.140625" style="3" customWidth="1"/>
    <col min="6" max="7" width="9.140625" style="3"/>
    <col min="8" max="8" width="11" style="3" customWidth="1"/>
    <col min="9" max="9" width="16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2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1" t="s">
        <v>452</v>
      </c>
      <c r="B4" s="1"/>
      <c r="C4" s="1"/>
      <c r="D4" s="1"/>
      <c r="E4" s="1"/>
      <c r="F4" s="1"/>
      <c r="G4" s="1"/>
      <c r="H4" s="2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735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736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737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738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739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740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11">
        <v>1</v>
      </c>
      <c r="B19" s="12" t="s">
        <v>35</v>
      </c>
      <c r="C19" s="14">
        <v>7.56</v>
      </c>
      <c r="D19" s="17">
        <v>-9728.74</v>
      </c>
      <c r="E19" s="14">
        <v>412766.64</v>
      </c>
      <c r="F19" s="12">
        <v>424348.46</v>
      </c>
      <c r="G19" s="14">
        <f>E19</f>
        <v>412766.64</v>
      </c>
      <c r="H19" s="12">
        <f>D19+F19-G19</f>
        <v>1853.0800000000163</v>
      </c>
      <c r="I19" s="17"/>
    </row>
    <row r="20" spans="1:9" x14ac:dyDescent="0.25">
      <c r="A20" s="7" t="s">
        <v>36</v>
      </c>
      <c r="B20" s="62" t="s">
        <v>37</v>
      </c>
      <c r="C20" s="79">
        <v>2.62</v>
      </c>
      <c r="D20" s="54"/>
      <c r="E20" s="79">
        <f>E19*34.5%</f>
        <v>142404.4908</v>
      </c>
      <c r="F20" s="54">
        <f>F19*34.5%</f>
        <v>146400.2187</v>
      </c>
      <c r="G20" s="55">
        <f t="shared" ref="G20:G26" si="0">E20</f>
        <v>142404.4908</v>
      </c>
      <c r="H20" s="54"/>
      <c r="I20" s="54"/>
    </row>
    <row r="21" spans="1:9" x14ac:dyDescent="0.25">
      <c r="A21" s="24" t="s">
        <v>38</v>
      </c>
      <c r="B21" s="6" t="s">
        <v>39</v>
      </c>
      <c r="C21" s="86">
        <v>1.33</v>
      </c>
      <c r="D21" s="75"/>
      <c r="E21" s="86">
        <f>E19*18%</f>
        <v>74297.995200000005</v>
      </c>
      <c r="F21" s="75">
        <f>F19*18%</f>
        <v>76382.722800000003</v>
      </c>
      <c r="G21" s="105">
        <f t="shared" si="0"/>
        <v>74297.995200000005</v>
      </c>
      <c r="H21" s="54"/>
      <c r="I21" s="75"/>
    </row>
    <row r="22" spans="1:9" x14ac:dyDescent="0.25">
      <c r="A22" s="24" t="s">
        <v>40</v>
      </c>
      <c r="B22" s="6" t="s">
        <v>41</v>
      </c>
      <c r="C22" s="40">
        <v>1.22</v>
      </c>
      <c r="D22" s="29"/>
      <c r="E22" s="39">
        <f>E19*16%</f>
        <v>66042.662400000001</v>
      </c>
      <c r="F22" s="29">
        <f>F19*16%</f>
        <v>67895.753600000011</v>
      </c>
      <c r="G22" s="39">
        <f t="shared" si="0"/>
        <v>66042.662400000001</v>
      </c>
      <c r="H22" s="54"/>
      <c r="I22" s="29"/>
    </row>
    <row r="23" spans="1:9" x14ac:dyDescent="0.25">
      <c r="A23" s="24" t="s">
        <v>42</v>
      </c>
      <c r="B23" s="6" t="s">
        <v>43</v>
      </c>
      <c r="C23" s="86">
        <v>2.39</v>
      </c>
      <c r="D23" s="75"/>
      <c r="E23" s="86">
        <f>E19*31.5%</f>
        <v>130021.49160000001</v>
      </c>
      <c r="F23" s="75">
        <f>F19*31.5%</f>
        <v>133669.76490000001</v>
      </c>
      <c r="G23" s="105">
        <f t="shared" si="0"/>
        <v>130021.49160000001</v>
      </c>
      <c r="H23" s="54"/>
      <c r="I23" s="75"/>
    </row>
    <row r="24" spans="1:9" x14ac:dyDescent="0.25">
      <c r="A24" s="24" t="s">
        <v>44</v>
      </c>
      <c r="B24" s="6" t="s">
        <v>45</v>
      </c>
      <c r="C24" s="106">
        <v>0.38578000000000001</v>
      </c>
      <c r="D24" s="75"/>
      <c r="E24" s="86">
        <v>12403.39</v>
      </c>
      <c r="F24" s="75">
        <v>13496.02</v>
      </c>
      <c r="G24" s="86">
        <f t="shared" si="0"/>
        <v>12403.39</v>
      </c>
      <c r="H24" s="17">
        <f>F24-E24</f>
        <v>1092.630000000001</v>
      </c>
      <c r="I24" s="45"/>
    </row>
    <row r="25" spans="1:9" x14ac:dyDescent="0.25">
      <c r="A25" s="24" t="s">
        <v>46</v>
      </c>
      <c r="B25" s="6" t="s">
        <v>710</v>
      </c>
      <c r="C25" s="106">
        <v>0.66339000000000004</v>
      </c>
      <c r="D25" s="6">
        <v>-425.19</v>
      </c>
      <c r="E25" s="6">
        <v>38854.33</v>
      </c>
      <c r="F25" s="6">
        <v>34663.370000000003</v>
      </c>
      <c r="G25" s="58">
        <f>E25</f>
        <v>38854.33</v>
      </c>
      <c r="H25" s="11">
        <f>D25+F25-G25</f>
        <v>-4616.1500000000015</v>
      </c>
      <c r="I25" s="25">
        <f>H25</f>
        <v>-4616.1500000000015</v>
      </c>
    </row>
    <row r="26" spans="1:9" x14ac:dyDescent="0.25">
      <c r="A26" s="11" t="s">
        <v>48</v>
      </c>
      <c r="B26" s="11" t="s">
        <v>49</v>
      </c>
      <c r="C26" s="41" t="s">
        <v>50</v>
      </c>
      <c r="D26" s="11">
        <v>-19028.36</v>
      </c>
      <c r="E26" s="41">
        <v>184816.83</v>
      </c>
      <c r="F26" s="11">
        <v>181507.03</v>
      </c>
      <c r="G26" s="41">
        <f t="shared" si="0"/>
        <v>184816.83</v>
      </c>
      <c r="H26" s="11">
        <f>D26+F26-G26</f>
        <v>-22338.160000000003</v>
      </c>
      <c r="I26" s="11">
        <f>H26</f>
        <v>-22338.160000000003</v>
      </c>
    </row>
    <row r="27" spans="1:9" x14ac:dyDescent="0.25">
      <c r="A27" s="18" t="s">
        <v>51</v>
      </c>
      <c r="B27" s="12" t="s">
        <v>459</v>
      </c>
      <c r="C27" s="11">
        <v>1.65</v>
      </c>
      <c r="D27" s="12">
        <v>-154188</v>
      </c>
      <c r="E27" s="42">
        <v>90092.04</v>
      </c>
      <c r="F27" s="43">
        <v>93105.68</v>
      </c>
      <c r="G27" s="41">
        <f>I53</f>
        <v>46800</v>
      </c>
      <c r="H27" s="11">
        <f>D27+F27-G27</f>
        <v>-107882.32</v>
      </c>
      <c r="I27" s="11">
        <f>H27</f>
        <v>-107882.32</v>
      </c>
    </row>
    <row r="28" spans="1:9" x14ac:dyDescent="0.25">
      <c r="A28" s="11" t="s">
        <v>55</v>
      </c>
      <c r="B28" s="12" t="s">
        <v>741</v>
      </c>
      <c r="C28" s="12">
        <v>0</v>
      </c>
      <c r="D28" s="11">
        <v>144.79</v>
      </c>
      <c r="E28" s="41">
        <v>0</v>
      </c>
      <c r="F28" s="42">
        <f>F29-F30</f>
        <v>1159.4000000000001</v>
      </c>
      <c r="G28" s="11">
        <f>G29+G31</f>
        <v>0</v>
      </c>
      <c r="H28" s="46">
        <f>D28+ F28</f>
        <v>1304.19</v>
      </c>
      <c r="I28" s="11"/>
    </row>
    <row r="29" spans="1:9" x14ac:dyDescent="0.25">
      <c r="A29" s="9"/>
      <c r="B29" s="9" t="s">
        <v>374</v>
      </c>
      <c r="C29" s="10"/>
      <c r="D29" s="11"/>
      <c r="E29" s="58">
        <v>0</v>
      </c>
      <c r="F29" s="48">
        <v>1159.4000000000001</v>
      </c>
      <c r="G29" s="11">
        <f>H56</f>
        <v>0</v>
      </c>
      <c r="H29" s="46"/>
      <c r="I29" s="6"/>
    </row>
    <row r="30" spans="1:9" x14ac:dyDescent="0.25">
      <c r="A30" s="9"/>
      <c r="B30" s="11"/>
      <c r="C30" s="10"/>
      <c r="D30" s="11"/>
      <c r="E30" s="58"/>
      <c r="F30" s="57">
        <v>0</v>
      </c>
      <c r="G30" s="11"/>
      <c r="H30" s="46"/>
      <c r="I30" s="6"/>
    </row>
    <row r="31" spans="1:9" x14ac:dyDescent="0.25">
      <c r="A31" s="9"/>
      <c r="B31" s="11"/>
      <c r="C31" s="8"/>
      <c r="D31" s="9"/>
      <c r="E31" s="10">
        <v>0</v>
      </c>
      <c r="F31" s="8">
        <v>0</v>
      </c>
      <c r="G31" s="9"/>
      <c r="H31" s="50"/>
      <c r="I31" s="9"/>
    </row>
    <row r="32" spans="1:9" x14ac:dyDescent="0.25">
      <c r="A32" s="1" t="s">
        <v>58</v>
      </c>
      <c r="B32" s="1"/>
      <c r="C32" s="1"/>
      <c r="D32" s="47"/>
      <c r="E32" s="1"/>
      <c r="F32" s="1"/>
      <c r="G32" s="2"/>
      <c r="H32" s="2"/>
      <c r="I32" s="2"/>
    </row>
    <row r="33" spans="1:9" x14ac:dyDescent="0.25">
      <c r="A33" s="25" t="s">
        <v>59</v>
      </c>
      <c r="B33" s="48" t="s">
        <v>724</v>
      </c>
      <c r="C33" s="48" t="s">
        <v>742</v>
      </c>
      <c r="D33" s="6" t="s">
        <v>743</v>
      </c>
      <c r="E33" s="6" t="s">
        <v>507</v>
      </c>
      <c r="F33" s="6" t="s">
        <v>713</v>
      </c>
      <c r="G33" s="58"/>
      <c r="H33" s="48" t="s">
        <v>714</v>
      </c>
      <c r="I33" s="49"/>
    </row>
    <row r="34" spans="1:9" x14ac:dyDescent="0.25">
      <c r="A34" s="7"/>
      <c r="B34" s="52" t="s">
        <v>728</v>
      </c>
      <c r="C34" s="52" t="s">
        <v>66</v>
      </c>
      <c r="D34" s="62" t="s">
        <v>744</v>
      </c>
      <c r="E34" s="62" t="s">
        <v>312</v>
      </c>
      <c r="F34" s="62" t="s">
        <v>745</v>
      </c>
      <c r="G34" s="74"/>
      <c r="H34" s="52"/>
      <c r="I34" s="53"/>
    </row>
    <row r="35" spans="1:9" x14ac:dyDescent="0.25">
      <c r="A35" s="62"/>
      <c r="B35" s="62"/>
      <c r="C35" s="54">
        <v>16498.5</v>
      </c>
      <c r="D35" s="53">
        <v>9153</v>
      </c>
      <c r="E35" s="190">
        <f>D35*15%</f>
        <v>1372.95</v>
      </c>
      <c r="F35" s="54">
        <f>C35+D35-E35</f>
        <v>24278.55</v>
      </c>
      <c r="G35" s="80"/>
      <c r="H35" s="79">
        <f>F35-G35</f>
        <v>24278.55</v>
      </c>
      <c r="I35" s="53"/>
    </row>
    <row r="36" spans="1:9" x14ac:dyDescent="0.25">
      <c r="A36" s="1" t="s">
        <v>162</v>
      </c>
      <c r="B36" s="1"/>
      <c r="C36" s="1"/>
      <c r="D36" s="47"/>
      <c r="E36" s="1"/>
      <c r="F36" s="1"/>
      <c r="G36" s="1"/>
      <c r="H36" s="1"/>
      <c r="I36" s="1"/>
    </row>
    <row r="37" spans="1:9" x14ac:dyDescent="0.25">
      <c r="A37" s="6" t="s">
        <v>71</v>
      </c>
      <c r="B37" s="57" t="s">
        <v>72</v>
      </c>
      <c r="C37" s="6" t="s">
        <v>73</v>
      </c>
      <c r="D37" s="58" t="s">
        <v>74</v>
      </c>
      <c r="E37" s="6" t="s">
        <v>75</v>
      </c>
      <c r="F37" s="58" t="s">
        <v>76</v>
      </c>
      <c r="G37" s="6" t="s">
        <v>77</v>
      </c>
      <c r="H37" s="6" t="s">
        <v>78</v>
      </c>
      <c r="I37" s="6" t="s">
        <v>19</v>
      </c>
    </row>
    <row r="38" spans="1:9" x14ac:dyDescent="0.25">
      <c r="A38" s="7"/>
      <c r="B38" s="59" t="s">
        <v>79</v>
      </c>
      <c r="C38" s="7" t="s">
        <v>80</v>
      </c>
      <c r="D38" s="60" t="s">
        <v>81</v>
      </c>
      <c r="E38" s="7" t="s">
        <v>82</v>
      </c>
      <c r="F38" s="60" t="s">
        <v>83</v>
      </c>
      <c r="G38" s="7" t="s">
        <v>84</v>
      </c>
      <c r="H38" s="7" t="s">
        <v>85</v>
      </c>
      <c r="I38" s="7" t="s">
        <v>86</v>
      </c>
    </row>
    <row r="39" spans="1:9" x14ac:dyDescent="0.25">
      <c r="A39" s="7"/>
      <c r="B39" s="51"/>
      <c r="C39" s="7"/>
      <c r="D39" s="60"/>
      <c r="E39" s="7"/>
      <c r="F39" s="60" t="s">
        <v>87</v>
      </c>
      <c r="G39" s="62" t="s">
        <v>88</v>
      </c>
      <c r="H39" s="62"/>
      <c r="I39" s="7" t="s">
        <v>30</v>
      </c>
    </row>
    <row r="40" spans="1:9" x14ac:dyDescent="0.25">
      <c r="A40" s="9">
        <v>1</v>
      </c>
      <c r="B40" s="9" t="s">
        <v>90</v>
      </c>
      <c r="C40" s="41" t="s">
        <v>91</v>
      </c>
      <c r="D40" s="9">
        <v>-71680.03</v>
      </c>
      <c r="E40" s="65">
        <v>560301.25</v>
      </c>
      <c r="F40" s="9">
        <v>551512.06000000006</v>
      </c>
      <c r="G40" s="65">
        <f>E40</f>
        <v>560301.25</v>
      </c>
      <c r="H40" s="7">
        <f>D40+F40-G40</f>
        <v>-80469.219999999972</v>
      </c>
      <c r="I40" s="9">
        <f>H40</f>
        <v>-80469.219999999972</v>
      </c>
    </row>
    <row r="41" spans="1:9" x14ac:dyDescent="0.25">
      <c r="A41" s="7" t="s">
        <v>71</v>
      </c>
      <c r="B41" s="9" t="s">
        <v>218</v>
      </c>
      <c r="C41" s="41" t="s">
        <v>93</v>
      </c>
      <c r="D41" s="7"/>
      <c r="E41" s="2"/>
      <c r="F41" s="7"/>
      <c r="G41" s="2"/>
      <c r="H41" s="6"/>
      <c r="I41" s="7"/>
    </row>
    <row r="42" spans="1:9" x14ac:dyDescent="0.25">
      <c r="A42" s="9">
        <v>2</v>
      </c>
      <c r="B42" s="9" t="s">
        <v>98</v>
      </c>
      <c r="C42" s="41" t="s">
        <v>99</v>
      </c>
      <c r="D42" s="9">
        <v>-320939.53000000003</v>
      </c>
      <c r="E42" s="10">
        <v>1213743.1200000001</v>
      </c>
      <c r="F42" s="9">
        <v>1269820.54</v>
      </c>
      <c r="G42" s="10">
        <f>E42</f>
        <v>1213743.1200000001</v>
      </c>
      <c r="H42" s="9">
        <f>D42+F42-G42</f>
        <v>-264862.1100000001</v>
      </c>
      <c r="I42" s="9">
        <f>H42</f>
        <v>-264862.1100000001</v>
      </c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1" t="s">
        <v>746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5" t="s">
        <v>747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6" t="s">
        <v>748</v>
      </c>
      <c r="B46" s="6" t="s">
        <v>749</v>
      </c>
      <c r="C46" s="58" t="s">
        <v>103</v>
      </c>
      <c r="D46" s="58"/>
      <c r="E46" s="58"/>
      <c r="F46" s="48" t="s">
        <v>222</v>
      </c>
      <c r="G46" s="58"/>
      <c r="H46" s="49"/>
      <c r="I46" s="6" t="s">
        <v>105</v>
      </c>
    </row>
    <row r="47" spans="1:9" x14ac:dyDescent="0.25">
      <c r="A47" s="7" t="s">
        <v>20</v>
      </c>
      <c r="B47" s="7"/>
      <c r="C47" s="60"/>
      <c r="D47" s="60"/>
      <c r="E47" s="60"/>
      <c r="F47" s="51" t="s">
        <v>224</v>
      </c>
      <c r="G47" s="60"/>
      <c r="H47" s="61"/>
      <c r="I47" s="7" t="s">
        <v>108</v>
      </c>
    </row>
    <row r="48" spans="1:9" x14ac:dyDescent="0.25">
      <c r="A48" s="7"/>
      <c r="B48" s="7"/>
      <c r="C48" s="60"/>
      <c r="D48" s="60"/>
      <c r="E48" s="60"/>
      <c r="F48" s="51" t="s">
        <v>750</v>
      </c>
      <c r="G48" s="60"/>
      <c r="H48" s="61"/>
      <c r="I48" s="7"/>
    </row>
    <row r="49" spans="1:9" x14ac:dyDescent="0.25">
      <c r="A49" s="7"/>
      <c r="B49" s="7"/>
      <c r="C49" s="60"/>
      <c r="D49" s="60"/>
      <c r="E49" s="60"/>
      <c r="F49" s="51" t="s">
        <v>258</v>
      </c>
      <c r="G49" s="60"/>
      <c r="H49" s="61"/>
      <c r="I49" s="7"/>
    </row>
    <row r="50" spans="1:9" x14ac:dyDescent="0.25">
      <c r="A50" s="25"/>
      <c r="B50" s="25"/>
      <c r="C50" s="68" t="s">
        <v>751</v>
      </c>
      <c r="D50" s="68"/>
      <c r="E50" s="68"/>
      <c r="F50" s="105"/>
      <c r="G50" s="86"/>
      <c r="H50" s="30"/>
      <c r="I50" s="6"/>
    </row>
    <row r="51" spans="1:9" x14ac:dyDescent="0.25">
      <c r="A51" s="69" t="s">
        <v>113</v>
      </c>
      <c r="B51" s="70">
        <v>42851</v>
      </c>
      <c r="C51" s="60" t="s">
        <v>114</v>
      </c>
      <c r="D51" s="60"/>
      <c r="E51" s="60"/>
      <c r="F51" s="38"/>
      <c r="G51" s="37">
        <f>I51/4549.2</f>
        <v>10.287523080981272</v>
      </c>
      <c r="H51" s="23"/>
      <c r="I51" s="7">
        <v>46800</v>
      </c>
    </row>
    <row r="52" spans="1:9" x14ac:dyDescent="0.25">
      <c r="A52" s="69"/>
      <c r="B52" s="70"/>
      <c r="C52" s="60"/>
      <c r="D52" s="60"/>
      <c r="E52" s="60"/>
      <c r="F52" s="38"/>
      <c r="G52" s="37"/>
      <c r="H52" s="23"/>
      <c r="I52" s="7"/>
    </row>
    <row r="53" spans="1:9" x14ac:dyDescent="0.25">
      <c r="A53" s="73"/>
      <c r="B53" s="62"/>
      <c r="C53" s="5" t="s">
        <v>118</v>
      </c>
      <c r="D53" s="5"/>
      <c r="E53" s="5"/>
      <c r="F53" s="55"/>
      <c r="G53" s="79">
        <f>SUM(G51:G52)</f>
        <v>10.287523080981272</v>
      </c>
      <c r="H53" s="80"/>
      <c r="I53" s="18">
        <f>SUM(I51:I52)</f>
        <v>46800</v>
      </c>
    </row>
    <row r="54" spans="1:9" x14ac:dyDescent="0.25">
      <c r="A54" s="24"/>
      <c r="B54" s="6"/>
      <c r="C54" s="57"/>
      <c r="D54" s="68"/>
      <c r="E54" s="72"/>
      <c r="F54" s="59"/>
      <c r="G54" s="5"/>
      <c r="H54" s="61"/>
      <c r="I54" s="6"/>
    </row>
    <row r="55" spans="1:9" x14ac:dyDescent="0.25">
      <c r="A55" s="31"/>
      <c r="B55" s="201"/>
      <c r="C55" s="57" t="s">
        <v>120</v>
      </c>
      <c r="D55" s="58"/>
      <c r="E55" s="58"/>
      <c r="F55" s="48" t="s">
        <v>121</v>
      </c>
      <c r="G55" s="86" t="s">
        <v>71</v>
      </c>
      <c r="H55" s="49"/>
      <c r="I55" s="6"/>
    </row>
    <row r="56" spans="1:9" x14ac:dyDescent="0.25">
      <c r="A56" s="62" t="s">
        <v>119</v>
      </c>
      <c r="B56" s="62" t="s">
        <v>119</v>
      </c>
      <c r="C56" s="15" t="s">
        <v>118</v>
      </c>
      <c r="D56" s="14"/>
      <c r="E56" s="14"/>
      <c r="F56" s="15" t="s">
        <v>71</v>
      </c>
      <c r="G56" s="78">
        <v>0</v>
      </c>
      <c r="H56" s="85"/>
      <c r="I56" s="12">
        <v>0</v>
      </c>
    </row>
    <row r="57" spans="1:9" x14ac:dyDescent="0.25">
      <c r="A57" s="2"/>
      <c r="B57" s="2"/>
      <c r="C57" s="2"/>
      <c r="D57" s="2"/>
      <c r="E57" s="2"/>
      <c r="F57" s="2"/>
      <c r="G57" s="2"/>
      <c r="H57" s="2"/>
    </row>
    <row r="58" spans="1:9" x14ac:dyDescent="0.25">
      <c r="A58" s="2" t="s">
        <v>304</v>
      </c>
      <c r="B58" s="2"/>
      <c r="C58" s="2" t="s">
        <v>752</v>
      </c>
      <c r="D58" s="2"/>
      <c r="E58" s="2"/>
      <c r="F58" s="2"/>
      <c r="G58" s="2"/>
      <c r="H58" s="2"/>
    </row>
    <row r="59" spans="1:9" x14ac:dyDescent="0.25">
      <c r="A59" s="2"/>
      <c r="B59" s="2"/>
      <c r="C59" s="2"/>
      <c r="D59" s="2"/>
      <c r="E59" s="2"/>
      <c r="F59" s="2"/>
      <c r="G59" s="2"/>
      <c r="H59" s="2"/>
    </row>
    <row r="60" spans="1:9" x14ac:dyDescent="0.25">
      <c r="A60" s="2"/>
      <c r="B60" s="2"/>
      <c r="C60" s="2"/>
      <c r="D60" s="2"/>
      <c r="E60" s="2"/>
      <c r="F60" s="2"/>
      <c r="G60" s="2"/>
      <c r="H60" s="2"/>
    </row>
  </sheetData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="110" zoomScaleNormal="110" workbookViewId="0">
      <selection activeCell="A8" sqref="A8"/>
    </sheetView>
  </sheetViews>
  <sheetFormatPr defaultRowHeight="15" x14ac:dyDescent="0.25"/>
  <cols>
    <col min="1" max="1" width="5.28515625" style="3" customWidth="1"/>
    <col min="2" max="2" width="32.7109375" style="3" customWidth="1"/>
    <col min="3" max="4" width="9.140625" style="3"/>
    <col min="5" max="5" width="14.85546875" style="3" customWidth="1"/>
    <col min="6" max="6" width="14.42578125" style="3" customWidth="1"/>
    <col min="7" max="7" width="12.28515625" style="3" customWidth="1"/>
    <col min="8" max="8" width="9.140625" style="3"/>
    <col min="9" max="9" width="16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753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754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755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756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6">
        <v>9</v>
      </c>
    </row>
    <row r="18" spans="1:9" x14ac:dyDescent="0.25">
      <c r="A18" s="57">
        <v>1</v>
      </c>
      <c r="B18" s="25" t="s">
        <v>191</v>
      </c>
      <c r="C18" s="68" t="s">
        <v>71</v>
      </c>
      <c r="D18" s="57"/>
      <c r="E18" s="45" t="s">
        <v>71</v>
      </c>
      <c r="F18" s="25" t="s">
        <v>71</v>
      </c>
      <c r="G18" s="57"/>
      <c r="H18" s="57" t="s">
        <v>71</v>
      </c>
      <c r="I18" s="45"/>
    </row>
    <row r="19" spans="1:9" x14ac:dyDescent="0.25">
      <c r="A19" s="15"/>
      <c r="B19" s="12" t="s">
        <v>192</v>
      </c>
      <c r="C19" s="14">
        <v>7.56</v>
      </c>
      <c r="D19" s="17">
        <v>-39794.07</v>
      </c>
      <c r="E19" s="12">
        <v>412077.12</v>
      </c>
      <c r="F19" s="12">
        <v>397386.42</v>
      </c>
      <c r="G19" s="15">
        <f>E19</f>
        <v>412077.12</v>
      </c>
      <c r="H19" s="16">
        <f>D19+F19-G19</f>
        <v>-54484.770000000019</v>
      </c>
      <c r="I19" s="17">
        <f>H19</f>
        <v>-54484.770000000019</v>
      </c>
    </row>
    <row r="20" spans="1:9" x14ac:dyDescent="0.25">
      <c r="A20" s="7" t="s">
        <v>36</v>
      </c>
      <c r="B20" s="7" t="s">
        <v>457</v>
      </c>
      <c r="C20" s="202"/>
      <c r="D20" s="203"/>
      <c r="E20" s="204"/>
      <c r="F20" s="204"/>
      <c r="G20" s="202"/>
      <c r="H20" s="203"/>
      <c r="I20" s="22"/>
    </row>
    <row r="21" spans="1:9" x14ac:dyDescent="0.25">
      <c r="A21" s="62"/>
      <c r="B21" s="62" t="s">
        <v>458</v>
      </c>
      <c r="C21" s="205">
        <v>2.62</v>
      </c>
      <c r="D21" s="203"/>
      <c r="E21" s="206">
        <f>E19*34.5%</f>
        <v>142166.60639999999</v>
      </c>
      <c r="F21" s="206">
        <f>F19*34.5%</f>
        <v>137098.3149</v>
      </c>
      <c r="G21" s="202">
        <f t="shared" ref="G21:G26" si="0">E21</f>
        <v>142166.60639999999</v>
      </c>
      <c r="H21" s="203"/>
      <c r="I21" s="54"/>
    </row>
    <row r="22" spans="1:9" x14ac:dyDescent="0.25">
      <c r="A22" s="24" t="s">
        <v>38</v>
      </c>
      <c r="B22" s="6" t="s">
        <v>39</v>
      </c>
      <c r="C22" s="207">
        <v>1.33</v>
      </c>
      <c r="D22" s="208"/>
      <c r="E22" s="209">
        <f>E19*18%</f>
        <v>74173.881599999993</v>
      </c>
      <c r="F22" s="209">
        <f>F19*18%</f>
        <v>71529.555599999992</v>
      </c>
      <c r="G22" s="208">
        <f t="shared" si="0"/>
        <v>74173.881599999993</v>
      </c>
      <c r="H22" s="208"/>
      <c r="I22" s="29"/>
    </row>
    <row r="23" spans="1:9" x14ac:dyDescent="0.25">
      <c r="A23" s="24" t="s">
        <v>40</v>
      </c>
      <c r="B23" s="6" t="s">
        <v>41</v>
      </c>
      <c r="C23" s="207">
        <v>1.22</v>
      </c>
      <c r="D23" s="203"/>
      <c r="E23" s="204">
        <f>E19*16%</f>
        <v>65932.339200000002</v>
      </c>
      <c r="F23" s="204">
        <f>F19*16%</f>
        <v>63581.8272</v>
      </c>
      <c r="G23" s="202">
        <f t="shared" si="0"/>
        <v>65932.339200000002</v>
      </c>
      <c r="H23" s="203"/>
      <c r="I23" s="22"/>
    </row>
    <row r="24" spans="1:9" x14ac:dyDescent="0.25">
      <c r="A24" s="36" t="s">
        <v>42</v>
      </c>
      <c r="B24" s="9" t="s">
        <v>43</v>
      </c>
      <c r="C24" s="210">
        <v>2.39</v>
      </c>
      <c r="D24" s="208"/>
      <c r="E24" s="209">
        <f>E19*31.5%</f>
        <v>129804.2928</v>
      </c>
      <c r="F24" s="209">
        <f>F19*31.5%</f>
        <v>125176.72229999999</v>
      </c>
      <c r="G24" s="208">
        <f t="shared" si="0"/>
        <v>129804.2928</v>
      </c>
      <c r="H24" s="208"/>
      <c r="I24" s="29"/>
    </row>
    <row r="25" spans="1:9" x14ac:dyDescent="0.25">
      <c r="A25" s="36" t="s">
        <v>44</v>
      </c>
      <c r="B25" s="9" t="s">
        <v>45</v>
      </c>
      <c r="C25" s="211">
        <v>0.39446999999999999</v>
      </c>
      <c r="D25" s="208"/>
      <c r="E25" s="209">
        <v>5939.12</v>
      </c>
      <c r="F25" s="209">
        <v>3672.3</v>
      </c>
      <c r="G25" s="210">
        <f t="shared" si="0"/>
        <v>5939.12</v>
      </c>
      <c r="H25" s="212">
        <f>F25-E25</f>
        <v>-2266.8199999999997</v>
      </c>
      <c r="I25" s="43">
        <f>H25</f>
        <v>-2266.8199999999997</v>
      </c>
    </row>
    <row r="26" spans="1:9" x14ac:dyDescent="0.25">
      <c r="A26" s="36" t="s">
        <v>46</v>
      </c>
      <c r="B26" s="9" t="s">
        <v>710</v>
      </c>
      <c r="C26" s="211">
        <v>0.65861999999999998</v>
      </c>
      <c r="D26" s="75">
        <v>-827.26</v>
      </c>
      <c r="E26" s="58">
        <v>61666.32</v>
      </c>
      <c r="F26" s="48">
        <v>54810.09</v>
      </c>
      <c r="G26" s="48">
        <f t="shared" si="0"/>
        <v>61666.32</v>
      </c>
      <c r="H26" s="45">
        <f>D26+F26-G26</f>
        <v>-7683.4900000000052</v>
      </c>
      <c r="I26" s="26">
        <f>H26</f>
        <v>-7683.4900000000052</v>
      </c>
    </row>
    <row r="27" spans="1:9" x14ac:dyDescent="0.25">
      <c r="A27" s="11" t="s">
        <v>48</v>
      </c>
      <c r="B27" s="11" t="s">
        <v>49</v>
      </c>
      <c r="C27" s="41" t="s">
        <v>50</v>
      </c>
      <c r="D27" s="34">
        <v>-13357.04</v>
      </c>
      <c r="E27" s="11">
        <v>184508.01</v>
      </c>
      <c r="F27" s="11">
        <v>169583.42</v>
      </c>
      <c r="G27" s="41">
        <f>E27</f>
        <v>184508.01</v>
      </c>
      <c r="H27" s="34">
        <f>D27+F27-G27</f>
        <v>-28281.630000000005</v>
      </c>
      <c r="I27" s="43">
        <f>H27</f>
        <v>-28281.630000000005</v>
      </c>
    </row>
    <row r="28" spans="1:9" x14ac:dyDescent="0.25">
      <c r="A28" s="25" t="s">
        <v>51</v>
      </c>
      <c r="B28" s="12" t="s">
        <v>459</v>
      </c>
      <c r="C28" s="15">
        <v>1.65</v>
      </c>
      <c r="D28" s="16">
        <v>129111.7</v>
      </c>
      <c r="E28" s="18">
        <v>89940.6</v>
      </c>
      <c r="F28" s="12">
        <v>86869.1</v>
      </c>
      <c r="G28" s="1">
        <f>I58</f>
        <v>168386.34</v>
      </c>
      <c r="H28" s="16">
        <f>D28+F28-G28</f>
        <v>47594.459999999992</v>
      </c>
      <c r="I28" s="17"/>
    </row>
    <row r="29" spans="1:9" x14ac:dyDescent="0.25">
      <c r="A29" s="11" t="s">
        <v>55</v>
      </c>
      <c r="B29" s="11" t="s">
        <v>757</v>
      </c>
      <c r="C29" s="46"/>
      <c r="D29" s="34">
        <v>98078.95</v>
      </c>
      <c r="E29" s="11">
        <f>E30</f>
        <v>0</v>
      </c>
      <c r="F29" s="11">
        <f>F30</f>
        <v>241.59</v>
      </c>
      <c r="G29" s="41">
        <f>G30</f>
        <v>98078.95</v>
      </c>
      <c r="H29" s="34">
        <f>D29+F29-G29</f>
        <v>241.58999999999651</v>
      </c>
      <c r="I29" s="43"/>
    </row>
    <row r="30" spans="1:9" x14ac:dyDescent="0.25">
      <c r="A30" s="9"/>
      <c r="B30" s="9" t="s">
        <v>53</v>
      </c>
      <c r="C30" s="10"/>
      <c r="D30" s="29"/>
      <c r="E30" s="11">
        <v>0</v>
      </c>
      <c r="F30" s="11">
        <v>241.59</v>
      </c>
      <c r="G30" s="10">
        <f>I62</f>
        <v>98078.95</v>
      </c>
      <c r="H30" s="29"/>
      <c r="I30" s="29"/>
    </row>
    <row r="31" spans="1:9" x14ac:dyDescent="0.25">
      <c r="A31" s="60"/>
      <c r="B31" s="60"/>
      <c r="C31" s="60"/>
      <c r="D31" s="37"/>
      <c r="E31" s="60"/>
      <c r="F31" s="60"/>
      <c r="G31" s="60"/>
      <c r="H31" s="37"/>
      <c r="I31" s="37"/>
    </row>
    <row r="32" spans="1:9" x14ac:dyDescent="0.25">
      <c r="A32" s="1" t="s">
        <v>58</v>
      </c>
      <c r="B32" s="2"/>
      <c r="C32" s="2"/>
      <c r="E32" s="2"/>
      <c r="F32" s="2"/>
      <c r="G32" s="60"/>
      <c r="H32" s="37"/>
      <c r="I32" s="60"/>
    </row>
    <row r="33" spans="1:9" x14ac:dyDescent="0.25">
      <c r="A33" s="6" t="s">
        <v>59</v>
      </c>
      <c r="B33" s="48" t="s">
        <v>724</v>
      </c>
      <c r="C33" s="6" t="s">
        <v>742</v>
      </c>
      <c r="D33" s="48" t="s">
        <v>758</v>
      </c>
      <c r="E33" s="6" t="s">
        <v>726</v>
      </c>
      <c r="F33" s="86" t="s">
        <v>725</v>
      </c>
      <c r="G33" s="6"/>
      <c r="H33" s="86" t="s">
        <v>714</v>
      </c>
      <c r="I33" s="49"/>
    </row>
    <row r="34" spans="1:9" x14ac:dyDescent="0.25">
      <c r="A34" s="7"/>
      <c r="B34" s="51"/>
      <c r="C34" s="62" t="s">
        <v>759</v>
      </c>
      <c r="D34" s="52" t="s">
        <v>23</v>
      </c>
      <c r="E34" s="213">
        <v>0.15</v>
      </c>
      <c r="F34" s="60" t="s">
        <v>30</v>
      </c>
      <c r="G34" s="7"/>
      <c r="H34" s="79"/>
      <c r="I34" s="53"/>
    </row>
    <row r="35" spans="1:9" x14ac:dyDescent="0.25">
      <c r="A35" s="62"/>
      <c r="B35" s="52" t="s">
        <v>728</v>
      </c>
      <c r="C35" s="62">
        <v>8362.5</v>
      </c>
      <c r="D35" s="62">
        <v>5553</v>
      </c>
      <c r="E35" s="55">
        <f>D35*15%</f>
        <v>832.94999999999993</v>
      </c>
      <c r="F35" s="40">
        <f>C35+(D35-E35)</f>
        <v>13082.55</v>
      </c>
      <c r="G35" s="29"/>
      <c r="H35" s="79">
        <f>F35-G35</f>
        <v>13082.55</v>
      </c>
      <c r="I35" s="53"/>
    </row>
    <row r="36" spans="1:9" x14ac:dyDescent="0.25">
      <c r="A36" s="60"/>
      <c r="B36" s="60"/>
      <c r="C36" s="60"/>
      <c r="D36" s="60"/>
      <c r="E36" s="37"/>
      <c r="F36" s="37"/>
      <c r="G36" s="37"/>
      <c r="H36" s="37"/>
      <c r="I36" s="60"/>
    </row>
    <row r="37" spans="1:9" x14ac:dyDescent="0.25">
      <c r="A37" s="60"/>
      <c r="B37" s="60"/>
      <c r="C37" s="60"/>
      <c r="D37" s="60"/>
      <c r="E37" s="37"/>
      <c r="F37" s="37"/>
      <c r="G37" s="37"/>
      <c r="H37" s="37"/>
      <c r="I37" s="60"/>
    </row>
    <row r="38" spans="1:9" x14ac:dyDescent="0.25">
      <c r="A38" s="5" t="s">
        <v>69</v>
      </c>
    </row>
    <row r="39" spans="1:9" x14ac:dyDescent="0.25">
      <c r="A39" s="1" t="s">
        <v>70</v>
      </c>
      <c r="B39" s="5"/>
      <c r="C39" s="5"/>
      <c r="D39" s="56"/>
      <c r="E39" s="5"/>
      <c r="F39" s="5"/>
      <c r="G39" s="5"/>
      <c r="H39" s="5"/>
      <c r="I39" s="5"/>
    </row>
    <row r="40" spans="1:9" x14ac:dyDescent="0.25">
      <c r="A40" s="6" t="s">
        <v>71</v>
      </c>
      <c r="B40" s="57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48" t="s">
        <v>77</v>
      </c>
      <c r="H40" s="75" t="s">
        <v>15</v>
      </c>
      <c r="I40" s="49" t="s">
        <v>19</v>
      </c>
    </row>
    <row r="41" spans="1:9" x14ac:dyDescent="0.25">
      <c r="A41" s="7"/>
      <c r="B41" s="59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51" t="s">
        <v>84</v>
      </c>
      <c r="H41" s="22" t="s">
        <v>25</v>
      </c>
      <c r="I41" s="61" t="s">
        <v>86</v>
      </c>
    </row>
    <row r="42" spans="1:9" x14ac:dyDescent="0.25">
      <c r="A42" s="7"/>
      <c r="B42" s="51"/>
      <c r="C42" s="7"/>
      <c r="D42" s="60"/>
      <c r="E42" s="7"/>
      <c r="F42" s="60" t="s">
        <v>87</v>
      </c>
      <c r="G42" s="51" t="s">
        <v>88</v>
      </c>
      <c r="H42" s="22" t="s">
        <v>30</v>
      </c>
      <c r="I42" s="61" t="s">
        <v>239</v>
      </c>
    </row>
    <row r="43" spans="1:9" x14ac:dyDescent="0.25">
      <c r="A43" s="9">
        <v>1</v>
      </c>
      <c r="B43" s="9" t="s">
        <v>90</v>
      </c>
      <c r="C43" s="41">
        <v>25.1</v>
      </c>
      <c r="D43" s="29">
        <v>-96693.23</v>
      </c>
      <c r="E43" s="65">
        <v>607242.55000000005</v>
      </c>
      <c r="F43" s="8">
        <v>556321.07999999996</v>
      </c>
      <c r="G43" s="214">
        <f>E43</f>
        <v>607242.55000000005</v>
      </c>
      <c r="H43" s="29">
        <f>D43+F43-G43</f>
        <v>-147614.70000000007</v>
      </c>
      <c r="I43" s="35">
        <f>H43</f>
        <v>-147614.70000000007</v>
      </c>
    </row>
    <row r="44" spans="1:9" x14ac:dyDescent="0.25">
      <c r="A44" s="9"/>
      <c r="B44" s="9" t="s">
        <v>92</v>
      </c>
      <c r="C44" s="41">
        <v>17.79</v>
      </c>
      <c r="D44" s="29"/>
      <c r="E44" s="65"/>
      <c r="F44" s="8"/>
      <c r="G44" s="215"/>
      <c r="H44" s="54"/>
      <c r="I44" s="35"/>
    </row>
    <row r="45" spans="1:9" x14ac:dyDescent="0.25">
      <c r="A45" s="9">
        <v>2</v>
      </c>
      <c r="B45" s="9" t="s">
        <v>98</v>
      </c>
      <c r="C45" s="41">
        <v>1914.46</v>
      </c>
      <c r="D45" s="29">
        <v>-492377.18</v>
      </c>
      <c r="E45" s="10">
        <v>1326658.21</v>
      </c>
      <c r="F45" s="8">
        <v>1318230.74</v>
      </c>
      <c r="G45" s="52">
        <f>E45</f>
        <v>1326658.21</v>
      </c>
      <c r="H45" s="54">
        <f>D45+F45-G45</f>
        <v>-500804.64999999991</v>
      </c>
      <c r="I45" s="35">
        <f>H45</f>
        <v>-500804.64999999991</v>
      </c>
    </row>
    <row r="46" spans="1:9" x14ac:dyDescent="0.25">
      <c r="A46" s="1" t="s">
        <v>760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5" t="s">
        <v>761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6" t="s">
        <v>12</v>
      </c>
      <c r="B48" s="6" t="s">
        <v>102</v>
      </c>
      <c r="C48" s="58" t="s">
        <v>103</v>
      </c>
      <c r="D48" s="58"/>
      <c r="E48" s="58"/>
      <c r="F48" s="48" t="s">
        <v>762</v>
      </c>
      <c r="G48" s="58"/>
      <c r="H48" s="49"/>
      <c r="I48" s="6" t="s">
        <v>105</v>
      </c>
    </row>
    <row r="49" spans="1:9" x14ac:dyDescent="0.25">
      <c r="A49" s="7" t="s">
        <v>106</v>
      </c>
      <c r="B49" s="7"/>
      <c r="C49" s="60"/>
      <c r="D49" s="60"/>
      <c r="E49" s="60"/>
      <c r="F49" s="51" t="s">
        <v>763</v>
      </c>
      <c r="G49" s="60"/>
      <c r="H49" s="61"/>
      <c r="I49" s="7" t="s">
        <v>108</v>
      </c>
    </row>
    <row r="50" spans="1:9" x14ac:dyDescent="0.25">
      <c r="A50" s="7"/>
      <c r="B50" s="62"/>
      <c r="C50" s="60"/>
      <c r="D50" s="60"/>
      <c r="E50" s="60"/>
      <c r="F50" s="51" t="s">
        <v>258</v>
      </c>
      <c r="G50" s="60"/>
      <c r="H50" s="61"/>
      <c r="I50" s="7"/>
    </row>
    <row r="51" spans="1:9" x14ac:dyDescent="0.25">
      <c r="A51" s="67" t="s">
        <v>110</v>
      </c>
      <c r="B51" s="18"/>
      <c r="C51" s="68" t="s">
        <v>111</v>
      </c>
      <c r="D51" s="68"/>
      <c r="E51" s="68"/>
      <c r="F51" s="48"/>
      <c r="G51" s="58"/>
      <c r="H51" s="49"/>
      <c r="I51" s="6"/>
    </row>
    <row r="52" spans="1:9" x14ac:dyDescent="0.25">
      <c r="A52" s="69"/>
      <c r="B52" s="7"/>
      <c r="C52" s="60" t="s">
        <v>112</v>
      </c>
      <c r="D52" s="60"/>
      <c r="E52" s="60"/>
      <c r="F52" s="51" t="s">
        <v>71</v>
      </c>
      <c r="G52" s="60"/>
      <c r="H52" s="61" t="s">
        <v>71</v>
      </c>
      <c r="I52" s="7" t="s">
        <v>71</v>
      </c>
    </row>
    <row r="53" spans="1:9" x14ac:dyDescent="0.25">
      <c r="A53" s="69" t="s">
        <v>113</v>
      </c>
      <c r="B53" s="70">
        <v>42794</v>
      </c>
      <c r="C53" s="60" t="s">
        <v>587</v>
      </c>
      <c r="D53" s="60"/>
      <c r="E53" s="60"/>
      <c r="F53" s="51"/>
      <c r="G53" s="37">
        <f>I53/4542.3</f>
        <v>0.76285141888470598</v>
      </c>
      <c r="H53" s="61"/>
      <c r="I53" s="7">
        <v>3465.1</v>
      </c>
    </row>
    <row r="54" spans="1:9" x14ac:dyDescent="0.25">
      <c r="A54" s="69" t="s">
        <v>38</v>
      </c>
      <c r="B54" s="70">
        <v>42851</v>
      </c>
      <c r="C54" s="60" t="s">
        <v>114</v>
      </c>
      <c r="D54" s="60"/>
      <c r="E54" s="60"/>
      <c r="F54" s="51"/>
      <c r="G54" s="37">
        <f>I54/4542.3</f>
        <v>5.0194835215639655</v>
      </c>
      <c r="H54" s="61"/>
      <c r="I54" s="7">
        <v>22800</v>
      </c>
    </row>
    <row r="55" spans="1:9" x14ac:dyDescent="0.25">
      <c r="A55" s="69" t="s">
        <v>40</v>
      </c>
      <c r="B55" s="70">
        <v>42887</v>
      </c>
      <c r="C55" s="60" t="s">
        <v>764</v>
      </c>
      <c r="D55" s="60"/>
      <c r="E55" s="60"/>
      <c r="F55" s="51"/>
      <c r="G55" s="37">
        <f>I55/4542.3</f>
        <v>21.082874314774454</v>
      </c>
      <c r="H55" s="61"/>
      <c r="I55" s="7">
        <v>95764.74</v>
      </c>
    </row>
    <row r="56" spans="1:9" x14ac:dyDescent="0.25">
      <c r="A56" s="69" t="s">
        <v>42</v>
      </c>
      <c r="B56" s="70">
        <v>42916</v>
      </c>
      <c r="C56" s="60" t="s">
        <v>315</v>
      </c>
      <c r="D56" s="60"/>
      <c r="E56" s="60"/>
      <c r="F56" s="51"/>
      <c r="G56" s="37">
        <f>I56/4542.3</f>
        <v>2.7188913105695351</v>
      </c>
      <c r="H56" s="61"/>
      <c r="I56" s="7">
        <v>12350.02</v>
      </c>
    </row>
    <row r="57" spans="1:9" x14ac:dyDescent="0.25">
      <c r="A57" s="69" t="s">
        <v>44</v>
      </c>
      <c r="B57" s="70">
        <v>43069</v>
      </c>
      <c r="C57" s="60" t="s">
        <v>765</v>
      </c>
      <c r="D57" s="60"/>
      <c r="E57" s="60"/>
      <c r="F57" s="51"/>
      <c r="G57" s="37">
        <f>I57/4542.3</f>
        <v>7.4866213151927443</v>
      </c>
      <c r="H57" s="61"/>
      <c r="I57" s="7">
        <v>34006.480000000003</v>
      </c>
    </row>
    <row r="58" spans="1:9" x14ac:dyDescent="0.25">
      <c r="A58" s="69"/>
      <c r="B58" s="7"/>
      <c r="C58" s="5" t="s">
        <v>118</v>
      </c>
      <c r="D58" s="5"/>
      <c r="E58" s="5"/>
      <c r="F58" s="59"/>
      <c r="G58" s="20">
        <f>SUM(G52:G57)</f>
        <v>37.070721880985403</v>
      </c>
      <c r="H58" s="71"/>
      <c r="I58" s="18">
        <f>SUM(I53:I57)</f>
        <v>168386.34</v>
      </c>
    </row>
    <row r="59" spans="1:9" x14ac:dyDescent="0.25">
      <c r="A59" s="6"/>
      <c r="B59" s="6"/>
      <c r="C59" s="57"/>
      <c r="D59" s="68"/>
      <c r="E59" s="72"/>
      <c r="F59" s="57"/>
      <c r="G59" s="68"/>
      <c r="H59" s="72"/>
      <c r="I59" s="25"/>
    </row>
    <row r="60" spans="1:9" x14ac:dyDescent="0.25">
      <c r="A60" s="6" t="s">
        <v>48</v>
      </c>
      <c r="B60" s="68" t="s">
        <v>119</v>
      </c>
      <c r="C60" s="57" t="s">
        <v>120</v>
      </c>
      <c r="D60" s="58"/>
      <c r="E60" s="49"/>
      <c r="F60" s="48" t="s">
        <v>121</v>
      </c>
      <c r="G60" s="58"/>
      <c r="H60" s="49"/>
      <c r="I60" s="6"/>
    </row>
    <row r="61" spans="1:9" x14ac:dyDescent="0.25">
      <c r="A61" s="69" t="s">
        <v>182</v>
      </c>
      <c r="B61" s="195" t="s">
        <v>766</v>
      </c>
      <c r="C61" s="51" t="s">
        <v>767</v>
      </c>
      <c r="D61" s="60"/>
      <c r="E61" s="61"/>
      <c r="F61" s="51"/>
      <c r="G61" s="37">
        <f>I61/4549.9</f>
        <v>21.556286951361571</v>
      </c>
      <c r="H61" s="61"/>
      <c r="I61" s="7">
        <v>98078.95</v>
      </c>
    </row>
    <row r="62" spans="1:9" x14ac:dyDescent="0.25">
      <c r="A62" s="73"/>
      <c r="B62" s="74" t="s">
        <v>119</v>
      </c>
      <c r="C62" s="52" t="s">
        <v>118</v>
      </c>
      <c r="D62" s="74"/>
      <c r="E62" s="53"/>
      <c r="F62" s="52" t="s">
        <v>71</v>
      </c>
      <c r="G62" s="78">
        <f>SUM(G61:G61)</f>
        <v>21.556286951361571</v>
      </c>
      <c r="H62" s="85"/>
      <c r="I62" s="12">
        <f>SUM(I61:I61)</f>
        <v>98078.95</v>
      </c>
    </row>
    <row r="63" spans="1:9" x14ac:dyDescent="0.25">
      <c r="A63" s="2" t="s">
        <v>768</v>
      </c>
      <c r="B63" s="2"/>
      <c r="C63" s="2"/>
      <c r="D63" s="2" t="s">
        <v>123</v>
      </c>
      <c r="E63" s="2"/>
      <c r="F63" s="2" t="s">
        <v>124</v>
      </c>
      <c r="H63" s="2" t="s">
        <v>125</v>
      </c>
      <c r="I63" s="2" t="s">
        <v>126</v>
      </c>
    </row>
    <row r="64" spans="1:9" x14ac:dyDescent="0.25">
      <c r="A64" s="2"/>
      <c r="B64" s="2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110" zoomScaleNormal="110" workbookViewId="0">
      <selection activeCell="B12" sqref="B12"/>
    </sheetView>
  </sheetViews>
  <sheetFormatPr defaultRowHeight="15" x14ac:dyDescent="0.25"/>
  <cols>
    <col min="1" max="1" width="4.28515625" style="3" customWidth="1"/>
    <col min="2" max="2" width="35.85546875" style="3" customWidth="1"/>
    <col min="3" max="3" width="9.140625" style="3"/>
    <col min="4" max="4" width="11.85546875" style="3" customWidth="1"/>
    <col min="5" max="5" width="11.28515625" style="3" customWidth="1"/>
    <col min="6" max="6" width="11" style="3" customWidth="1"/>
    <col min="7" max="8" width="13.5703125" style="3" customWidth="1"/>
    <col min="9" max="9" width="18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2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1" t="s">
        <v>452</v>
      </c>
      <c r="B4" s="1"/>
      <c r="C4" s="1"/>
      <c r="D4" s="1"/>
      <c r="E4" s="1"/>
      <c r="F4" s="1"/>
      <c r="G4" s="1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769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770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771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772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135</v>
      </c>
      <c r="H14" s="7" t="s">
        <v>25</v>
      </c>
      <c r="I14" s="7" t="s">
        <v>233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/>
      <c r="H15" s="7" t="s">
        <v>30</v>
      </c>
      <c r="I15" s="7" t="s">
        <v>31</v>
      </c>
    </row>
    <row r="16" spans="1:9" x14ac:dyDescent="0.25">
      <c r="A16" s="7"/>
      <c r="B16" s="7"/>
      <c r="C16" s="7" t="s">
        <v>309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9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1">
        <v>1</v>
      </c>
      <c r="B18" s="12" t="s">
        <v>35</v>
      </c>
      <c r="C18" s="14">
        <v>7.97</v>
      </c>
      <c r="D18" s="17">
        <v>-15298.88</v>
      </c>
      <c r="E18" s="12">
        <v>167982.12</v>
      </c>
      <c r="F18" s="85">
        <v>164821.24</v>
      </c>
      <c r="G18" s="14">
        <f t="shared" ref="G18:G24" si="0">E18</f>
        <v>167982.12</v>
      </c>
      <c r="H18" s="17">
        <f>D18+F18-G18</f>
        <v>-18459.760000000009</v>
      </c>
      <c r="I18" s="17">
        <f>H18</f>
        <v>-18459.760000000009</v>
      </c>
    </row>
    <row r="19" spans="1:9" x14ac:dyDescent="0.25">
      <c r="A19" s="7" t="s">
        <v>36</v>
      </c>
      <c r="B19" s="62" t="s">
        <v>37</v>
      </c>
      <c r="C19" s="74">
        <v>2.62</v>
      </c>
      <c r="D19" s="54"/>
      <c r="E19" s="79">
        <f>E18*33%</f>
        <v>55434.099600000001</v>
      </c>
      <c r="F19" s="54">
        <f>F18*33%</f>
        <v>54391.0092</v>
      </c>
      <c r="G19" s="79">
        <f t="shared" si="0"/>
        <v>55434.099600000001</v>
      </c>
      <c r="H19" s="54"/>
      <c r="I19" s="54"/>
    </row>
    <row r="20" spans="1:9" x14ac:dyDescent="0.25">
      <c r="A20" s="24" t="s">
        <v>38</v>
      </c>
      <c r="B20" s="6" t="s">
        <v>39</v>
      </c>
      <c r="C20" s="58">
        <v>1.33</v>
      </c>
      <c r="D20" s="75"/>
      <c r="E20" s="86">
        <f>E18*17%</f>
        <v>28556.9604</v>
      </c>
      <c r="F20" s="75">
        <f>F18*17%</f>
        <v>28019.610800000002</v>
      </c>
      <c r="G20" s="86">
        <f t="shared" si="0"/>
        <v>28556.9604</v>
      </c>
      <c r="H20" s="75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75"/>
      <c r="E21" s="39">
        <f>E18*20%</f>
        <v>33596.423999999999</v>
      </c>
      <c r="F21" s="29">
        <f>F18*20%</f>
        <v>32964.248</v>
      </c>
      <c r="G21" s="216">
        <f t="shared" si="0"/>
        <v>33596.423999999999</v>
      </c>
      <c r="H21" s="29"/>
      <c r="I21" s="75"/>
    </row>
    <row r="22" spans="1:9" x14ac:dyDescent="0.25">
      <c r="A22" s="24" t="s">
        <v>42</v>
      </c>
      <c r="B22" s="6" t="s">
        <v>43</v>
      </c>
      <c r="C22" s="58">
        <v>2.39</v>
      </c>
      <c r="D22" s="75"/>
      <c r="E22" s="37">
        <f>E18*30%</f>
        <v>50394.635999999999</v>
      </c>
      <c r="F22" s="22">
        <f>F18*30%</f>
        <v>49446.371999999996</v>
      </c>
      <c r="G22" s="37">
        <f t="shared" si="0"/>
        <v>50394.635999999999</v>
      </c>
      <c r="H22" s="22"/>
      <c r="I22" s="75"/>
    </row>
    <row r="23" spans="1:9" x14ac:dyDescent="0.25">
      <c r="A23" s="24" t="s">
        <v>44</v>
      </c>
      <c r="B23" s="6" t="s">
        <v>47</v>
      </c>
      <c r="C23" s="58">
        <v>0.71682000000000001</v>
      </c>
      <c r="D23" s="75"/>
      <c r="E23" s="9">
        <v>14776.12</v>
      </c>
      <c r="F23" s="10">
        <v>13122.53</v>
      </c>
      <c r="G23" s="9">
        <f>E23</f>
        <v>14776.12</v>
      </c>
      <c r="H23" s="41">
        <f>F23-E23</f>
        <v>-1653.5900000000001</v>
      </c>
      <c r="I23" s="11">
        <f>H23</f>
        <v>-1653.5900000000001</v>
      </c>
    </row>
    <row r="24" spans="1:9" x14ac:dyDescent="0.25">
      <c r="A24" s="11" t="s">
        <v>48</v>
      </c>
      <c r="B24" s="11" t="s">
        <v>49</v>
      </c>
      <c r="C24" s="41" t="s">
        <v>50</v>
      </c>
      <c r="D24" s="43">
        <v>-5968.35</v>
      </c>
      <c r="E24" s="41">
        <v>71345.039999999994</v>
      </c>
      <c r="F24" s="11">
        <v>69034.89</v>
      </c>
      <c r="G24" s="41">
        <f t="shared" si="0"/>
        <v>71345.039999999994</v>
      </c>
      <c r="H24" s="11">
        <f>+D24+F24-G24</f>
        <v>-8278.4999999999927</v>
      </c>
      <c r="I24" s="43">
        <f>H24</f>
        <v>-8278.4999999999927</v>
      </c>
    </row>
    <row r="25" spans="1:9" x14ac:dyDescent="0.25">
      <c r="A25" s="11" t="s">
        <v>51</v>
      </c>
      <c r="B25" s="11" t="s">
        <v>459</v>
      </c>
      <c r="C25" s="11">
        <v>1.82</v>
      </c>
      <c r="D25" s="11">
        <v>90044.479999999996</v>
      </c>
      <c r="E25" s="11">
        <v>38359.68</v>
      </c>
      <c r="F25" s="11">
        <f>F26+F27</f>
        <v>39519.61</v>
      </c>
      <c r="G25" s="11">
        <f>G26</f>
        <v>98774.11</v>
      </c>
      <c r="H25" s="43">
        <f>D25+F25-G25</f>
        <v>30789.979999999996</v>
      </c>
      <c r="I25" s="217"/>
    </row>
    <row r="26" spans="1:9" x14ac:dyDescent="0.25">
      <c r="A26" s="9"/>
      <c r="B26" s="9" t="s">
        <v>53</v>
      </c>
      <c r="C26" s="9"/>
      <c r="D26" s="29"/>
      <c r="E26" s="11"/>
      <c r="F26" s="11">
        <v>39018.129999999997</v>
      </c>
      <c r="G26" s="11">
        <f>I61</f>
        <v>98774.11</v>
      </c>
      <c r="H26" s="29"/>
      <c r="I26" s="9"/>
    </row>
    <row r="27" spans="1:9" x14ac:dyDescent="0.25">
      <c r="A27" s="11"/>
      <c r="B27" s="9" t="s">
        <v>54</v>
      </c>
      <c r="C27" s="11"/>
      <c r="D27" s="11"/>
      <c r="E27" s="9">
        <v>0</v>
      </c>
      <c r="F27" s="11">
        <v>501.48</v>
      </c>
      <c r="H27" s="11"/>
      <c r="I27" s="11"/>
    </row>
    <row r="28" spans="1:9" x14ac:dyDescent="0.25">
      <c r="A28" s="11" t="s">
        <v>55</v>
      </c>
      <c r="B28" s="12" t="s">
        <v>741</v>
      </c>
      <c r="C28" s="12"/>
      <c r="D28" s="18">
        <v>23060.9</v>
      </c>
      <c r="E28" s="5">
        <v>0</v>
      </c>
      <c r="F28" s="12">
        <f>F29</f>
        <v>146.77000000000001</v>
      </c>
      <c r="G28" s="11">
        <f>I65</f>
        <v>0</v>
      </c>
      <c r="H28" s="18">
        <f>D28+F28-G28</f>
        <v>23207.670000000002</v>
      </c>
      <c r="I28" s="17"/>
    </row>
    <row r="29" spans="1:9" x14ac:dyDescent="0.25">
      <c r="A29" s="9"/>
      <c r="B29" s="9" t="s">
        <v>53</v>
      </c>
      <c r="C29" s="10"/>
      <c r="D29" s="9"/>
      <c r="E29" s="11">
        <v>0</v>
      </c>
      <c r="F29" s="11">
        <v>146.77000000000001</v>
      </c>
      <c r="G29" s="11">
        <v>0</v>
      </c>
      <c r="H29" s="9"/>
      <c r="I29" s="9"/>
    </row>
    <row r="30" spans="1:9" x14ac:dyDescent="0.25">
      <c r="A30" s="1" t="s">
        <v>58</v>
      </c>
      <c r="B30" s="2"/>
      <c r="C30" s="2"/>
      <c r="E30" s="2"/>
      <c r="F30" s="2"/>
      <c r="G30" s="2"/>
      <c r="H30" s="2"/>
      <c r="I30" s="2"/>
    </row>
    <row r="31" spans="1:9" x14ac:dyDescent="0.25">
      <c r="A31" s="1"/>
      <c r="B31" s="2"/>
      <c r="C31" s="2"/>
      <c r="E31" s="2"/>
      <c r="F31" s="2"/>
      <c r="G31" s="2"/>
      <c r="H31" s="2"/>
      <c r="I31" s="2"/>
    </row>
    <row r="32" spans="1:9" x14ac:dyDescent="0.25">
      <c r="A32" s="25" t="s">
        <v>59</v>
      </c>
      <c r="B32" s="58" t="s">
        <v>60</v>
      </c>
      <c r="C32" s="6" t="s">
        <v>64</v>
      </c>
      <c r="D32" s="49" t="s">
        <v>62</v>
      </c>
      <c r="E32" s="58" t="s">
        <v>63</v>
      </c>
      <c r="F32" s="6" t="s">
        <v>64</v>
      </c>
      <c r="G32" s="6"/>
      <c r="H32" s="58" t="s">
        <v>199</v>
      </c>
      <c r="I32" s="49"/>
    </row>
    <row r="33" spans="1:9" x14ac:dyDescent="0.25">
      <c r="A33" s="7"/>
      <c r="B33" s="60"/>
      <c r="C33" s="62" t="s">
        <v>66</v>
      </c>
      <c r="D33" s="53" t="s">
        <v>23</v>
      </c>
      <c r="E33" s="74" t="s">
        <v>312</v>
      </c>
      <c r="F33" s="62" t="s">
        <v>30</v>
      </c>
      <c r="G33" s="62"/>
      <c r="H33" s="74"/>
      <c r="I33" s="53"/>
    </row>
    <row r="34" spans="1:9" x14ac:dyDescent="0.25">
      <c r="A34" s="12"/>
      <c r="B34" s="74" t="s">
        <v>68</v>
      </c>
      <c r="C34" s="29">
        <v>10900.5</v>
      </c>
      <c r="D34" s="9">
        <v>5553</v>
      </c>
      <c r="E34" s="79">
        <f>D34*15%</f>
        <v>832.94999999999993</v>
      </c>
      <c r="F34" s="54">
        <f>C34+(D34-E34)</f>
        <v>15620.55</v>
      </c>
      <c r="G34" s="54"/>
      <c r="H34" s="79">
        <f>F34</f>
        <v>15620.55</v>
      </c>
      <c r="I34" s="53"/>
    </row>
    <row r="35" spans="1:9" x14ac:dyDescent="0.25">
      <c r="A35" s="60"/>
      <c r="B35" s="60"/>
      <c r="C35" s="37"/>
      <c r="D35" s="60"/>
      <c r="E35" s="60"/>
      <c r="F35" s="37"/>
      <c r="G35" s="60"/>
      <c r="H35" s="37"/>
      <c r="I35" s="60"/>
    </row>
    <row r="36" spans="1:9" x14ac:dyDescent="0.25">
      <c r="A36" s="5" t="s">
        <v>69</v>
      </c>
      <c r="B36" s="60"/>
      <c r="C36" s="60"/>
      <c r="D36" s="60"/>
      <c r="E36" s="60"/>
      <c r="F36" s="37"/>
      <c r="G36" s="60"/>
      <c r="H36" s="37"/>
      <c r="I36" s="60"/>
    </row>
    <row r="37" spans="1:9" x14ac:dyDescent="0.25">
      <c r="A37" s="1" t="s">
        <v>70</v>
      </c>
      <c r="B37" s="5"/>
      <c r="C37" s="5"/>
      <c r="D37" s="56"/>
      <c r="E37" s="5"/>
      <c r="F37" s="5"/>
      <c r="G37" s="5"/>
      <c r="H37" s="5"/>
      <c r="I37" s="60"/>
    </row>
    <row r="38" spans="1:9" x14ac:dyDescent="0.25">
      <c r="A38" s="6" t="s">
        <v>71</v>
      </c>
      <c r="B38" s="57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77</v>
      </c>
      <c r="H38" s="58" t="s">
        <v>78</v>
      </c>
      <c r="I38" s="6" t="s">
        <v>19</v>
      </c>
    </row>
    <row r="39" spans="1:9" x14ac:dyDescent="0.25">
      <c r="A39" s="7"/>
      <c r="B39" s="59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60" t="s">
        <v>85</v>
      </c>
      <c r="I39" s="7" t="s">
        <v>86</v>
      </c>
    </row>
    <row r="40" spans="1:9" x14ac:dyDescent="0.25">
      <c r="A40" s="7"/>
      <c r="B40" s="51"/>
      <c r="C40" s="7"/>
      <c r="D40" s="60"/>
      <c r="E40" s="7"/>
      <c r="F40" s="60" t="s">
        <v>87</v>
      </c>
      <c r="G40" s="7" t="s">
        <v>88</v>
      </c>
      <c r="H40" s="60"/>
      <c r="I40" s="7" t="s">
        <v>239</v>
      </c>
    </row>
    <row r="41" spans="1:9" x14ac:dyDescent="0.25">
      <c r="A41" s="9"/>
      <c r="B41" s="8"/>
      <c r="C41" s="9"/>
      <c r="D41" s="9"/>
      <c r="E41" s="9"/>
      <c r="F41" s="10"/>
      <c r="G41" s="9"/>
      <c r="H41" s="10"/>
      <c r="I41" s="9"/>
    </row>
    <row r="42" spans="1:9" x14ac:dyDescent="0.25">
      <c r="A42" s="7">
        <v>1</v>
      </c>
      <c r="B42" s="7" t="s">
        <v>90</v>
      </c>
      <c r="C42" s="5" t="s">
        <v>91</v>
      </c>
      <c r="D42" s="7">
        <v>-11848.52</v>
      </c>
      <c r="E42" s="94">
        <v>126607.3</v>
      </c>
      <c r="F42" s="7">
        <v>124908.81</v>
      </c>
      <c r="G42" s="60">
        <f>E42</f>
        <v>126607.3</v>
      </c>
      <c r="H42" s="7">
        <f>F42-G42+D42</f>
        <v>-13547.010000000006</v>
      </c>
      <c r="I42" s="7">
        <f>H42</f>
        <v>-13547.010000000006</v>
      </c>
    </row>
    <row r="43" spans="1:9" x14ac:dyDescent="0.25">
      <c r="A43" s="9"/>
      <c r="B43" s="9" t="s">
        <v>92</v>
      </c>
      <c r="C43" s="41" t="s">
        <v>93</v>
      </c>
      <c r="D43" s="9"/>
      <c r="E43" s="95"/>
      <c r="F43" s="9"/>
      <c r="G43" s="10"/>
      <c r="H43" s="9"/>
      <c r="I43" s="9"/>
    </row>
    <row r="44" spans="1:9" x14ac:dyDescent="0.25">
      <c r="A44" s="7">
        <v>2</v>
      </c>
      <c r="B44" s="7" t="s">
        <v>94</v>
      </c>
      <c r="C44" s="1" t="s">
        <v>95</v>
      </c>
      <c r="D44" s="7">
        <v>-54488.4</v>
      </c>
      <c r="E44" s="7">
        <v>228392.32000000001</v>
      </c>
      <c r="F44" s="7">
        <v>229488.5</v>
      </c>
      <c r="G44" s="62">
        <f>E44</f>
        <v>228392.32000000001</v>
      </c>
      <c r="H44" s="7">
        <f>F44-G44+D44</f>
        <v>-53392.220000000008</v>
      </c>
      <c r="I44" s="7">
        <f>H44</f>
        <v>-53392.220000000008</v>
      </c>
    </row>
    <row r="45" spans="1:9" x14ac:dyDescent="0.25">
      <c r="A45" s="9"/>
      <c r="B45" s="9" t="s">
        <v>96</v>
      </c>
      <c r="C45" s="41"/>
      <c r="D45" s="9"/>
      <c r="E45" s="9"/>
      <c r="F45" s="9"/>
      <c r="G45" s="60"/>
      <c r="H45" s="9"/>
      <c r="I45" s="9"/>
    </row>
    <row r="46" spans="1:9" x14ac:dyDescent="0.25">
      <c r="A46" s="9"/>
      <c r="B46" s="9" t="s">
        <v>313</v>
      </c>
      <c r="C46" s="41" t="s">
        <v>93</v>
      </c>
      <c r="D46" s="9"/>
      <c r="E46" s="9"/>
      <c r="F46" s="9"/>
      <c r="G46" s="9"/>
      <c r="H46" s="9"/>
      <c r="I46" s="9"/>
    </row>
    <row r="47" spans="1:9" x14ac:dyDescent="0.25">
      <c r="A47" s="9">
        <v>3</v>
      </c>
      <c r="B47" s="9" t="s">
        <v>98</v>
      </c>
      <c r="C47" s="41" t="s">
        <v>203</v>
      </c>
      <c r="D47" s="9">
        <v>-163793.10999999999</v>
      </c>
      <c r="E47" s="9">
        <v>616414.86</v>
      </c>
      <c r="F47" s="9">
        <v>622991.51</v>
      </c>
      <c r="G47" s="9">
        <f>E47</f>
        <v>616414.86</v>
      </c>
      <c r="H47" s="9">
        <f>F47-G47+D47</f>
        <v>-157216.45999999996</v>
      </c>
      <c r="I47" s="9">
        <f>H47</f>
        <v>-157216.45999999996</v>
      </c>
    </row>
    <row r="48" spans="1:9" x14ac:dyDescent="0.25">
      <c r="A48" s="1" t="s">
        <v>326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327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222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224</v>
      </c>
      <c r="G51" s="60"/>
      <c r="H51" s="61"/>
      <c r="I51" s="7" t="s">
        <v>108</v>
      </c>
    </row>
    <row r="52" spans="1:9" x14ac:dyDescent="0.25">
      <c r="A52" s="51"/>
      <c r="B52" s="7"/>
      <c r="C52" s="60"/>
      <c r="D52" s="60"/>
      <c r="E52" s="60"/>
      <c r="F52" s="51" t="s">
        <v>773</v>
      </c>
      <c r="G52" s="60"/>
      <c r="H52" s="61"/>
      <c r="I52" s="7"/>
    </row>
    <row r="53" spans="1:9" x14ac:dyDescent="0.25">
      <c r="A53" s="51"/>
      <c r="B53" s="62"/>
      <c r="C53" s="60"/>
      <c r="D53" s="60"/>
      <c r="E53" s="60"/>
      <c r="F53" s="51" t="s">
        <v>774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6"/>
    </row>
    <row r="55" spans="1:9" x14ac:dyDescent="0.25">
      <c r="A55" s="69"/>
      <c r="B55" s="7"/>
      <c r="C55" s="60"/>
      <c r="D55" s="60"/>
      <c r="E55" s="60"/>
      <c r="F55" s="51"/>
      <c r="G55" s="60" t="s">
        <v>71</v>
      </c>
      <c r="H55" s="61"/>
      <c r="I55" s="7"/>
    </row>
    <row r="56" spans="1:9" x14ac:dyDescent="0.25">
      <c r="A56" s="69" t="s">
        <v>113</v>
      </c>
      <c r="B56" s="70">
        <v>42947</v>
      </c>
      <c r="C56" s="60" t="s">
        <v>775</v>
      </c>
      <c r="D56" s="60"/>
      <c r="E56" s="60"/>
      <c r="F56" s="51"/>
      <c r="G56" s="37">
        <f>I56/1796.2</f>
        <v>9.2542367219685993</v>
      </c>
      <c r="H56" s="61"/>
      <c r="I56" s="7">
        <v>16622.46</v>
      </c>
    </row>
    <row r="57" spans="1:9" x14ac:dyDescent="0.25">
      <c r="A57" s="69" t="s">
        <v>38</v>
      </c>
      <c r="B57" s="70">
        <v>42961</v>
      </c>
      <c r="C57" s="60" t="s">
        <v>595</v>
      </c>
      <c r="D57" s="60"/>
      <c r="E57" s="60"/>
      <c r="F57" s="51"/>
      <c r="G57" s="37">
        <f>I57/1796.2</f>
        <v>23.669413205656387</v>
      </c>
      <c r="H57" s="61"/>
      <c r="I57" s="7">
        <v>42515</v>
      </c>
    </row>
    <row r="58" spans="1:9" x14ac:dyDescent="0.25">
      <c r="A58" s="69" t="s">
        <v>40</v>
      </c>
      <c r="B58" s="70">
        <v>43008</v>
      </c>
      <c r="C58" s="60" t="s">
        <v>776</v>
      </c>
      <c r="D58" s="60"/>
      <c r="E58" s="60"/>
      <c r="F58" s="51"/>
      <c r="G58" s="37">
        <f>I58/1796.2</f>
        <v>5.8233659948780758</v>
      </c>
      <c r="H58" s="61"/>
      <c r="I58" s="7">
        <v>10459.93</v>
      </c>
    </row>
    <row r="59" spans="1:9" x14ac:dyDescent="0.25">
      <c r="A59" s="69" t="s">
        <v>42</v>
      </c>
      <c r="B59" s="70">
        <v>43005</v>
      </c>
      <c r="C59" s="60" t="s">
        <v>116</v>
      </c>
      <c r="D59" s="60"/>
      <c r="E59" s="60"/>
      <c r="F59" s="51"/>
      <c r="G59" s="37">
        <f>I59/1796.2</f>
        <v>1.447500278365438</v>
      </c>
      <c r="H59" s="61"/>
      <c r="I59" s="7">
        <v>2600</v>
      </c>
    </row>
    <row r="60" spans="1:9" x14ac:dyDescent="0.25">
      <c r="A60" s="69" t="s">
        <v>44</v>
      </c>
      <c r="B60" s="70" t="s">
        <v>207</v>
      </c>
      <c r="C60" s="60" t="s">
        <v>316</v>
      </c>
      <c r="D60" s="60"/>
      <c r="E60" s="60"/>
      <c r="F60" s="51"/>
      <c r="G60" s="37">
        <f>I60/1796.2</f>
        <v>14.796080614630888</v>
      </c>
      <c r="H60" s="61"/>
      <c r="I60" s="7">
        <v>26576.720000000001</v>
      </c>
    </row>
    <row r="61" spans="1:9" x14ac:dyDescent="0.25">
      <c r="A61" s="69"/>
      <c r="B61" s="7"/>
      <c r="C61" s="5" t="s">
        <v>118</v>
      </c>
      <c r="D61" s="5"/>
      <c r="E61" s="5"/>
      <c r="F61" s="15"/>
      <c r="G61" s="78">
        <f>SUM(G56:G60)</f>
        <v>54.990596815499387</v>
      </c>
      <c r="H61" s="85"/>
      <c r="I61" s="18">
        <f>SUM(I55:I60)</f>
        <v>98774.11</v>
      </c>
    </row>
    <row r="62" spans="1:9" x14ac:dyDescent="0.25">
      <c r="A62" s="6"/>
      <c r="B62" s="6"/>
      <c r="C62" s="48"/>
      <c r="D62" s="58"/>
      <c r="E62" s="49"/>
      <c r="F62" s="48"/>
      <c r="G62" s="86" t="s">
        <v>71</v>
      </c>
      <c r="H62" s="49"/>
      <c r="I62" s="6" t="s">
        <v>71</v>
      </c>
    </row>
    <row r="63" spans="1:9" x14ac:dyDescent="0.25">
      <c r="A63" s="6" t="s">
        <v>48</v>
      </c>
      <c r="B63" s="25" t="s">
        <v>119</v>
      </c>
      <c r="C63" s="57" t="s">
        <v>120</v>
      </c>
      <c r="D63" s="58"/>
      <c r="E63" s="49"/>
      <c r="F63" s="48" t="s">
        <v>121</v>
      </c>
      <c r="G63" s="86" t="s">
        <v>71</v>
      </c>
      <c r="H63" s="49"/>
      <c r="I63" s="6"/>
    </row>
    <row r="64" spans="1:9" x14ac:dyDescent="0.25">
      <c r="A64" s="218"/>
      <c r="B64" s="70"/>
      <c r="C64" s="51"/>
      <c r="D64" s="60"/>
      <c r="E64" s="61"/>
      <c r="F64" s="51"/>
      <c r="G64" s="37" t="s">
        <v>71</v>
      </c>
      <c r="H64" s="61"/>
      <c r="I64" s="7" t="s">
        <v>71</v>
      </c>
    </row>
    <row r="65" spans="1:9" x14ac:dyDescent="0.25">
      <c r="A65" s="73"/>
      <c r="B65" s="62" t="s">
        <v>119</v>
      </c>
      <c r="C65" s="15" t="s">
        <v>118</v>
      </c>
      <c r="D65" s="14"/>
      <c r="E65" s="85"/>
      <c r="F65" s="15" t="s">
        <v>71</v>
      </c>
      <c r="G65" s="78">
        <f>SUM(G64)</f>
        <v>0</v>
      </c>
      <c r="H65" s="85"/>
      <c r="I65" s="12">
        <f>SUM(I64)</f>
        <v>0</v>
      </c>
    </row>
    <row r="66" spans="1:9" x14ac:dyDescent="0.25">
      <c r="A66" s="2" t="s">
        <v>209</v>
      </c>
      <c r="B66" s="2"/>
      <c r="C66" s="2"/>
      <c r="D66" s="2"/>
      <c r="E66" s="2" t="s">
        <v>123</v>
      </c>
      <c r="F66" s="2"/>
      <c r="G66" s="2" t="s">
        <v>777</v>
      </c>
      <c r="H66" s="2" t="s">
        <v>778</v>
      </c>
      <c r="I66" s="2" t="s">
        <v>288</v>
      </c>
    </row>
    <row r="67" spans="1:9" x14ac:dyDescent="0.25">
      <c r="C67" s="2" t="s">
        <v>71</v>
      </c>
      <c r="D67" s="2"/>
      <c r="E67" s="2"/>
      <c r="F67" s="2"/>
      <c r="G67" s="2"/>
      <c r="H67" s="2"/>
      <c r="I67" s="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110" zoomScaleNormal="110" workbookViewId="0">
      <selection activeCell="B11" sqref="B11"/>
    </sheetView>
  </sheetViews>
  <sheetFormatPr defaultRowHeight="15" x14ac:dyDescent="0.25"/>
  <cols>
    <col min="1" max="1" width="5.5703125" style="3" customWidth="1"/>
    <col min="2" max="2" width="31.85546875" style="3" customWidth="1"/>
    <col min="3" max="3" width="12.140625" style="3" customWidth="1"/>
    <col min="4" max="4" width="12.42578125" style="3" customWidth="1"/>
    <col min="5" max="6" width="9.140625" style="3"/>
    <col min="7" max="7" width="10.7109375" style="3" customWidth="1"/>
    <col min="8" max="8" width="12.7109375" style="3" customWidth="1"/>
    <col min="9" max="9" width="20.710937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2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 t="s">
        <v>452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779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780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781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267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5" t="s">
        <v>11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6" t="s">
        <v>12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15</v>
      </c>
      <c r="I12" s="6" t="s">
        <v>19</v>
      </c>
    </row>
    <row r="13" spans="1:9" x14ac:dyDescent="0.25">
      <c r="A13" s="7" t="s">
        <v>20</v>
      </c>
      <c r="B13" s="7"/>
      <c r="C13" s="7" t="s">
        <v>134</v>
      </c>
      <c r="D13" s="7" t="s">
        <v>22</v>
      </c>
      <c r="E13" s="7" t="s">
        <v>23</v>
      </c>
      <c r="F13" s="7" t="s">
        <v>23</v>
      </c>
      <c r="G13" s="7" t="s">
        <v>24</v>
      </c>
      <c r="H13" s="7" t="s">
        <v>25</v>
      </c>
      <c r="I13" s="7" t="s">
        <v>548</v>
      </c>
    </row>
    <row r="14" spans="1:9" x14ac:dyDescent="0.25">
      <c r="A14" s="7"/>
      <c r="B14" s="7"/>
      <c r="C14" s="7" t="s">
        <v>27</v>
      </c>
      <c r="D14" s="7" t="s">
        <v>28</v>
      </c>
      <c r="E14" s="7"/>
      <c r="F14" s="7"/>
      <c r="G14" s="7" t="s">
        <v>29</v>
      </c>
      <c r="H14" s="7" t="s">
        <v>30</v>
      </c>
      <c r="I14" s="7" t="s">
        <v>549</v>
      </c>
    </row>
    <row r="15" spans="1:9" x14ac:dyDescent="0.25">
      <c r="A15" s="7"/>
      <c r="B15" s="7"/>
      <c r="C15" s="7" t="s">
        <v>32</v>
      </c>
      <c r="D15" s="7" t="s">
        <v>33</v>
      </c>
      <c r="E15" s="7" t="s">
        <v>33</v>
      </c>
      <c r="F15" s="7" t="s">
        <v>33</v>
      </c>
      <c r="G15" s="7" t="s">
        <v>33</v>
      </c>
      <c r="H15" s="7" t="s">
        <v>33</v>
      </c>
      <c r="I15" s="7" t="s">
        <v>550</v>
      </c>
    </row>
    <row r="16" spans="1:9" x14ac:dyDescent="0.25">
      <c r="A16" s="8">
        <v>1</v>
      </c>
      <c r="B16" s="9">
        <v>2</v>
      </c>
      <c r="C16" s="10">
        <v>3</v>
      </c>
      <c r="D16" s="9">
        <v>4</v>
      </c>
      <c r="E16" s="58">
        <v>5</v>
      </c>
      <c r="F16" s="9">
        <v>6</v>
      </c>
      <c r="G16" s="10">
        <v>7</v>
      </c>
      <c r="H16" s="9">
        <v>8</v>
      </c>
      <c r="I16" s="9">
        <v>9</v>
      </c>
    </row>
    <row r="17" spans="1:9" x14ac:dyDescent="0.25">
      <c r="A17" s="57">
        <v>1</v>
      </c>
      <c r="B17" s="25" t="s">
        <v>191</v>
      </c>
      <c r="C17" s="68"/>
      <c r="D17" s="25"/>
      <c r="E17" s="45" t="s">
        <v>71</v>
      </c>
      <c r="F17" s="72" t="s">
        <v>71</v>
      </c>
      <c r="G17" s="68"/>
      <c r="H17" s="25" t="s">
        <v>71</v>
      </c>
      <c r="I17" s="45"/>
    </row>
    <row r="18" spans="1:9" x14ac:dyDescent="0.25">
      <c r="A18" s="15"/>
      <c r="B18" s="12" t="s">
        <v>276</v>
      </c>
      <c r="C18" s="14">
        <v>7.97</v>
      </c>
      <c r="D18" s="17">
        <v>4233.07</v>
      </c>
      <c r="E18" s="12">
        <v>293624.40000000002</v>
      </c>
      <c r="F18" s="85">
        <v>299387.37</v>
      </c>
      <c r="G18" s="14">
        <f>E18</f>
        <v>293624.40000000002</v>
      </c>
      <c r="H18" s="17">
        <f>D18+F18-G18</f>
        <v>9996.039999999979</v>
      </c>
      <c r="I18" s="17"/>
    </row>
    <row r="19" spans="1:9" x14ac:dyDescent="0.25">
      <c r="A19" s="7" t="s">
        <v>36</v>
      </c>
      <c r="B19" s="7" t="s">
        <v>457</v>
      </c>
      <c r="C19" s="60"/>
      <c r="D19" s="22" t="s">
        <v>71</v>
      </c>
      <c r="E19" s="60"/>
      <c r="F19" s="22"/>
      <c r="G19" s="60"/>
      <c r="H19" s="22" t="s">
        <v>71</v>
      </c>
      <c r="I19" s="22" t="s">
        <v>71</v>
      </c>
    </row>
    <row r="20" spans="1:9" x14ac:dyDescent="0.25">
      <c r="A20" s="62"/>
      <c r="B20" s="62" t="s">
        <v>458</v>
      </c>
      <c r="C20" s="74">
        <v>2.62</v>
      </c>
      <c r="D20" s="54"/>
      <c r="E20" s="79">
        <f>E18*33%</f>
        <v>96896.052000000011</v>
      </c>
      <c r="F20" s="54">
        <f>F18*33%</f>
        <v>98797.8321</v>
      </c>
      <c r="G20" s="79">
        <f t="shared" ref="G20:G25" si="0">E20</f>
        <v>96896.052000000011</v>
      </c>
      <c r="H20" s="54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75"/>
      <c r="E21" s="86">
        <f>E18*17%</f>
        <v>49916.148000000008</v>
      </c>
      <c r="F21" s="75">
        <f>F18*17%</f>
        <v>50895.852900000005</v>
      </c>
      <c r="G21" s="86">
        <f t="shared" si="0"/>
        <v>49916.148000000008</v>
      </c>
      <c r="H21" s="7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75"/>
      <c r="E22" s="86">
        <f>E18*20%</f>
        <v>58724.880000000005</v>
      </c>
      <c r="F22" s="75">
        <f>F18*20%</f>
        <v>59877.474000000002</v>
      </c>
      <c r="G22" s="219">
        <f t="shared" si="0"/>
        <v>58724.880000000005</v>
      </c>
      <c r="H22" s="29"/>
      <c r="I22" s="75"/>
    </row>
    <row r="23" spans="1:9" x14ac:dyDescent="0.25">
      <c r="A23" s="24" t="s">
        <v>42</v>
      </c>
      <c r="B23" s="6" t="s">
        <v>43</v>
      </c>
      <c r="C23" s="58">
        <v>2.39</v>
      </c>
      <c r="D23" s="75"/>
      <c r="E23" s="86">
        <f>E18*30%</f>
        <v>88087.32</v>
      </c>
      <c r="F23" s="75">
        <f>F18*30%</f>
        <v>89816.210999999996</v>
      </c>
      <c r="G23" s="86">
        <f t="shared" si="0"/>
        <v>88087.32</v>
      </c>
      <c r="H23" s="22"/>
      <c r="I23" s="75"/>
    </row>
    <row r="24" spans="1:9" x14ac:dyDescent="0.25">
      <c r="A24" s="24" t="s">
        <v>44</v>
      </c>
      <c r="B24" s="6" t="s">
        <v>47</v>
      </c>
      <c r="C24" s="58">
        <v>1.07151</v>
      </c>
      <c r="D24" s="75"/>
      <c r="E24" s="9">
        <v>43412.21</v>
      </c>
      <c r="F24" s="10">
        <v>36456.79</v>
      </c>
      <c r="G24" s="9">
        <f t="shared" si="0"/>
        <v>43412.21</v>
      </c>
      <c r="H24" s="41">
        <f>F24-E24</f>
        <v>-6955.4199999999983</v>
      </c>
      <c r="I24" s="11">
        <f>H24</f>
        <v>-6955.4199999999983</v>
      </c>
    </row>
    <row r="25" spans="1:9" x14ac:dyDescent="0.25">
      <c r="A25" s="11" t="s">
        <v>48</v>
      </c>
      <c r="B25" s="11" t="s">
        <v>49</v>
      </c>
      <c r="C25" s="41" t="s">
        <v>50</v>
      </c>
      <c r="D25" s="43">
        <v>-10840.43</v>
      </c>
      <c r="E25" s="41">
        <v>124707.3</v>
      </c>
      <c r="F25" s="11">
        <v>120477.11</v>
      </c>
      <c r="G25" s="41">
        <f t="shared" si="0"/>
        <v>124707.3</v>
      </c>
      <c r="H25" s="43">
        <f>+D25+F25-G25</f>
        <v>-15070.62000000001</v>
      </c>
      <c r="I25" s="43">
        <f>H25</f>
        <v>-15070.62000000001</v>
      </c>
    </row>
    <row r="26" spans="1:9" x14ac:dyDescent="0.25">
      <c r="A26" s="25" t="s">
        <v>51</v>
      </c>
      <c r="B26" s="25" t="s">
        <v>216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18"/>
      <c r="B27" s="12" t="s">
        <v>217</v>
      </c>
      <c r="C27" s="12">
        <v>1.82</v>
      </c>
      <c r="D27" s="12">
        <v>112149.68</v>
      </c>
      <c r="E27" s="12">
        <v>67051.199999999997</v>
      </c>
      <c r="F27" s="12">
        <v>68554.17</v>
      </c>
      <c r="G27" s="12">
        <f>I61</f>
        <v>59696.689999999988</v>
      </c>
      <c r="H27" s="12">
        <f>D27+F27-G27</f>
        <v>121007.15999999999</v>
      </c>
      <c r="I27" s="62"/>
    </row>
    <row r="28" spans="1:9" x14ac:dyDescent="0.25">
      <c r="A28" s="11" t="s">
        <v>55</v>
      </c>
      <c r="B28" s="11" t="s">
        <v>56</v>
      </c>
      <c r="C28" s="11">
        <v>0</v>
      </c>
      <c r="D28" s="11">
        <v>98058.3</v>
      </c>
      <c r="E28" s="11">
        <v>0</v>
      </c>
      <c r="F28" s="11">
        <f>F29</f>
        <v>1.08</v>
      </c>
      <c r="G28" s="41">
        <f>G29</f>
        <v>0</v>
      </c>
      <c r="H28" s="11">
        <f>D28+F28-G28</f>
        <v>98059.38</v>
      </c>
      <c r="I28" s="9"/>
    </row>
    <row r="29" spans="1:9" x14ac:dyDescent="0.25">
      <c r="A29" s="9"/>
      <c r="B29" s="9" t="s">
        <v>53</v>
      </c>
      <c r="C29" s="10">
        <v>0</v>
      </c>
      <c r="D29" s="9"/>
      <c r="E29" s="9">
        <v>0</v>
      </c>
      <c r="F29" s="9">
        <v>1.08</v>
      </c>
      <c r="G29" s="10">
        <v>0</v>
      </c>
      <c r="H29" s="9"/>
      <c r="I29" s="9"/>
    </row>
    <row r="30" spans="1:9" x14ac:dyDescent="0.25">
      <c r="A30" s="1" t="s">
        <v>58</v>
      </c>
      <c r="B30" s="2"/>
      <c r="C30" s="2"/>
      <c r="D30" s="107"/>
      <c r="E30" s="102"/>
      <c r="F30" s="102"/>
      <c r="G30" s="102"/>
      <c r="H30" s="2"/>
      <c r="I30" s="2"/>
    </row>
    <row r="31" spans="1:9" x14ac:dyDescent="0.25">
      <c r="A31" s="1"/>
      <c r="B31" s="2"/>
      <c r="C31" s="2"/>
      <c r="D31" s="107"/>
      <c r="E31" s="102"/>
      <c r="F31" s="102"/>
      <c r="G31" s="102"/>
      <c r="H31" s="2"/>
      <c r="I31" s="2"/>
    </row>
    <row r="32" spans="1:9" x14ac:dyDescent="0.25">
      <c r="A32" s="25" t="s">
        <v>59</v>
      </c>
      <c r="B32" s="58" t="s">
        <v>60</v>
      </c>
      <c r="C32" s="6" t="s">
        <v>64</v>
      </c>
      <c r="D32" s="49" t="s">
        <v>62</v>
      </c>
      <c r="E32" s="58" t="s">
        <v>63</v>
      </c>
      <c r="F32" s="6" t="s">
        <v>64</v>
      </c>
      <c r="G32" s="6"/>
      <c r="H32" s="58" t="s">
        <v>199</v>
      </c>
      <c r="I32" s="49"/>
    </row>
    <row r="33" spans="1:9" x14ac:dyDescent="0.25">
      <c r="A33" s="7"/>
      <c r="B33" s="60"/>
      <c r="C33" s="62" t="s">
        <v>66</v>
      </c>
      <c r="D33" s="53" t="s">
        <v>23</v>
      </c>
      <c r="E33" s="74" t="s">
        <v>312</v>
      </c>
      <c r="F33" s="62" t="s">
        <v>30</v>
      </c>
      <c r="G33" s="62"/>
      <c r="H33" s="74"/>
      <c r="I33" s="53"/>
    </row>
    <row r="34" spans="1:9" x14ac:dyDescent="0.25">
      <c r="A34" s="12"/>
      <c r="B34" s="74" t="s">
        <v>68</v>
      </c>
      <c r="C34" s="29">
        <v>10900.5</v>
      </c>
      <c r="D34" s="9">
        <v>5553</v>
      </c>
      <c r="E34" s="79">
        <f>D34*15%</f>
        <v>832.94999999999993</v>
      </c>
      <c r="F34" s="54">
        <f>C34+(D34-E34)</f>
        <v>15620.55</v>
      </c>
      <c r="G34" s="54"/>
      <c r="H34" s="79">
        <f>F34</f>
        <v>15620.55</v>
      </c>
      <c r="I34" s="53"/>
    </row>
    <row r="35" spans="1:9" x14ac:dyDescent="0.25">
      <c r="A35" s="5" t="s">
        <v>69</v>
      </c>
      <c r="B35" s="60"/>
      <c r="C35" s="60"/>
      <c r="D35" s="60"/>
      <c r="E35" s="60"/>
      <c r="F35" s="37"/>
      <c r="G35" s="60"/>
      <c r="H35" s="37"/>
      <c r="I35" s="60"/>
    </row>
    <row r="36" spans="1:9" x14ac:dyDescent="0.25">
      <c r="A36" s="1" t="s">
        <v>70</v>
      </c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6" t="s">
        <v>71</v>
      </c>
      <c r="B37" s="57" t="s">
        <v>72</v>
      </c>
      <c r="C37" s="6" t="s">
        <v>73</v>
      </c>
      <c r="D37" s="48" t="s">
        <v>74</v>
      </c>
      <c r="E37" s="6" t="s">
        <v>75</v>
      </c>
      <c r="F37" s="58" t="s">
        <v>76</v>
      </c>
      <c r="G37" s="6" t="s">
        <v>77</v>
      </c>
      <c r="H37" s="58" t="s">
        <v>78</v>
      </c>
      <c r="I37" s="6" t="s">
        <v>19</v>
      </c>
    </row>
    <row r="38" spans="1:9" x14ac:dyDescent="0.25">
      <c r="A38" s="7"/>
      <c r="B38" s="59" t="s">
        <v>79</v>
      </c>
      <c r="C38" s="7" t="s">
        <v>80</v>
      </c>
      <c r="D38" s="51" t="s">
        <v>81</v>
      </c>
      <c r="E38" s="7" t="s">
        <v>82</v>
      </c>
      <c r="F38" s="60" t="s">
        <v>83</v>
      </c>
      <c r="G38" s="7" t="s">
        <v>84</v>
      </c>
      <c r="H38" s="60" t="s">
        <v>85</v>
      </c>
      <c r="I38" s="7" t="s">
        <v>86</v>
      </c>
    </row>
    <row r="39" spans="1:9" x14ac:dyDescent="0.25">
      <c r="A39" s="7"/>
      <c r="B39" s="51"/>
      <c r="C39" s="7"/>
      <c r="D39" s="51"/>
      <c r="E39" s="7"/>
      <c r="F39" s="60" t="s">
        <v>87</v>
      </c>
      <c r="G39" s="7" t="s">
        <v>88</v>
      </c>
      <c r="H39" s="60"/>
      <c r="I39" s="7" t="s">
        <v>782</v>
      </c>
    </row>
    <row r="40" spans="1:9" x14ac:dyDescent="0.25">
      <c r="A40" s="9"/>
      <c r="B40" s="8"/>
      <c r="C40" s="10"/>
      <c r="D40" s="8"/>
      <c r="E40" s="9"/>
      <c r="F40" s="10"/>
      <c r="G40" s="9"/>
      <c r="H40" s="10"/>
      <c r="I40" s="9">
        <f>H40</f>
        <v>0</v>
      </c>
    </row>
    <row r="41" spans="1:9" x14ac:dyDescent="0.25">
      <c r="A41" s="7">
        <v>1</v>
      </c>
      <c r="B41" s="7" t="s">
        <v>90</v>
      </c>
      <c r="C41" s="5" t="s">
        <v>91</v>
      </c>
      <c r="D41" s="51">
        <v>-65200.1</v>
      </c>
      <c r="E41" s="94">
        <v>370557.41</v>
      </c>
      <c r="F41" s="7">
        <v>354374.8</v>
      </c>
      <c r="G41" s="60">
        <f>E41</f>
        <v>370557.41</v>
      </c>
      <c r="H41" s="51">
        <f>D41+F41-G41</f>
        <v>-81382.709999999963</v>
      </c>
      <c r="I41" s="7">
        <f>H41</f>
        <v>-81382.709999999963</v>
      </c>
    </row>
    <row r="42" spans="1:9" x14ac:dyDescent="0.25">
      <c r="A42" s="9"/>
      <c r="B42" s="9" t="s">
        <v>92</v>
      </c>
      <c r="C42" s="41" t="s">
        <v>93</v>
      </c>
      <c r="D42" s="8"/>
      <c r="E42" s="95"/>
      <c r="F42" s="9"/>
      <c r="G42" s="10"/>
      <c r="H42" s="8"/>
      <c r="I42" s="9"/>
    </row>
    <row r="43" spans="1:9" x14ac:dyDescent="0.25">
      <c r="A43" s="7">
        <v>2</v>
      </c>
      <c r="B43" s="7" t="s">
        <v>94</v>
      </c>
      <c r="C43" s="1" t="s">
        <v>95</v>
      </c>
      <c r="D43" s="51">
        <v>-193048.44</v>
      </c>
      <c r="E43" s="62">
        <v>583132.91</v>
      </c>
      <c r="F43" s="7">
        <v>550558.27</v>
      </c>
      <c r="G43" s="62">
        <f>E43</f>
        <v>583132.91</v>
      </c>
      <c r="H43" s="51">
        <f>D43+F43-G43</f>
        <v>-225623.08000000002</v>
      </c>
      <c r="I43" s="7">
        <f>H43</f>
        <v>-225623.08000000002</v>
      </c>
    </row>
    <row r="44" spans="1:9" x14ac:dyDescent="0.25">
      <c r="A44" s="9"/>
      <c r="B44" s="9" t="s">
        <v>96</v>
      </c>
      <c r="C44" s="41"/>
      <c r="D44" s="48"/>
      <c r="E44" s="220"/>
      <c r="F44" s="9"/>
      <c r="G44" s="60"/>
      <c r="H44" s="48"/>
      <c r="I44" s="6" t="s">
        <v>71</v>
      </c>
    </row>
    <row r="45" spans="1:9" x14ac:dyDescent="0.25">
      <c r="A45" s="9"/>
      <c r="B45" s="9" t="s">
        <v>313</v>
      </c>
      <c r="C45" s="41" t="s">
        <v>93</v>
      </c>
      <c r="D45" s="48"/>
      <c r="E45" s="220"/>
      <c r="F45" s="9"/>
      <c r="G45" s="9"/>
      <c r="H45" s="48"/>
      <c r="I45" s="6"/>
    </row>
    <row r="46" spans="1:9" x14ac:dyDescent="0.25">
      <c r="A46" s="9">
        <v>3</v>
      </c>
      <c r="B46" s="9" t="s">
        <v>98</v>
      </c>
      <c r="C46" s="41" t="s">
        <v>203</v>
      </c>
      <c r="D46" s="9">
        <v>-474046.36</v>
      </c>
      <c r="E46" s="10">
        <v>1077462.81</v>
      </c>
      <c r="F46" s="9">
        <v>1064025.54</v>
      </c>
      <c r="G46" s="9">
        <f>E46</f>
        <v>1077462.81</v>
      </c>
      <c r="H46" s="9">
        <f>D46+F46-G46</f>
        <v>-487483.63</v>
      </c>
      <c r="I46" s="9">
        <f>H46</f>
        <v>-487483.63</v>
      </c>
    </row>
    <row r="47" spans="1:9" x14ac:dyDescent="0.25">
      <c r="A47" s="1" t="s">
        <v>326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5" t="s">
        <v>327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172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347</v>
      </c>
      <c r="G50" s="60"/>
      <c r="H50" s="61"/>
      <c r="I50" s="7" t="s">
        <v>108</v>
      </c>
    </row>
    <row r="51" spans="1:9" x14ac:dyDescent="0.25">
      <c r="A51" s="51"/>
      <c r="B51" s="7"/>
      <c r="C51" s="60"/>
      <c r="D51" s="60"/>
      <c r="E51" s="60"/>
      <c r="F51" s="51" t="s">
        <v>416</v>
      </c>
      <c r="G51" s="60"/>
      <c r="H51" s="61"/>
      <c r="I51" s="7"/>
    </row>
    <row r="52" spans="1:9" x14ac:dyDescent="0.25">
      <c r="A52" s="52"/>
      <c r="B52" s="62"/>
      <c r="C52" s="60"/>
      <c r="D52" s="60"/>
      <c r="E52" s="60"/>
      <c r="F52" s="51"/>
      <c r="G52" s="60"/>
      <c r="H52" s="61"/>
      <c r="I52" s="62"/>
    </row>
    <row r="53" spans="1:9" x14ac:dyDescent="0.25">
      <c r="A53" s="67" t="s">
        <v>110</v>
      </c>
      <c r="B53" s="18"/>
      <c r="C53" s="68" t="s">
        <v>111</v>
      </c>
      <c r="D53" s="68"/>
      <c r="E53" s="68"/>
      <c r="F53" s="48"/>
      <c r="G53" s="58"/>
      <c r="H53" s="49"/>
      <c r="I53" s="6"/>
    </row>
    <row r="54" spans="1:9" x14ac:dyDescent="0.25">
      <c r="A54" s="69"/>
      <c r="B54" s="7"/>
      <c r="C54" s="60" t="s">
        <v>112</v>
      </c>
      <c r="D54" s="60"/>
      <c r="E54" s="60"/>
      <c r="F54" s="51" t="s">
        <v>71</v>
      </c>
      <c r="G54" s="37"/>
      <c r="H54" s="61" t="s">
        <v>71</v>
      </c>
      <c r="I54" s="7" t="s">
        <v>71</v>
      </c>
    </row>
    <row r="55" spans="1:9" x14ac:dyDescent="0.25">
      <c r="A55" s="69" t="s">
        <v>113</v>
      </c>
      <c r="B55" s="70">
        <v>42851</v>
      </c>
      <c r="C55" s="60" t="s">
        <v>783</v>
      </c>
      <c r="D55" s="60"/>
      <c r="E55" s="60"/>
      <c r="F55" s="51"/>
      <c r="G55" s="37">
        <f>I55/3070.1</f>
        <v>6.8401680727012151</v>
      </c>
      <c r="H55" s="61"/>
      <c r="I55" s="7">
        <v>21000</v>
      </c>
    </row>
    <row r="56" spans="1:9" x14ac:dyDescent="0.25">
      <c r="A56" s="69" t="s">
        <v>38</v>
      </c>
      <c r="B56" s="70">
        <v>42853</v>
      </c>
      <c r="C56" s="60" t="s">
        <v>354</v>
      </c>
      <c r="D56" s="60"/>
      <c r="E56" s="60"/>
      <c r="F56" s="51"/>
      <c r="G56" s="37">
        <f>I56/3070.1</f>
        <v>6.6195205367903327</v>
      </c>
      <c r="H56" s="61"/>
      <c r="I56" s="7">
        <v>20322.59</v>
      </c>
    </row>
    <row r="57" spans="1:9" x14ac:dyDescent="0.25">
      <c r="A57" s="69" t="s">
        <v>40</v>
      </c>
      <c r="B57" s="70">
        <v>42916</v>
      </c>
      <c r="C57" s="60" t="s">
        <v>597</v>
      </c>
      <c r="D57" s="60"/>
      <c r="E57" s="60"/>
      <c r="F57" s="51"/>
      <c r="G57" s="37">
        <f>I57/3070.1</f>
        <v>1.8048206898798085</v>
      </c>
      <c r="H57" s="61"/>
      <c r="I57" s="7">
        <v>5540.98</v>
      </c>
    </row>
    <row r="58" spans="1:9" x14ac:dyDescent="0.25">
      <c r="A58" s="69" t="s">
        <v>42</v>
      </c>
      <c r="B58" s="70">
        <v>42947</v>
      </c>
      <c r="C58" s="60" t="s">
        <v>353</v>
      </c>
      <c r="D58" s="60"/>
      <c r="E58" s="60"/>
      <c r="F58" s="51"/>
      <c r="G58" s="37">
        <v>11.55</v>
      </c>
      <c r="H58" s="61"/>
      <c r="I58" s="7">
        <v>5540.98</v>
      </c>
    </row>
    <row r="59" spans="1:9" x14ac:dyDescent="0.25">
      <c r="A59" s="69" t="s">
        <v>44</v>
      </c>
      <c r="B59" s="70">
        <v>43017</v>
      </c>
      <c r="C59" s="60" t="s">
        <v>631</v>
      </c>
      <c r="D59" s="60"/>
      <c r="E59" s="60"/>
      <c r="F59" s="51"/>
      <c r="G59" s="37">
        <f>I59/3070.1</f>
        <v>0.62634767597146679</v>
      </c>
      <c r="H59" s="61"/>
      <c r="I59" s="7">
        <v>1922.95</v>
      </c>
    </row>
    <row r="60" spans="1:9" x14ac:dyDescent="0.25">
      <c r="A60" s="69" t="s">
        <v>46</v>
      </c>
      <c r="B60" s="70">
        <v>43069</v>
      </c>
      <c r="C60" s="60" t="s">
        <v>784</v>
      </c>
      <c r="D60" s="60"/>
      <c r="E60" s="60"/>
      <c r="F60" s="51"/>
      <c r="G60" s="37">
        <f>I60/3070.1</f>
        <v>1.7488648578222208</v>
      </c>
      <c r="H60" s="61"/>
      <c r="I60" s="7">
        <v>5369.19</v>
      </c>
    </row>
    <row r="61" spans="1:9" x14ac:dyDescent="0.25">
      <c r="A61" s="69"/>
      <c r="B61" s="7"/>
      <c r="C61" s="5" t="s">
        <v>118</v>
      </c>
      <c r="D61" s="5"/>
      <c r="E61" s="5"/>
      <c r="F61" s="59"/>
      <c r="G61" s="20">
        <f>SUM(G54:G60)</f>
        <v>29.189721833165041</v>
      </c>
      <c r="H61" s="71"/>
      <c r="I61" s="18">
        <f>SUM(I55:I60)</f>
        <v>59696.689999999988</v>
      </c>
    </row>
    <row r="62" spans="1:9" x14ac:dyDescent="0.25">
      <c r="A62" s="6"/>
      <c r="B62" s="6"/>
      <c r="C62" s="48"/>
      <c r="D62" s="58"/>
      <c r="E62" s="49"/>
      <c r="F62" s="48"/>
      <c r="G62" s="86"/>
      <c r="H62" s="49"/>
      <c r="I62" s="6"/>
    </row>
    <row r="63" spans="1:9" x14ac:dyDescent="0.25">
      <c r="A63" s="6" t="s">
        <v>48</v>
      </c>
      <c r="B63" s="25" t="s">
        <v>119</v>
      </c>
      <c r="C63" s="57" t="s">
        <v>120</v>
      </c>
      <c r="D63" s="58"/>
      <c r="E63" s="58"/>
      <c r="F63" s="48" t="s">
        <v>121</v>
      </c>
      <c r="G63" s="58"/>
      <c r="H63" s="49"/>
      <c r="I63" s="49"/>
    </row>
    <row r="64" spans="1:9" x14ac:dyDescent="0.25">
      <c r="A64" s="73"/>
      <c r="B64" s="87"/>
      <c r="C64" s="221" t="s">
        <v>118</v>
      </c>
      <c r="D64" s="221"/>
      <c r="E64" s="221"/>
      <c r="F64" s="222"/>
      <c r="G64" s="78">
        <v>0</v>
      </c>
      <c r="H64" s="85"/>
      <c r="I64" s="12">
        <v>0</v>
      </c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 t="s">
        <v>209</v>
      </c>
      <c r="B66" s="2"/>
      <c r="C66" s="2"/>
      <c r="D66" s="2" t="s">
        <v>123</v>
      </c>
      <c r="E66" s="2"/>
      <c r="F66" s="2" t="s">
        <v>777</v>
      </c>
      <c r="H66" s="2" t="s">
        <v>785</v>
      </c>
      <c r="I66" s="2" t="s">
        <v>288</v>
      </c>
    </row>
    <row r="67" spans="1:9" x14ac:dyDescent="0.25">
      <c r="C67" s="2" t="s">
        <v>71</v>
      </c>
      <c r="D67" s="2"/>
      <c r="E67" s="2"/>
      <c r="F67" s="2"/>
      <c r="G67" s="2"/>
      <c r="H67" s="2"/>
      <c r="I67" s="2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0" zoomScale="110" zoomScaleNormal="110" workbookViewId="0">
      <selection activeCell="B53" sqref="B53"/>
    </sheetView>
  </sheetViews>
  <sheetFormatPr defaultRowHeight="15" x14ac:dyDescent="0.25"/>
  <cols>
    <col min="1" max="1" width="9.140625" style="3"/>
    <col min="2" max="2" width="31.5703125" style="3" customWidth="1"/>
    <col min="3" max="3" width="12.42578125" style="3" customWidth="1"/>
    <col min="4" max="4" width="10.140625" style="3" customWidth="1"/>
    <col min="5" max="7" width="9.140625" style="3"/>
    <col min="8" max="8" width="11.42578125" style="3" customWidth="1"/>
    <col min="9" max="9" width="19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786</v>
      </c>
      <c r="B6" s="2"/>
      <c r="C6" s="2"/>
      <c r="D6" s="2"/>
      <c r="E6" s="2"/>
      <c r="F6" s="1"/>
      <c r="G6" s="2"/>
      <c r="H6" s="2"/>
      <c r="I6" s="2"/>
    </row>
    <row r="7" spans="1:9" x14ac:dyDescent="0.25">
      <c r="A7" s="2" t="s">
        <v>787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788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9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2">
        <v>1</v>
      </c>
      <c r="B18" s="85" t="s">
        <v>323</v>
      </c>
      <c r="C18" s="12">
        <v>7.97</v>
      </c>
      <c r="D18" s="17">
        <v>8256.18</v>
      </c>
      <c r="E18" s="14">
        <v>256755.48</v>
      </c>
      <c r="F18" s="15">
        <v>264838.58</v>
      </c>
      <c r="G18" s="17">
        <f t="shared" ref="G18:G24" si="0">E18</f>
        <v>256755.48</v>
      </c>
      <c r="H18" s="13">
        <f>D18+F18-G18</f>
        <v>16339.279999999999</v>
      </c>
      <c r="I18" s="17"/>
    </row>
    <row r="19" spans="1:9" x14ac:dyDescent="0.25">
      <c r="A19" s="7" t="s">
        <v>36</v>
      </c>
      <c r="B19" s="62" t="s">
        <v>37</v>
      </c>
      <c r="C19" s="62">
        <v>2.62</v>
      </c>
      <c r="D19" s="54"/>
      <c r="E19" s="37">
        <f>E18*33%</f>
        <v>84729.308400000009</v>
      </c>
      <c r="F19" s="55">
        <f>F18*33%</f>
        <v>87396.731400000004</v>
      </c>
      <c r="G19" s="54">
        <f t="shared" si="0"/>
        <v>84729.308400000009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86">
        <f>E18*17%</f>
        <v>43648.431600000004</v>
      </c>
      <c r="F20" s="105">
        <f>F18*17/100</f>
        <v>45022.558600000004</v>
      </c>
      <c r="G20" s="22">
        <f t="shared" si="0"/>
        <v>43648.431600000004</v>
      </c>
      <c r="H20" s="30"/>
      <c r="I20" s="75"/>
    </row>
    <row r="21" spans="1:9" x14ac:dyDescent="0.25">
      <c r="A21" s="24" t="s">
        <v>40</v>
      </c>
      <c r="B21" s="6" t="s">
        <v>41</v>
      </c>
      <c r="C21" s="6">
        <v>1.63</v>
      </c>
      <c r="D21" s="75"/>
      <c r="E21" s="29">
        <f>E18*20/100</f>
        <v>51351.096000000005</v>
      </c>
      <c r="F21" s="105">
        <f>F18*20/100</f>
        <v>52967.716000000008</v>
      </c>
      <c r="G21" s="29">
        <f t="shared" si="0"/>
        <v>51351.096000000005</v>
      </c>
      <c r="H21" s="29"/>
      <c r="I21" s="75"/>
    </row>
    <row r="22" spans="1:9" x14ac:dyDescent="0.25">
      <c r="A22" s="36" t="s">
        <v>42</v>
      </c>
      <c r="B22" s="9" t="s">
        <v>43</v>
      </c>
      <c r="C22" s="6">
        <v>2.39</v>
      </c>
      <c r="D22" s="75"/>
      <c r="E22" s="40">
        <f>E18*30%</f>
        <v>77026.644</v>
      </c>
      <c r="F22" s="40">
        <f>F18*30%</f>
        <v>79451.574000000008</v>
      </c>
      <c r="G22" s="29">
        <f t="shared" si="0"/>
        <v>77026.644</v>
      </c>
      <c r="H22" s="29"/>
      <c r="I22" s="29"/>
    </row>
    <row r="23" spans="1:9" x14ac:dyDescent="0.25">
      <c r="A23" s="73" t="s">
        <v>44</v>
      </c>
      <c r="B23" s="62" t="s">
        <v>47</v>
      </c>
      <c r="C23" s="6">
        <v>0.75499000000000005</v>
      </c>
      <c r="D23" s="75"/>
      <c r="E23" s="62">
        <v>24701.7</v>
      </c>
      <c r="F23" s="74">
        <v>21820.080000000002</v>
      </c>
      <c r="G23" s="62">
        <f>E23</f>
        <v>24701.7</v>
      </c>
      <c r="H23" s="11">
        <f>F23-E23</f>
        <v>-2881.619999999999</v>
      </c>
      <c r="I23" s="85">
        <f>H23</f>
        <v>-2881.619999999999</v>
      </c>
    </row>
    <row r="24" spans="1:9" x14ac:dyDescent="0.25">
      <c r="A24" s="12" t="s">
        <v>48</v>
      </c>
      <c r="B24" s="12" t="s">
        <v>49</v>
      </c>
      <c r="C24" s="11" t="s">
        <v>50</v>
      </c>
      <c r="D24" s="43">
        <v>-6982.5</v>
      </c>
      <c r="E24" s="41">
        <v>109048.47</v>
      </c>
      <c r="F24" s="42">
        <v>102323.19</v>
      </c>
      <c r="G24" s="43">
        <f t="shared" si="0"/>
        <v>109048.47</v>
      </c>
      <c r="H24" s="223">
        <f>D24+F24-G24</f>
        <v>-13707.779999999999</v>
      </c>
      <c r="I24" s="43">
        <f>H24</f>
        <v>-13707.779999999999</v>
      </c>
    </row>
    <row r="25" spans="1:9" x14ac:dyDescent="0.25">
      <c r="A25" s="25" t="s">
        <v>51</v>
      </c>
      <c r="B25" s="12" t="s">
        <v>459</v>
      </c>
      <c r="C25" s="12">
        <v>1.82</v>
      </c>
      <c r="D25" s="16">
        <v>62193.69</v>
      </c>
      <c r="E25" s="12">
        <v>58631.64</v>
      </c>
      <c r="F25" s="12">
        <v>57626.6</v>
      </c>
      <c r="G25" s="12">
        <f>I55</f>
        <v>20764.78</v>
      </c>
      <c r="H25" s="16">
        <f>D25+F25-G25</f>
        <v>99055.510000000009</v>
      </c>
      <c r="I25" s="17"/>
    </row>
    <row r="26" spans="1:9" x14ac:dyDescent="0.25">
      <c r="A26" s="11" t="s">
        <v>55</v>
      </c>
      <c r="B26" s="11" t="s">
        <v>146</v>
      </c>
      <c r="C26" s="41"/>
      <c r="D26" s="43"/>
      <c r="E26" s="33"/>
      <c r="F26" s="43"/>
      <c r="G26" s="42"/>
      <c r="H26" s="43"/>
      <c r="I26" s="43"/>
    </row>
    <row r="27" spans="1:9" x14ac:dyDescent="0.25">
      <c r="A27" s="12"/>
      <c r="B27" s="12" t="s">
        <v>789</v>
      </c>
      <c r="C27" s="85">
        <v>0</v>
      </c>
      <c r="D27" s="17">
        <v>24455.63</v>
      </c>
      <c r="E27" s="14">
        <v>0</v>
      </c>
      <c r="F27" s="12">
        <v>0</v>
      </c>
      <c r="G27" s="15">
        <f>G28</f>
        <v>0</v>
      </c>
      <c r="H27" s="17">
        <f>D27+F27-G27</f>
        <v>24455.63</v>
      </c>
      <c r="I27" s="17"/>
    </row>
    <row r="28" spans="1:9" x14ac:dyDescent="0.25">
      <c r="A28" s="9"/>
      <c r="B28" s="9" t="s">
        <v>53</v>
      </c>
      <c r="C28" s="10">
        <v>0</v>
      </c>
      <c r="D28" s="54" t="s">
        <v>71</v>
      </c>
      <c r="E28" s="10">
        <v>0</v>
      </c>
      <c r="F28" s="9">
        <v>0</v>
      </c>
      <c r="G28" s="8">
        <f>I60</f>
        <v>0</v>
      </c>
      <c r="H28" s="54"/>
      <c r="I28" s="29"/>
    </row>
    <row r="29" spans="1:9" x14ac:dyDescent="0.25">
      <c r="A29" s="1" t="s">
        <v>58</v>
      </c>
      <c r="B29" s="1"/>
      <c r="C29" s="1"/>
      <c r="D29" s="47"/>
      <c r="E29" s="1"/>
      <c r="F29" s="2"/>
      <c r="G29" s="2"/>
      <c r="H29" s="2"/>
      <c r="I29" s="2"/>
    </row>
    <row r="30" spans="1:9" x14ac:dyDescent="0.25">
      <c r="A30" s="25" t="s">
        <v>59</v>
      </c>
      <c r="B30" s="58" t="s">
        <v>60</v>
      </c>
      <c r="C30" s="6" t="s">
        <v>375</v>
      </c>
      <c r="D30" s="49" t="s">
        <v>790</v>
      </c>
      <c r="E30" s="58" t="s">
        <v>63</v>
      </c>
      <c r="F30" s="6" t="s">
        <v>61</v>
      </c>
      <c r="G30" s="6"/>
      <c r="H30" s="58" t="s">
        <v>199</v>
      </c>
      <c r="I30" s="49"/>
    </row>
    <row r="31" spans="1:9" x14ac:dyDescent="0.25">
      <c r="A31" s="7"/>
      <c r="B31" s="60"/>
      <c r="C31" s="62" t="s">
        <v>66</v>
      </c>
      <c r="D31" s="53" t="s">
        <v>23</v>
      </c>
      <c r="E31" s="74" t="s">
        <v>312</v>
      </c>
      <c r="F31" s="62" t="s">
        <v>30</v>
      </c>
      <c r="G31" s="62"/>
      <c r="H31" s="74"/>
      <c r="I31" s="53"/>
    </row>
    <row r="32" spans="1:9" x14ac:dyDescent="0.25">
      <c r="A32" s="12"/>
      <c r="B32" s="74" t="s">
        <v>68</v>
      </c>
      <c r="C32" s="54">
        <v>15096.47</v>
      </c>
      <c r="D32" s="53">
        <v>5553</v>
      </c>
      <c r="E32" s="79">
        <f>D32*15%</f>
        <v>832.94999999999993</v>
      </c>
      <c r="F32" s="54">
        <f>C32+(D32-E32)</f>
        <v>19816.52</v>
      </c>
      <c r="G32" s="54"/>
      <c r="H32" s="79">
        <f>F32</f>
        <v>19816.52</v>
      </c>
      <c r="I32" s="53"/>
    </row>
    <row r="33" spans="1:9" x14ac:dyDescent="0.25">
      <c r="A33" s="5" t="s">
        <v>69</v>
      </c>
      <c r="B33" s="5"/>
      <c r="C33" s="5"/>
      <c r="D33" s="56"/>
      <c r="E33" s="5"/>
      <c r="F33" s="5"/>
      <c r="G33" s="5"/>
      <c r="H33" s="5"/>
      <c r="I33" s="5"/>
    </row>
    <row r="34" spans="1:9" x14ac:dyDescent="0.25">
      <c r="A34" s="1" t="s">
        <v>70</v>
      </c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6" t="s">
        <v>71</v>
      </c>
      <c r="B35" s="57" t="s">
        <v>72</v>
      </c>
      <c r="C35" s="6" t="s">
        <v>73</v>
      </c>
      <c r="D35" s="58" t="s">
        <v>74</v>
      </c>
      <c r="E35" s="6" t="s">
        <v>75</v>
      </c>
      <c r="F35" s="58" t="s">
        <v>76</v>
      </c>
      <c r="G35" s="6" t="s">
        <v>77</v>
      </c>
      <c r="H35" s="58" t="s">
        <v>78</v>
      </c>
      <c r="I35" s="6" t="s">
        <v>19</v>
      </c>
    </row>
    <row r="36" spans="1:9" x14ac:dyDescent="0.25">
      <c r="A36" s="60"/>
      <c r="B36" s="5" t="s">
        <v>79</v>
      </c>
      <c r="C36" s="60" t="s">
        <v>80</v>
      </c>
      <c r="D36" s="60" t="s">
        <v>81</v>
      </c>
      <c r="E36" s="60" t="s">
        <v>82</v>
      </c>
      <c r="F36" s="60" t="s">
        <v>83</v>
      </c>
      <c r="G36" s="60" t="s">
        <v>84</v>
      </c>
      <c r="H36" s="60" t="s">
        <v>85</v>
      </c>
      <c r="I36" s="60" t="s">
        <v>86</v>
      </c>
    </row>
    <row r="37" spans="1:9" x14ac:dyDescent="0.25">
      <c r="A37" s="62"/>
      <c r="B37" s="52"/>
      <c r="C37" s="62"/>
      <c r="D37" s="74"/>
      <c r="E37" s="62"/>
      <c r="F37" s="74" t="s">
        <v>87</v>
      </c>
      <c r="G37" s="62" t="s">
        <v>88</v>
      </c>
      <c r="H37" s="74"/>
      <c r="I37" s="62" t="s">
        <v>239</v>
      </c>
    </row>
    <row r="38" spans="1:9" x14ac:dyDescent="0.25">
      <c r="A38" s="9">
        <v>1</v>
      </c>
      <c r="B38" s="9" t="s">
        <v>90</v>
      </c>
      <c r="C38" s="42" t="s">
        <v>91</v>
      </c>
      <c r="D38" s="9">
        <v>-10310.09</v>
      </c>
      <c r="E38" s="95">
        <v>208637.97</v>
      </c>
      <c r="F38" s="8">
        <v>201907.29</v>
      </c>
      <c r="G38" s="9">
        <f>E38</f>
        <v>208637.97</v>
      </c>
      <c r="H38" s="9">
        <f>D38+F38-G38</f>
        <v>-17040.76999999999</v>
      </c>
      <c r="I38" s="49">
        <f>H38</f>
        <v>-17040.76999999999</v>
      </c>
    </row>
    <row r="39" spans="1:9" x14ac:dyDescent="0.25">
      <c r="A39" s="9"/>
      <c r="B39" s="9" t="s">
        <v>92</v>
      </c>
      <c r="C39" s="41" t="s">
        <v>93</v>
      </c>
      <c r="D39" s="62"/>
      <c r="E39" s="65"/>
      <c r="F39" s="8"/>
      <c r="G39" s="62"/>
      <c r="H39" s="62"/>
      <c r="I39" s="49"/>
    </row>
    <row r="40" spans="1:9" x14ac:dyDescent="0.25">
      <c r="A40" s="9">
        <v>2</v>
      </c>
      <c r="B40" s="9" t="s">
        <v>791</v>
      </c>
      <c r="C40" s="41" t="s">
        <v>95</v>
      </c>
      <c r="D40" s="62">
        <v>-94947.06</v>
      </c>
      <c r="E40" s="65">
        <v>388216.4</v>
      </c>
      <c r="F40" s="8">
        <v>375587.61</v>
      </c>
      <c r="G40" s="62">
        <f>E40</f>
        <v>388216.4</v>
      </c>
      <c r="H40" s="62">
        <f>D40+F40-G40</f>
        <v>-107575.85000000003</v>
      </c>
      <c r="I40" s="9">
        <f>H40</f>
        <v>-107575.85000000003</v>
      </c>
    </row>
    <row r="41" spans="1:9" x14ac:dyDescent="0.25">
      <c r="A41" s="9"/>
      <c r="B41" s="9" t="s">
        <v>313</v>
      </c>
      <c r="C41" s="41" t="s">
        <v>93</v>
      </c>
      <c r="D41" s="62"/>
      <c r="E41" s="65"/>
      <c r="F41" s="8"/>
      <c r="G41" s="62"/>
      <c r="H41" s="62"/>
      <c r="I41" s="50"/>
    </row>
    <row r="42" spans="1:9" x14ac:dyDescent="0.25">
      <c r="A42" s="9">
        <v>3</v>
      </c>
      <c r="B42" s="9" t="s">
        <v>98</v>
      </c>
      <c r="C42" s="41" t="s">
        <v>203</v>
      </c>
      <c r="D42" s="62">
        <v>-227116.84</v>
      </c>
      <c r="E42" s="10">
        <v>942169.8</v>
      </c>
      <c r="F42" s="8">
        <v>919677.52</v>
      </c>
      <c r="G42" s="62">
        <f>E42</f>
        <v>942169.8</v>
      </c>
      <c r="H42" s="62">
        <f>D42+F42-G42</f>
        <v>-249609.12</v>
      </c>
      <c r="I42" s="50">
        <f xml:space="preserve"> H42</f>
        <v>-249609.12</v>
      </c>
    </row>
    <row r="43" spans="1:9" x14ac:dyDescent="0.25">
      <c r="A43" s="60"/>
      <c r="B43" s="60"/>
      <c r="C43" s="60"/>
      <c r="D43" s="60"/>
      <c r="E43" s="60" t="s">
        <v>71</v>
      </c>
      <c r="F43" s="60"/>
      <c r="G43" s="60"/>
      <c r="H43" s="60"/>
      <c r="I43" s="60"/>
    </row>
    <row r="44" spans="1:9" x14ac:dyDescent="0.25">
      <c r="A44" s="1" t="s">
        <v>100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5" t="s">
        <v>101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8" t="s">
        <v>12</v>
      </c>
      <c r="B46" s="6" t="s">
        <v>102</v>
      </c>
      <c r="C46" s="58" t="s">
        <v>103</v>
      </c>
      <c r="D46" s="58"/>
      <c r="E46" s="58"/>
      <c r="F46" s="48" t="s">
        <v>398</v>
      </c>
      <c r="G46" s="58"/>
      <c r="H46" s="49"/>
      <c r="I46" s="6" t="s">
        <v>105</v>
      </c>
    </row>
    <row r="47" spans="1:9" x14ac:dyDescent="0.25">
      <c r="A47" s="51" t="s">
        <v>106</v>
      </c>
      <c r="B47" s="7"/>
      <c r="C47" s="60"/>
      <c r="D47" s="60"/>
      <c r="E47" s="60"/>
      <c r="F47" s="51" t="s">
        <v>763</v>
      </c>
      <c r="G47" s="60"/>
      <c r="H47" s="61"/>
      <c r="I47" s="7" t="s">
        <v>108</v>
      </c>
    </row>
    <row r="48" spans="1:9" x14ac:dyDescent="0.25">
      <c r="A48" s="51"/>
      <c r="B48" s="62"/>
      <c r="C48" s="60"/>
      <c r="D48" s="60"/>
      <c r="E48" s="60"/>
      <c r="F48" s="51" t="s">
        <v>258</v>
      </c>
      <c r="G48" s="60"/>
      <c r="H48" s="61"/>
      <c r="I48" s="7"/>
    </row>
    <row r="49" spans="1:9" x14ac:dyDescent="0.25">
      <c r="A49" s="67" t="s">
        <v>110</v>
      </c>
      <c r="B49" s="25"/>
      <c r="C49" s="68" t="s">
        <v>111</v>
      </c>
      <c r="D49" s="68"/>
      <c r="E49" s="68"/>
      <c r="F49" s="48"/>
      <c r="G49" s="58"/>
      <c r="H49" s="58"/>
      <c r="I49" s="6"/>
    </row>
    <row r="50" spans="1:9" x14ac:dyDescent="0.25">
      <c r="A50" s="69"/>
      <c r="B50" s="7"/>
      <c r="C50" s="60" t="s">
        <v>112</v>
      </c>
      <c r="D50" s="60"/>
      <c r="E50" s="60"/>
      <c r="F50" s="51" t="s">
        <v>71</v>
      </c>
      <c r="G50" s="37"/>
      <c r="H50" s="60" t="s">
        <v>71</v>
      </c>
      <c r="I50" s="7" t="s">
        <v>71</v>
      </c>
    </row>
    <row r="51" spans="1:9" x14ac:dyDescent="0.25">
      <c r="A51" s="69" t="s">
        <v>113</v>
      </c>
      <c r="B51" s="70">
        <v>42794</v>
      </c>
      <c r="C51" s="70" t="s">
        <v>792</v>
      </c>
      <c r="D51" s="70"/>
      <c r="E51" s="70"/>
      <c r="F51" s="51"/>
      <c r="G51" s="37">
        <f>I51/2684.6</f>
        <v>2.128492140356105</v>
      </c>
      <c r="H51" s="60"/>
      <c r="I51" s="7">
        <v>5714.15</v>
      </c>
    </row>
    <row r="52" spans="1:9" x14ac:dyDescent="0.25">
      <c r="A52" s="69" t="s">
        <v>38</v>
      </c>
      <c r="B52" s="70">
        <v>42947</v>
      </c>
      <c r="C52" s="60" t="s">
        <v>793</v>
      </c>
      <c r="D52" s="60"/>
      <c r="E52" s="60"/>
      <c r="F52" s="51"/>
      <c r="G52" s="37">
        <f>I52/2684.6</f>
        <v>2.3220926767488641</v>
      </c>
      <c r="H52" s="60"/>
      <c r="I52" s="7">
        <v>6233.89</v>
      </c>
    </row>
    <row r="53" spans="1:9" x14ac:dyDescent="0.25">
      <c r="A53" s="69" t="s">
        <v>40</v>
      </c>
      <c r="B53" s="70">
        <v>43069</v>
      </c>
      <c r="C53" s="60" t="s">
        <v>794</v>
      </c>
      <c r="D53" s="60"/>
      <c r="E53" s="60"/>
      <c r="F53" s="51"/>
      <c r="G53" s="37">
        <f>I53/2684.6</f>
        <v>1.5338113685465247</v>
      </c>
      <c r="H53" s="60"/>
      <c r="I53" s="7">
        <v>4117.67</v>
      </c>
    </row>
    <row r="54" spans="1:9" x14ac:dyDescent="0.25">
      <c r="A54" s="69" t="s">
        <v>42</v>
      </c>
      <c r="B54" s="70">
        <v>43069</v>
      </c>
      <c r="C54" s="60" t="s">
        <v>795</v>
      </c>
      <c r="D54" s="60"/>
      <c r="E54" s="60"/>
      <c r="F54" s="51"/>
      <c r="G54" s="37">
        <f>I54/2684.6</f>
        <v>1.7503799448707442</v>
      </c>
      <c r="H54" s="60"/>
      <c r="I54" s="7">
        <v>4699.07</v>
      </c>
    </row>
    <row r="55" spans="1:9" x14ac:dyDescent="0.25">
      <c r="A55" s="73"/>
      <c r="B55" s="62"/>
      <c r="C55" s="14" t="s">
        <v>118</v>
      </c>
      <c r="D55" s="14"/>
      <c r="E55" s="14"/>
      <c r="F55" s="15"/>
      <c r="G55" s="20">
        <f>SUM(G50:G54)</f>
        <v>7.7347761305222384</v>
      </c>
      <c r="H55" s="14"/>
      <c r="I55" s="12">
        <f>SUM(I51:I54)</f>
        <v>20764.78</v>
      </c>
    </row>
    <row r="56" spans="1:9" x14ac:dyDescent="0.25">
      <c r="A56" s="6"/>
      <c r="B56" s="6"/>
      <c r="C56" s="48"/>
      <c r="D56" s="58"/>
      <c r="E56" s="58"/>
      <c r="F56" s="48"/>
      <c r="G56" s="58"/>
      <c r="H56" s="49"/>
    </row>
    <row r="57" spans="1:9" x14ac:dyDescent="0.25">
      <c r="A57" s="6" t="s">
        <v>48</v>
      </c>
      <c r="B57" s="25" t="s">
        <v>119</v>
      </c>
      <c r="C57" s="57" t="s">
        <v>120</v>
      </c>
      <c r="D57" s="58"/>
      <c r="E57" s="58"/>
      <c r="F57" s="48" t="s">
        <v>121</v>
      </c>
      <c r="G57" s="86"/>
      <c r="H57" s="49"/>
      <c r="I57" s="6"/>
    </row>
    <row r="58" spans="1:9" x14ac:dyDescent="0.25">
      <c r="A58" s="69" t="s">
        <v>182</v>
      </c>
      <c r="B58" s="70"/>
      <c r="C58" s="51"/>
      <c r="D58" s="60"/>
      <c r="E58" s="60"/>
      <c r="F58" s="51"/>
      <c r="G58" s="37">
        <f>I58/2684.6</f>
        <v>0</v>
      </c>
      <c r="H58" s="61"/>
      <c r="I58" s="7"/>
    </row>
    <row r="59" spans="1:9" x14ac:dyDescent="0.25">
      <c r="A59" s="69" t="s">
        <v>796</v>
      </c>
      <c r="B59" s="70"/>
      <c r="C59" s="51"/>
      <c r="D59" s="60"/>
      <c r="E59" s="60"/>
      <c r="F59" s="51"/>
      <c r="G59" s="37">
        <f>I59/2684.6</f>
        <v>0</v>
      </c>
      <c r="H59" s="61"/>
      <c r="I59" s="7"/>
    </row>
    <row r="60" spans="1:9" x14ac:dyDescent="0.25">
      <c r="A60" s="73"/>
      <c r="B60" s="62" t="s">
        <v>119</v>
      </c>
      <c r="C60" s="52" t="s">
        <v>118</v>
      </c>
      <c r="D60" s="74"/>
      <c r="E60" s="74"/>
      <c r="F60" s="52" t="s">
        <v>71</v>
      </c>
      <c r="G60" s="78">
        <f>SUM(G58:G59)</f>
        <v>0</v>
      </c>
      <c r="H60" s="85"/>
      <c r="I60" s="12">
        <f>SUM(I58:I59)</f>
        <v>0</v>
      </c>
    </row>
    <row r="61" spans="1:9" x14ac:dyDescent="0.25">
      <c r="A61" s="2" t="s">
        <v>514</v>
      </c>
      <c r="B61" s="2"/>
      <c r="C61" s="2" t="s">
        <v>123</v>
      </c>
      <c r="D61" s="2"/>
      <c r="E61" s="2" t="s">
        <v>124</v>
      </c>
      <c r="F61" s="2"/>
      <c r="G61" s="2" t="s">
        <v>125</v>
      </c>
      <c r="I61" s="2" t="s">
        <v>126</v>
      </c>
    </row>
    <row r="62" spans="1:9" x14ac:dyDescent="0.25">
      <c r="A62" s="2"/>
      <c r="B6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4" zoomScale="110" zoomScaleNormal="110" workbookViewId="0">
      <selection activeCell="B10" sqref="B10"/>
    </sheetView>
  </sheetViews>
  <sheetFormatPr defaultRowHeight="15" x14ac:dyDescent="0.25"/>
  <cols>
    <col min="1" max="1" width="5.28515625" style="3" customWidth="1"/>
    <col min="2" max="2" width="32.140625" style="3" customWidth="1"/>
    <col min="3" max="3" width="13.5703125" style="3" customWidth="1"/>
    <col min="4" max="4" width="12.140625" style="3" customWidth="1"/>
    <col min="5" max="5" width="13" style="3" customWidth="1"/>
    <col min="6" max="6" width="12.7109375" style="3" customWidth="1"/>
    <col min="7" max="7" width="11.7109375" style="3" customWidth="1"/>
    <col min="8" max="8" width="11.42578125" style="3" customWidth="1"/>
    <col min="9" max="9" width="17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229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230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231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233</v>
      </c>
    </row>
    <row r="15" spans="1:9" x14ac:dyDescent="0.25">
      <c r="A15" s="7"/>
      <c r="B15" s="7"/>
      <c r="C15" s="7" t="s">
        <v>27</v>
      </c>
      <c r="D15" s="7" t="s">
        <v>234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157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6">
        <v>9</v>
      </c>
    </row>
    <row r="18" spans="1:9" x14ac:dyDescent="0.25">
      <c r="A18" s="57">
        <v>1</v>
      </c>
      <c r="B18" s="25" t="s">
        <v>191</v>
      </c>
      <c r="C18" s="68" t="s">
        <v>71</v>
      </c>
      <c r="D18" s="57"/>
      <c r="E18" s="45" t="s">
        <v>71</v>
      </c>
      <c r="F18" s="25" t="s">
        <v>71</v>
      </c>
      <c r="G18" s="57"/>
      <c r="H18" s="57" t="s">
        <v>71</v>
      </c>
      <c r="I18" s="45" t="s">
        <v>71</v>
      </c>
    </row>
    <row r="19" spans="1:9" x14ac:dyDescent="0.25">
      <c r="A19" s="15"/>
      <c r="B19" s="12" t="s">
        <v>192</v>
      </c>
      <c r="C19" s="78">
        <v>7.56</v>
      </c>
      <c r="D19" s="16">
        <v>-9123.27</v>
      </c>
      <c r="E19" s="17">
        <v>76498.070000000007</v>
      </c>
      <c r="F19" s="17">
        <v>77673.64</v>
      </c>
      <c r="G19" s="16">
        <f>E19</f>
        <v>76498.070000000007</v>
      </c>
      <c r="H19" s="16">
        <f>D19+F19-G19</f>
        <v>-7947.7000000000116</v>
      </c>
      <c r="I19" s="17">
        <f>H19</f>
        <v>-7947.7000000000116</v>
      </c>
    </row>
    <row r="20" spans="1:9" x14ac:dyDescent="0.25">
      <c r="A20" s="104" t="s">
        <v>113</v>
      </c>
      <c r="B20" s="18" t="s">
        <v>37</v>
      </c>
      <c r="C20" s="20">
        <v>2.62</v>
      </c>
      <c r="D20" s="21"/>
      <c r="E20" s="44">
        <f>E19*34.5%</f>
        <v>26391.834149999999</v>
      </c>
      <c r="F20" s="44">
        <f>F19*34.5%</f>
        <v>26797.405799999997</v>
      </c>
      <c r="G20" s="20">
        <f t="shared" ref="G20:G23" si="0">E20</f>
        <v>26391.834149999999</v>
      </c>
      <c r="H20" s="38"/>
      <c r="I20" s="22"/>
    </row>
    <row r="21" spans="1:9" x14ac:dyDescent="0.25">
      <c r="A21" s="31" t="s">
        <v>38</v>
      </c>
      <c r="B21" s="25" t="s">
        <v>39</v>
      </c>
      <c r="C21" s="27">
        <v>1.33</v>
      </c>
      <c r="D21" s="28"/>
      <c r="E21" s="45">
        <f>E19*0.18</f>
        <v>13769.652600000001</v>
      </c>
      <c r="F21" s="45">
        <f>F19*18%</f>
        <v>13981.2552</v>
      </c>
      <c r="G21" s="28">
        <f t="shared" si="0"/>
        <v>13769.652600000001</v>
      </c>
      <c r="H21" s="105"/>
      <c r="I21" s="75"/>
    </row>
    <row r="22" spans="1:9" x14ac:dyDescent="0.25">
      <c r="A22" s="31" t="s">
        <v>40</v>
      </c>
      <c r="B22" s="25" t="s">
        <v>41</v>
      </c>
      <c r="C22" s="27">
        <v>1.22</v>
      </c>
      <c r="D22" s="28"/>
      <c r="E22" s="45">
        <f xml:space="preserve"> E19*16%</f>
        <v>12239.691200000001</v>
      </c>
      <c r="F22" s="45">
        <f>F19*16%</f>
        <v>12427.7824</v>
      </c>
      <c r="G22" s="27">
        <f t="shared" si="0"/>
        <v>12239.691200000001</v>
      </c>
      <c r="H22" s="105"/>
      <c r="I22" s="75"/>
    </row>
    <row r="23" spans="1:9" x14ac:dyDescent="0.25">
      <c r="A23" s="31" t="s">
        <v>42</v>
      </c>
      <c r="B23" s="25" t="s">
        <v>43</v>
      </c>
      <c r="C23" s="27">
        <v>2.39</v>
      </c>
      <c r="D23" s="28"/>
      <c r="E23" s="45">
        <f>E19*31.5%</f>
        <v>24096.892050000002</v>
      </c>
      <c r="F23" s="45">
        <f>F19*31.5%</f>
        <v>24467.196599999999</v>
      </c>
      <c r="G23" s="28">
        <f t="shared" si="0"/>
        <v>24096.892050000002</v>
      </c>
      <c r="H23" s="105"/>
      <c r="I23" s="29"/>
    </row>
    <row r="24" spans="1:9" x14ac:dyDescent="0.25">
      <c r="A24" s="24" t="s">
        <v>44</v>
      </c>
      <c r="B24" s="6" t="s">
        <v>47</v>
      </c>
      <c r="C24" s="106">
        <v>0.58255000000000001</v>
      </c>
      <c r="D24" s="105"/>
      <c r="E24" s="9">
        <v>12816.5</v>
      </c>
      <c r="F24" s="6">
        <v>12137.07</v>
      </c>
      <c r="G24" s="58">
        <f>E24</f>
        <v>12816.5</v>
      </c>
      <c r="H24" s="6">
        <f>F24-E24</f>
        <v>-679.43000000000029</v>
      </c>
      <c r="I24" s="9">
        <f>H24</f>
        <v>-679.43000000000029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2">
        <v>-2070.1799999999998</v>
      </c>
      <c r="E25" s="11">
        <v>34144.92</v>
      </c>
      <c r="F25" s="11">
        <v>33025.99</v>
      </c>
      <c r="G25" s="41">
        <f>E25</f>
        <v>34144.92</v>
      </c>
      <c r="H25" s="42">
        <f>D25+F25-G25</f>
        <v>-3189.1100000000006</v>
      </c>
      <c r="I25" s="44">
        <f>H25</f>
        <v>-3189.1100000000006</v>
      </c>
    </row>
    <row r="26" spans="1:9" x14ac:dyDescent="0.25">
      <c r="A26" s="25" t="s">
        <v>51</v>
      </c>
      <c r="B26" s="25" t="s">
        <v>216</v>
      </c>
      <c r="C26" s="25"/>
      <c r="D26" s="28"/>
      <c r="E26" s="45"/>
      <c r="F26" s="45"/>
      <c r="G26" s="45"/>
      <c r="H26" s="28"/>
      <c r="I26" s="45"/>
    </row>
    <row r="27" spans="1:9" x14ac:dyDescent="0.25">
      <c r="A27" s="12"/>
      <c r="B27" s="12" t="s">
        <v>217</v>
      </c>
      <c r="C27" s="12">
        <v>1.65</v>
      </c>
      <c r="D27" s="15">
        <v>11764.12</v>
      </c>
      <c r="E27" s="12">
        <v>16644.48</v>
      </c>
      <c r="F27" s="12">
        <f>F28+F30</f>
        <v>14125.670000000002</v>
      </c>
      <c r="G27" s="12">
        <f>I56</f>
        <v>10400</v>
      </c>
      <c r="H27" s="15">
        <f>D27+F27-G27</f>
        <v>15489.79</v>
      </c>
      <c r="I27" s="17"/>
    </row>
    <row r="28" spans="1:9" x14ac:dyDescent="0.25">
      <c r="A28" s="12"/>
      <c r="B28" s="9" t="s">
        <v>235</v>
      </c>
      <c r="C28" s="14"/>
      <c r="D28" s="15"/>
      <c r="E28" s="12"/>
      <c r="F28" s="12">
        <v>16894.72</v>
      </c>
      <c r="G28" s="12"/>
      <c r="H28" s="15"/>
      <c r="I28" s="17"/>
    </row>
    <row r="29" spans="1:9" x14ac:dyDescent="0.25">
      <c r="A29" s="11"/>
      <c r="B29" s="12" t="s">
        <v>236</v>
      </c>
      <c r="C29" s="14"/>
      <c r="D29" s="15"/>
      <c r="E29" s="12"/>
      <c r="F29" s="12"/>
      <c r="G29" s="12"/>
      <c r="H29" s="15"/>
      <c r="I29" s="17"/>
    </row>
    <row r="30" spans="1:9" x14ac:dyDescent="0.25">
      <c r="A30" s="18"/>
      <c r="B30" s="12" t="s">
        <v>237</v>
      </c>
      <c r="C30" s="14"/>
      <c r="D30" s="15"/>
      <c r="E30" s="18"/>
      <c r="F30" s="12">
        <v>-2769.05</v>
      </c>
      <c r="G30" s="12"/>
      <c r="H30" s="15"/>
      <c r="I30" s="17"/>
    </row>
    <row r="31" spans="1:9" x14ac:dyDescent="0.25">
      <c r="A31" s="11" t="s">
        <v>55</v>
      </c>
      <c r="B31" s="11" t="s">
        <v>146</v>
      </c>
      <c r="C31" s="41"/>
      <c r="D31" s="42" t="s">
        <v>71</v>
      </c>
      <c r="E31" s="11"/>
      <c r="F31" s="11"/>
      <c r="G31" s="11"/>
      <c r="H31" s="42" t="s">
        <v>71</v>
      </c>
      <c r="I31" s="43"/>
    </row>
    <row r="32" spans="1:9" x14ac:dyDescent="0.25">
      <c r="A32" s="12"/>
      <c r="B32" s="12" t="s">
        <v>238</v>
      </c>
      <c r="C32" s="14">
        <v>0</v>
      </c>
      <c r="D32" s="15">
        <v>-2769.05</v>
      </c>
      <c r="E32" s="12">
        <v>0</v>
      </c>
      <c r="F32" s="12">
        <f>F33</f>
        <v>2769.05</v>
      </c>
      <c r="G32" s="12">
        <f>G33</f>
        <v>0</v>
      </c>
      <c r="H32" s="15">
        <f>D32+F32-G32</f>
        <v>0</v>
      </c>
      <c r="I32" s="43">
        <f>H32</f>
        <v>0</v>
      </c>
    </row>
    <row r="33" spans="1:9" x14ac:dyDescent="0.25">
      <c r="A33" s="9"/>
      <c r="B33" s="9" t="s">
        <v>235</v>
      </c>
      <c r="C33" s="10"/>
      <c r="D33" s="8"/>
      <c r="E33" s="9">
        <v>0</v>
      </c>
      <c r="F33" s="9">
        <v>2769.05</v>
      </c>
      <c r="G33" s="9">
        <v>0</v>
      </c>
      <c r="H33" s="8"/>
      <c r="I33" s="29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5" t="s">
        <v>69</v>
      </c>
    </row>
    <row r="37" spans="1:9" x14ac:dyDescent="0.25">
      <c r="A37" s="1" t="s">
        <v>70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6" t="s">
        <v>71</v>
      </c>
      <c r="B38" s="68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48" t="s">
        <v>77</v>
      </c>
      <c r="H38" s="75" t="s">
        <v>15</v>
      </c>
      <c r="I38" s="49" t="s">
        <v>19</v>
      </c>
    </row>
    <row r="39" spans="1:9" x14ac:dyDescent="0.25">
      <c r="A39" s="7"/>
      <c r="B39" s="5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51" t="s">
        <v>84</v>
      </c>
      <c r="H39" s="22" t="s">
        <v>25</v>
      </c>
      <c r="I39" s="61" t="s">
        <v>86</v>
      </c>
    </row>
    <row r="40" spans="1:9" x14ac:dyDescent="0.25">
      <c r="A40" s="7"/>
      <c r="B40" s="60"/>
      <c r="C40" s="7"/>
      <c r="D40" s="60"/>
      <c r="E40" s="7"/>
      <c r="F40" s="60" t="s">
        <v>87</v>
      </c>
      <c r="G40" s="51" t="s">
        <v>88</v>
      </c>
      <c r="H40" s="22" t="s">
        <v>30</v>
      </c>
      <c r="I40" s="61" t="s">
        <v>239</v>
      </c>
    </row>
    <row r="41" spans="1:9" x14ac:dyDescent="0.25">
      <c r="A41" s="62"/>
      <c r="B41" s="74"/>
      <c r="C41" s="62"/>
      <c r="D41" s="74"/>
      <c r="E41" s="62"/>
      <c r="F41" s="74"/>
      <c r="G41" s="52"/>
      <c r="H41" s="54"/>
      <c r="I41" s="53" t="s">
        <v>240</v>
      </c>
    </row>
    <row r="42" spans="1:9" x14ac:dyDescent="0.25">
      <c r="A42" s="6"/>
      <c r="B42" s="6"/>
      <c r="C42" s="68"/>
      <c r="D42" s="6"/>
      <c r="E42" s="58"/>
      <c r="F42" s="6"/>
      <c r="G42" s="58"/>
      <c r="H42" s="6"/>
      <c r="I42" s="49"/>
    </row>
    <row r="43" spans="1:9" x14ac:dyDescent="0.25">
      <c r="A43" s="9">
        <v>1</v>
      </c>
      <c r="B43" s="9" t="s">
        <v>90</v>
      </c>
      <c r="C43" s="41" t="s">
        <v>91</v>
      </c>
      <c r="D43" s="9">
        <v>-8468.89</v>
      </c>
      <c r="E43" s="65">
        <v>72238.64</v>
      </c>
      <c r="F43" s="9">
        <v>70566.8</v>
      </c>
      <c r="G43" s="65">
        <f>E43</f>
        <v>72238.64</v>
      </c>
      <c r="H43" s="9">
        <f>D43+F43-G43</f>
        <v>-10140.729999999996</v>
      </c>
      <c r="I43" s="9">
        <f>H43</f>
        <v>-10140.729999999996</v>
      </c>
    </row>
    <row r="44" spans="1:9" x14ac:dyDescent="0.25">
      <c r="A44" s="9"/>
      <c r="B44" s="10" t="s">
        <v>92</v>
      </c>
      <c r="C44" s="8" t="s">
        <v>93</v>
      </c>
      <c r="D44" s="8"/>
      <c r="E44" s="9"/>
      <c r="F44" s="10"/>
      <c r="G44" s="9"/>
      <c r="H44" s="50"/>
      <c r="I44" s="50"/>
    </row>
    <row r="45" spans="1:9" x14ac:dyDescent="0.25">
      <c r="A45" s="2"/>
      <c r="B45" s="2" t="s">
        <v>71</v>
      </c>
      <c r="C45" s="2"/>
      <c r="D45" s="2"/>
      <c r="E45" s="2"/>
      <c r="F45" s="2" t="s">
        <v>71</v>
      </c>
      <c r="G45" s="2"/>
      <c r="H45" s="2"/>
      <c r="I45" s="2"/>
    </row>
    <row r="46" spans="1:9" x14ac:dyDescent="0.25">
      <c r="A46" s="1" t="s">
        <v>219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5" t="s">
        <v>220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8" t="s">
        <v>12</v>
      </c>
      <c r="B48" s="6" t="s">
        <v>102</v>
      </c>
      <c r="C48" s="58" t="s">
        <v>103</v>
      </c>
      <c r="D48" s="58"/>
      <c r="E48" s="58"/>
      <c r="F48" s="48" t="s">
        <v>222</v>
      </c>
      <c r="G48" s="58"/>
      <c r="H48" s="49"/>
      <c r="I48" s="6" t="s">
        <v>105</v>
      </c>
    </row>
    <row r="49" spans="1:9" x14ac:dyDescent="0.25">
      <c r="A49" s="51" t="s">
        <v>106</v>
      </c>
      <c r="B49" s="7"/>
      <c r="C49" s="60"/>
      <c r="D49" s="60"/>
      <c r="E49" s="60"/>
      <c r="F49" s="51" t="s">
        <v>224</v>
      </c>
      <c r="G49" s="60"/>
      <c r="H49" s="61"/>
      <c r="I49" s="7" t="s">
        <v>108</v>
      </c>
    </row>
    <row r="50" spans="1:9" x14ac:dyDescent="0.25">
      <c r="A50" s="51"/>
      <c r="B50" s="7"/>
      <c r="C50" s="60"/>
      <c r="D50" s="60"/>
      <c r="E50" s="60"/>
      <c r="F50" s="51" t="s">
        <v>225</v>
      </c>
      <c r="G50" s="60"/>
      <c r="H50" s="61"/>
      <c r="I50" s="7"/>
    </row>
    <row r="51" spans="1:9" x14ac:dyDescent="0.25">
      <c r="A51" s="51"/>
      <c r="B51" s="62"/>
      <c r="C51" s="60"/>
      <c r="D51" s="60"/>
      <c r="E51" s="60"/>
      <c r="F51" s="51" t="s">
        <v>226</v>
      </c>
      <c r="G51" s="60"/>
      <c r="H51" s="61"/>
      <c r="I51" s="7"/>
    </row>
    <row r="52" spans="1:9" x14ac:dyDescent="0.25">
      <c r="A52" s="67" t="s">
        <v>110</v>
      </c>
      <c r="B52" s="25"/>
      <c r="C52" s="68" t="s">
        <v>111</v>
      </c>
      <c r="D52" s="68"/>
      <c r="E52" s="68"/>
      <c r="F52" s="48"/>
      <c r="G52" s="58"/>
      <c r="H52" s="49"/>
      <c r="I52" s="6"/>
    </row>
    <row r="53" spans="1:9" x14ac:dyDescent="0.25">
      <c r="A53" s="69"/>
      <c r="B53" s="7"/>
      <c r="C53" s="60" t="s">
        <v>112</v>
      </c>
      <c r="D53" s="60"/>
      <c r="E53" s="60"/>
      <c r="F53" s="51" t="s">
        <v>71</v>
      </c>
      <c r="G53" s="37"/>
      <c r="H53" s="61" t="s">
        <v>71</v>
      </c>
      <c r="I53" s="7"/>
    </row>
    <row r="54" spans="1:9" x14ac:dyDescent="0.25">
      <c r="A54" s="69" t="s">
        <v>113</v>
      </c>
      <c r="B54" s="70">
        <v>42851</v>
      </c>
      <c r="C54" s="60" t="s">
        <v>114</v>
      </c>
      <c r="D54" s="60"/>
      <c r="E54" s="60"/>
      <c r="F54" s="51"/>
      <c r="G54" s="37">
        <f>I54/840.6</f>
        <v>12.372115155841065</v>
      </c>
      <c r="H54" s="61"/>
      <c r="I54" s="7">
        <v>10400</v>
      </c>
    </row>
    <row r="55" spans="1:9" x14ac:dyDescent="0.25">
      <c r="A55" s="69" t="s">
        <v>38</v>
      </c>
      <c r="B55" s="70"/>
      <c r="C55" s="60"/>
      <c r="D55" s="60"/>
      <c r="E55" s="60"/>
      <c r="F55" s="51"/>
      <c r="G55" s="37"/>
      <c r="H55" s="61"/>
      <c r="I55" s="7"/>
    </row>
    <row r="56" spans="1:9" x14ac:dyDescent="0.25">
      <c r="A56" s="73"/>
      <c r="B56" s="62"/>
      <c r="C56" s="14" t="s">
        <v>118</v>
      </c>
      <c r="D56" s="14"/>
      <c r="E56" s="14"/>
      <c r="F56" s="15"/>
      <c r="G56" s="78">
        <f>SUM(G54:G55)</f>
        <v>12.372115155841065</v>
      </c>
      <c r="H56" s="85"/>
      <c r="I56" s="12">
        <f>SUM(I54:I55)</f>
        <v>10400</v>
      </c>
    </row>
    <row r="57" spans="1:9" x14ac:dyDescent="0.25">
      <c r="A57" s="2" t="s">
        <v>241</v>
      </c>
      <c r="B57" s="2"/>
      <c r="C57" s="2" t="s">
        <v>71</v>
      </c>
      <c r="D57" s="2" t="s">
        <v>123</v>
      </c>
      <c r="E57" s="2"/>
      <c r="F57" s="2" t="s">
        <v>124</v>
      </c>
      <c r="G57" s="2" t="s">
        <v>71</v>
      </c>
      <c r="H57" s="2" t="s">
        <v>242</v>
      </c>
    </row>
    <row r="58" spans="1:9" x14ac:dyDescent="0.25">
      <c r="A58" s="2"/>
      <c r="B58" s="2"/>
      <c r="G58" s="107"/>
    </row>
  </sheetData>
  <pageMargins left="0.7" right="0.7" top="0.75" bottom="0.75" header="0.3" footer="0.3"/>
  <pageSetup paperSize="9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34" zoomScale="110" zoomScaleNormal="110" workbookViewId="0">
      <selection activeCell="I55" sqref="I55:I62"/>
    </sheetView>
  </sheetViews>
  <sheetFormatPr defaultRowHeight="15" x14ac:dyDescent="0.25"/>
  <cols>
    <col min="1" max="1" width="5.5703125" style="3" customWidth="1"/>
    <col min="2" max="2" width="31.5703125" style="3" customWidth="1"/>
    <col min="3" max="3" width="14.42578125" style="3" customWidth="1"/>
    <col min="4" max="4" width="11.5703125" style="3" customWidth="1"/>
    <col min="5" max="7" width="9.140625" style="3"/>
    <col min="8" max="8" width="12.5703125" style="3" customWidth="1"/>
    <col min="9" max="9" width="20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452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797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798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799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800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801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58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6">
        <v>9</v>
      </c>
    </row>
    <row r="18" spans="1:9" x14ac:dyDescent="0.25">
      <c r="A18" s="15">
        <v>1</v>
      </c>
      <c r="B18" s="15" t="s">
        <v>323</v>
      </c>
      <c r="C18" s="11">
        <v>7.97</v>
      </c>
      <c r="D18" s="43">
        <v>4643.0600000000004</v>
      </c>
      <c r="E18" s="12">
        <v>632334.36</v>
      </c>
      <c r="F18" s="12">
        <v>651833.17000000004</v>
      </c>
      <c r="G18" s="14">
        <f>E18</f>
        <v>632334.36</v>
      </c>
      <c r="H18" s="16">
        <f>D18+F18-G18</f>
        <v>24141.870000000112</v>
      </c>
      <c r="I18" s="43"/>
    </row>
    <row r="19" spans="1:9" x14ac:dyDescent="0.25">
      <c r="A19" s="73" t="s">
        <v>113</v>
      </c>
      <c r="B19" s="62" t="s">
        <v>37</v>
      </c>
      <c r="C19" s="74">
        <v>2.62</v>
      </c>
      <c r="D19" s="54"/>
      <c r="E19" s="79">
        <f>E18*33%</f>
        <v>208670.3388</v>
      </c>
      <c r="F19" s="54">
        <f>F18*33%</f>
        <v>215104.94610000003</v>
      </c>
      <c r="G19" s="79">
        <f>E19</f>
        <v>208670.3388</v>
      </c>
      <c r="H19" s="141"/>
      <c r="I19" s="54"/>
    </row>
    <row r="20" spans="1:9" x14ac:dyDescent="0.25">
      <c r="A20" s="24" t="s">
        <v>38</v>
      </c>
      <c r="B20" s="6" t="s">
        <v>39</v>
      </c>
      <c r="C20" s="58">
        <v>1.33</v>
      </c>
      <c r="D20" s="75"/>
      <c r="E20" s="86">
        <f>E18*17%</f>
        <v>107496.84120000001</v>
      </c>
      <c r="F20" s="75">
        <f>F18*17/100</f>
        <v>110811.63890000001</v>
      </c>
      <c r="G20" s="86">
        <f t="shared" ref="G20:G26" si="0">E20</f>
        <v>107496.84120000001</v>
      </c>
      <c r="H20" s="130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75"/>
      <c r="E21" s="86">
        <f>E18*20%</f>
        <v>126466.872</v>
      </c>
      <c r="F21" s="75">
        <f>F18*20/100</f>
        <v>130366.63400000001</v>
      </c>
      <c r="G21" s="86">
        <f t="shared" si="0"/>
        <v>126466.872</v>
      </c>
      <c r="H21" s="130"/>
      <c r="I21" s="75"/>
    </row>
    <row r="22" spans="1:9" x14ac:dyDescent="0.25">
      <c r="A22" s="36" t="s">
        <v>42</v>
      </c>
      <c r="B22" s="9" t="s">
        <v>43</v>
      </c>
      <c r="C22" s="10">
        <v>2.39</v>
      </c>
      <c r="D22" s="29"/>
      <c r="E22" s="39">
        <f>E18*30%</f>
        <v>189700.30799999999</v>
      </c>
      <c r="F22" s="29">
        <f>F18*30%</f>
        <v>195549.951</v>
      </c>
      <c r="G22" s="39">
        <f t="shared" si="0"/>
        <v>189700.30799999999</v>
      </c>
      <c r="H22" s="132"/>
      <c r="I22" s="29"/>
    </row>
    <row r="23" spans="1:9" x14ac:dyDescent="0.25">
      <c r="A23" s="73" t="s">
        <v>44</v>
      </c>
      <c r="B23" s="62" t="s">
        <v>193</v>
      </c>
      <c r="C23" s="74">
        <v>0.25924999999999998</v>
      </c>
      <c r="D23" s="54"/>
      <c r="E23" s="39">
        <v>12285.67</v>
      </c>
      <c r="F23" s="29">
        <v>13567.55</v>
      </c>
      <c r="G23" s="35">
        <f>E23</f>
        <v>12285.67</v>
      </c>
      <c r="H23" s="121">
        <f>F23-E23</f>
        <v>1281.8799999999992</v>
      </c>
      <c r="I23" s="17"/>
    </row>
    <row r="24" spans="1:9" x14ac:dyDescent="0.25">
      <c r="A24" s="73" t="s">
        <v>46</v>
      </c>
      <c r="B24" s="62" t="s">
        <v>47</v>
      </c>
      <c r="C24" s="74">
        <v>3.5667399999999998</v>
      </c>
      <c r="D24" s="54"/>
      <c r="E24" s="9">
        <v>280179.19</v>
      </c>
      <c r="F24" s="10">
        <v>244883.16</v>
      </c>
      <c r="G24" s="10">
        <f>E24</f>
        <v>280179.19</v>
      </c>
      <c r="H24" s="11">
        <f>F24-E24</f>
        <v>-35296.03</v>
      </c>
      <c r="I24" s="11">
        <f>H24</f>
        <v>-35296.03</v>
      </c>
    </row>
    <row r="25" spans="1:9" x14ac:dyDescent="0.25">
      <c r="A25" s="12" t="s">
        <v>48</v>
      </c>
      <c r="B25" s="12" t="s">
        <v>143</v>
      </c>
      <c r="C25" s="14">
        <v>3.15</v>
      </c>
      <c r="D25" s="43">
        <v>-44288.84</v>
      </c>
      <c r="E25" s="14">
        <v>249041.16</v>
      </c>
      <c r="F25" s="12">
        <v>255345.44</v>
      </c>
      <c r="G25" s="14">
        <f t="shared" si="0"/>
        <v>249041.16</v>
      </c>
      <c r="H25" s="18">
        <f>D25+F25-G25</f>
        <v>-37984.559999999998</v>
      </c>
      <c r="I25" s="43">
        <f>H25</f>
        <v>-37984.559999999998</v>
      </c>
    </row>
    <row r="26" spans="1:9" x14ac:dyDescent="0.25">
      <c r="A26" s="11" t="s">
        <v>51</v>
      </c>
      <c r="B26" s="11" t="s">
        <v>49</v>
      </c>
      <c r="C26" s="41" t="s">
        <v>50</v>
      </c>
      <c r="D26" s="17">
        <v>-23369.38</v>
      </c>
      <c r="E26" s="41">
        <v>268563.3</v>
      </c>
      <c r="F26" s="11">
        <v>264706.13</v>
      </c>
      <c r="G26" s="41">
        <f t="shared" si="0"/>
        <v>268563.3</v>
      </c>
      <c r="H26" s="11">
        <f>D26+F26-G26</f>
        <v>-27226.549999999988</v>
      </c>
      <c r="I26" s="17">
        <f>H26</f>
        <v>-27226.549999999988</v>
      </c>
    </row>
    <row r="27" spans="1:9" x14ac:dyDescent="0.25">
      <c r="A27" s="11" t="s">
        <v>55</v>
      </c>
      <c r="B27" s="11" t="s">
        <v>194</v>
      </c>
      <c r="C27" s="41">
        <v>0.92</v>
      </c>
      <c r="D27" s="17">
        <v>0</v>
      </c>
      <c r="E27" s="41">
        <v>0</v>
      </c>
      <c r="F27" s="11">
        <v>119.27</v>
      </c>
      <c r="G27" s="41">
        <f>E27</f>
        <v>0</v>
      </c>
      <c r="H27" s="43">
        <f>C27+F27</f>
        <v>120.19</v>
      </c>
      <c r="I27" s="17"/>
    </row>
    <row r="28" spans="1:9" x14ac:dyDescent="0.25">
      <c r="A28" s="25" t="s">
        <v>59</v>
      </c>
      <c r="B28" s="25" t="s">
        <v>195</v>
      </c>
      <c r="C28" s="59">
        <v>1.82</v>
      </c>
      <c r="D28" s="45">
        <v>126424.23</v>
      </c>
      <c r="E28" s="42">
        <v>144397.20000000001</v>
      </c>
      <c r="F28" s="11">
        <f>F29+F30</f>
        <v>153316.75</v>
      </c>
      <c r="G28" s="71">
        <f>G29</f>
        <v>141719.07999999999</v>
      </c>
      <c r="H28" s="44">
        <f>D28+F28-G28</f>
        <v>138021.9</v>
      </c>
      <c r="I28" s="45"/>
    </row>
    <row r="29" spans="1:9" x14ac:dyDescent="0.25">
      <c r="A29" s="11"/>
      <c r="B29" s="9" t="s">
        <v>53</v>
      </c>
      <c r="C29" s="138"/>
      <c r="D29" s="133"/>
      <c r="E29" s="5">
        <v>0</v>
      </c>
      <c r="F29" s="18">
        <v>151191.31</v>
      </c>
      <c r="G29" s="10">
        <f>I62</f>
        <v>141719.07999999999</v>
      </c>
      <c r="H29" s="133"/>
      <c r="I29" s="43"/>
    </row>
    <row r="30" spans="1:9" x14ac:dyDescent="0.25">
      <c r="A30" s="11"/>
      <c r="B30" s="9" t="s">
        <v>54</v>
      </c>
      <c r="C30" s="41"/>
      <c r="D30" s="11"/>
      <c r="E30" s="41">
        <v>0</v>
      </c>
      <c r="F30" s="11">
        <v>2125.44</v>
      </c>
      <c r="G30" s="41"/>
      <c r="H30" s="11"/>
      <c r="I30" s="43"/>
    </row>
    <row r="31" spans="1:9" x14ac:dyDescent="0.25">
      <c r="A31" s="9" t="s">
        <v>196</v>
      </c>
      <c r="B31" s="11" t="s">
        <v>802</v>
      </c>
      <c r="C31" s="41">
        <v>0</v>
      </c>
      <c r="D31" s="11">
        <v>22396.03</v>
      </c>
      <c r="E31" s="41">
        <v>0</v>
      </c>
      <c r="F31" s="43">
        <f>F32</f>
        <v>0.04</v>
      </c>
      <c r="G31" s="41">
        <f>I66</f>
        <v>0</v>
      </c>
      <c r="H31" s="11">
        <f>D31+F31-G31</f>
        <v>22396.07</v>
      </c>
      <c r="I31" s="43"/>
    </row>
    <row r="32" spans="1:9" x14ac:dyDescent="0.25">
      <c r="A32" s="9"/>
      <c r="B32" s="9" t="s">
        <v>53</v>
      </c>
      <c r="C32" s="10">
        <v>0</v>
      </c>
      <c r="D32" s="9" t="s">
        <v>71</v>
      </c>
      <c r="E32" s="10">
        <v>0</v>
      </c>
      <c r="F32" s="9">
        <v>0.04</v>
      </c>
      <c r="G32" s="10">
        <f>G31</f>
        <v>0</v>
      </c>
      <c r="H32" s="9"/>
      <c r="I32" s="29"/>
    </row>
    <row r="33" spans="1:9" x14ac:dyDescent="0.25">
      <c r="A33" s="1" t="s">
        <v>58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5" t="s">
        <v>197</v>
      </c>
      <c r="B34" s="58" t="s">
        <v>60</v>
      </c>
      <c r="C34" s="6" t="s">
        <v>64</v>
      </c>
      <c r="D34" s="49" t="s">
        <v>62</v>
      </c>
      <c r="E34" s="58" t="s">
        <v>63</v>
      </c>
      <c r="F34" s="6" t="s">
        <v>64</v>
      </c>
      <c r="G34" s="6"/>
      <c r="H34" s="58" t="s">
        <v>199</v>
      </c>
      <c r="I34" s="49"/>
    </row>
    <row r="35" spans="1:9" x14ac:dyDescent="0.25">
      <c r="A35" s="7"/>
      <c r="B35" s="60"/>
      <c r="C35" s="62" t="s">
        <v>66</v>
      </c>
      <c r="D35" s="53" t="s">
        <v>23</v>
      </c>
      <c r="E35" s="74" t="s">
        <v>312</v>
      </c>
      <c r="F35" s="62" t="s">
        <v>30</v>
      </c>
      <c r="G35" s="62"/>
      <c r="H35" s="74"/>
      <c r="I35" s="53"/>
    </row>
    <row r="36" spans="1:9" x14ac:dyDescent="0.25">
      <c r="A36" s="12"/>
      <c r="B36" s="74" t="s">
        <v>68</v>
      </c>
      <c r="C36" s="54">
        <v>10837.5</v>
      </c>
      <c r="D36" s="53">
        <v>5553</v>
      </c>
      <c r="E36" s="79">
        <f xml:space="preserve"> D36*15%</f>
        <v>832.94999999999993</v>
      </c>
      <c r="F36" s="54">
        <f>C36+(D36-E36)</f>
        <v>15557.55</v>
      </c>
      <c r="G36" s="54"/>
      <c r="H36" s="79">
        <f xml:space="preserve"> F36-G36</f>
        <v>15557.55</v>
      </c>
      <c r="I36" s="53"/>
    </row>
    <row r="37" spans="1:9" x14ac:dyDescent="0.25">
      <c r="A37" s="5" t="s">
        <v>69</v>
      </c>
      <c r="B37" s="51"/>
      <c r="C37" s="60"/>
      <c r="D37" s="60"/>
      <c r="E37" s="61"/>
      <c r="F37" s="60"/>
      <c r="G37" s="61"/>
      <c r="H37" s="60"/>
      <c r="I37" s="71"/>
    </row>
    <row r="38" spans="1:9" x14ac:dyDescent="0.25">
      <c r="A38" s="1" t="s">
        <v>70</v>
      </c>
      <c r="B38" s="51"/>
      <c r="C38" s="60"/>
      <c r="D38" s="60"/>
      <c r="E38" s="61"/>
      <c r="F38" s="60"/>
      <c r="G38" s="61"/>
      <c r="H38" s="60"/>
      <c r="I38" s="71"/>
    </row>
    <row r="39" spans="1:9" x14ac:dyDescent="0.25">
      <c r="A39" s="6" t="s">
        <v>71</v>
      </c>
      <c r="B39" s="57" t="s">
        <v>72</v>
      </c>
      <c r="C39" s="6" t="s">
        <v>73</v>
      </c>
      <c r="D39" s="4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51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9"/>
      <c r="C41" s="7"/>
      <c r="D41" s="51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9"/>
      <c r="B42" s="8"/>
      <c r="C42" s="9"/>
      <c r="D42" s="8"/>
      <c r="E42" s="9"/>
      <c r="F42" s="10"/>
      <c r="G42" s="10"/>
      <c r="H42" s="9"/>
      <c r="I42" s="9"/>
    </row>
    <row r="43" spans="1:9" x14ac:dyDescent="0.25">
      <c r="A43" s="7">
        <v>1</v>
      </c>
      <c r="B43" s="7" t="s">
        <v>803</v>
      </c>
      <c r="C43" s="5" t="s">
        <v>91</v>
      </c>
      <c r="D43" s="7">
        <v>-60565.56</v>
      </c>
      <c r="E43" s="94">
        <v>493438.56</v>
      </c>
      <c r="F43" s="7">
        <v>476137.36</v>
      </c>
      <c r="G43" s="112">
        <f>E43</f>
        <v>493438.56</v>
      </c>
      <c r="H43" s="7">
        <f>F43-E43+D43</f>
        <v>-77866.760000000009</v>
      </c>
      <c r="I43" s="7">
        <f>H43</f>
        <v>-77866.760000000009</v>
      </c>
    </row>
    <row r="44" spans="1:9" x14ac:dyDescent="0.25">
      <c r="A44" s="9"/>
      <c r="B44" s="9" t="s">
        <v>521</v>
      </c>
      <c r="C44" s="41" t="s">
        <v>93</v>
      </c>
      <c r="D44" s="9"/>
      <c r="E44" s="95"/>
      <c r="F44" s="9"/>
      <c r="G44" s="65"/>
      <c r="H44" s="9"/>
      <c r="I44" s="9"/>
    </row>
    <row r="45" spans="1:9" x14ac:dyDescent="0.25">
      <c r="A45" s="7">
        <v>2</v>
      </c>
      <c r="B45" s="7" t="s">
        <v>168</v>
      </c>
      <c r="C45" s="1" t="s">
        <v>95</v>
      </c>
      <c r="D45" s="62">
        <v>-217022.46</v>
      </c>
      <c r="E45" s="7">
        <v>799513.75</v>
      </c>
      <c r="F45" s="7">
        <v>741668.62</v>
      </c>
      <c r="G45" s="2">
        <f>E45</f>
        <v>799513.75</v>
      </c>
      <c r="H45" s="7">
        <f>D45+F45-G45</f>
        <v>-274867.58999999997</v>
      </c>
      <c r="I45" s="62">
        <f>H45</f>
        <v>-274867.58999999997</v>
      </c>
    </row>
    <row r="46" spans="1:9" x14ac:dyDescent="0.25">
      <c r="A46" s="9"/>
      <c r="B46" s="9" t="s">
        <v>521</v>
      </c>
      <c r="C46" s="41" t="s">
        <v>93</v>
      </c>
      <c r="D46" s="7" t="s">
        <v>71</v>
      </c>
      <c r="E46" s="9"/>
      <c r="F46" s="9"/>
      <c r="G46" s="10"/>
      <c r="H46" s="9"/>
      <c r="I46" s="7" t="s">
        <v>71</v>
      </c>
    </row>
    <row r="47" spans="1:9" x14ac:dyDescent="0.25">
      <c r="A47" s="9">
        <v>3</v>
      </c>
      <c r="B47" s="9" t="s">
        <v>98</v>
      </c>
      <c r="C47" s="41" t="s">
        <v>203</v>
      </c>
      <c r="D47" s="9">
        <v>-887421.73</v>
      </c>
      <c r="E47" s="9">
        <v>1757968.93</v>
      </c>
      <c r="F47" s="9">
        <v>1963702.36</v>
      </c>
      <c r="G47" s="10">
        <f>E47</f>
        <v>1757968.93</v>
      </c>
      <c r="H47" s="9">
        <f>D47+F47-G47</f>
        <v>-681688.29999999981</v>
      </c>
      <c r="I47" s="9">
        <f>H47</f>
        <v>-681688.29999999981</v>
      </c>
    </row>
    <row r="48" spans="1:9" x14ac:dyDescent="0.25">
      <c r="A48" s="2"/>
      <c r="B48" s="2"/>
      <c r="C48" s="1" t="s">
        <v>804</v>
      </c>
      <c r="D48" s="2"/>
      <c r="E48" s="2"/>
      <c r="F48" s="2"/>
      <c r="G48" s="2"/>
      <c r="H48" s="2"/>
      <c r="I48" s="2"/>
    </row>
    <row r="49" spans="1:9" x14ac:dyDescent="0.25">
      <c r="A49" s="5" t="s">
        <v>220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398</v>
      </c>
      <c r="G50" s="58"/>
      <c r="H50" s="49"/>
      <c r="I50" s="49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805</v>
      </c>
      <c r="G51" s="60"/>
      <c r="H51" s="61"/>
      <c r="I51" s="61" t="s">
        <v>108</v>
      </c>
    </row>
    <row r="52" spans="1:9" x14ac:dyDescent="0.25">
      <c r="A52" s="51"/>
      <c r="B52" s="62"/>
      <c r="C52" s="60"/>
      <c r="D52" s="60"/>
      <c r="E52" s="60"/>
      <c r="F52" s="51" t="s">
        <v>806</v>
      </c>
      <c r="G52" s="60"/>
      <c r="H52" s="61"/>
      <c r="I52" s="61"/>
    </row>
    <row r="53" spans="1:9" x14ac:dyDescent="0.25">
      <c r="A53" s="67" t="s">
        <v>110</v>
      </c>
      <c r="B53" s="18"/>
      <c r="C53" s="68" t="s">
        <v>111</v>
      </c>
      <c r="D53" s="68"/>
      <c r="E53" s="68"/>
      <c r="F53" s="48"/>
      <c r="G53" s="58"/>
      <c r="H53" s="49"/>
      <c r="I53" s="49"/>
    </row>
    <row r="54" spans="1:9" x14ac:dyDescent="0.25">
      <c r="A54" s="69"/>
      <c r="B54" s="7"/>
      <c r="C54" s="60" t="s">
        <v>112</v>
      </c>
      <c r="D54" s="60"/>
      <c r="E54" s="60"/>
      <c r="F54" s="51"/>
      <c r="G54" s="37"/>
      <c r="H54" s="61"/>
      <c r="I54" s="61" t="s">
        <v>71</v>
      </c>
    </row>
    <row r="55" spans="1:9" x14ac:dyDescent="0.25">
      <c r="A55" s="69" t="s">
        <v>113</v>
      </c>
      <c r="B55" s="70">
        <v>42851</v>
      </c>
      <c r="C55" s="60" t="s">
        <v>114</v>
      </c>
      <c r="D55" s="60"/>
      <c r="E55" s="60"/>
      <c r="F55" s="51"/>
      <c r="G55" s="37">
        <f t="shared" ref="G55:G61" si="1">I55/6722.3</f>
        <v>3.4214480163039434</v>
      </c>
      <c r="H55" s="61"/>
      <c r="I55" s="61">
        <v>23000</v>
      </c>
    </row>
    <row r="56" spans="1:9" x14ac:dyDescent="0.25">
      <c r="A56" s="69" t="s">
        <v>38</v>
      </c>
      <c r="B56" s="70">
        <v>42947</v>
      </c>
      <c r="C56" s="60" t="s">
        <v>807</v>
      </c>
      <c r="D56" s="60"/>
      <c r="E56" s="60"/>
      <c r="F56" s="51"/>
      <c r="G56" s="37">
        <f t="shared" si="1"/>
        <v>9.6019993157103958</v>
      </c>
      <c r="H56" s="61"/>
      <c r="I56" s="61">
        <v>64547.519999999997</v>
      </c>
    </row>
    <row r="57" spans="1:9" x14ac:dyDescent="0.25">
      <c r="A57" s="69" t="s">
        <v>40</v>
      </c>
      <c r="B57" s="70">
        <v>43017</v>
      </c>
      <c r="C57" s="60" t="s">
        <v>808</v>
      </c>
      <c r="D57" s="60"/>
      <c r="E57" s="60"/>
      <c r="F57" s="51"/>
      <c r="G57" s="37">
        <f t="shared" si="1"/>
        <v>0.43964565699239838</v>
      </c>
      <c r="H57" s="61"/>
      <c r="I57" s="61">
        <v>2955.43</v>
      </c>
    </row>
    <row r="58" spans="1:9" x14ac:dyDescent="0.25">
      <c r="A58" s="69" t="s">
        <v>42</v>
      </c>
      <c r="B58" s="70">
        <v>43075</v>
      </c>
      <c r="C58" s="60" t="s">
        <v>809</v>
      </c>
      <c r="D58" s="60"/>
      <c r="E58" s="60"/>
      <c r="F58" s="51"/>
      <c r="G58" s="37">
        <f t="shared" si="1"/>
        <v>2.0033321928506611</v>
      </c>
      <c r="H58" s="61"/>
      <c r="I58" s="61">
        <v>13467</v>
      </c>
    </row>
    <row r="59" spans="1:9" x14ac:dyDescent="0.25">
      <c r="A59" s="69" t="s">
        <v>44</v>
      </c>
      <c r="B59" s="70" t="s">
        <v>655</v>
      </c>
      <c r="C59" s="60" t="s">
        <v>208</v>
      </c>
      <c r="D59" s="60"/>
      <c r="E59" s="60"/>
      <c r="F59" s="51"/>
      <c r="G59" s="37">
        <f t="shared" si="1"/>
        <v>1.4707213304970024</v>
      </c>
      <c r="H59" s="61"/>
      <c r="I59" s="61">
        <v>9886.6299999999992</v>
      </c>
    </row>
    <row r="60" spans="1:9" x14ac:dyDescent="0.25">
      <c r="A60" s="69" t="s">
        <v>46</v>
      </c>
      <c r="B60" s="70" t="s">
        <v>655</v>
      </c>
      <c r="C60" s="60" t="s">
        <v>208</v>
      </c>
      <c r="D60" s="60"/>
      <c r="E60" s="60"/>
      <c r="F60" s="51"/>
      <c r="G60" s="37">
        <f t="shared" si="1"/>
        <v>0.37361914820820252</v>
      </c>
      <c r="H60" s="61"/>
      <c r="I60" s="61">
        <v>2511.58</v>
      </c>
    </row>
    <row r="61" spans="1:9" x14ac:dyDescent="0.25">
      <c r="A61" s="69" t="s">
        <v>356</v>
      </c>
      <c r="B61" s="70" t="s">
        <v>180</v>
      </c>
      <c r="C61" s="60" t="s">
        <v>810</v>
      </c>
      <c r="D61" s="60"/>
      <c r="E61" s="60"/>
      <c r="F61" s="51"/>
      <c r="G61" s="37">
        <f t="shared" si="1"/>
        <v>3.7711676063252155</v>
      </c>
      <c r="H61" s="61"/>
      <c r="I61" s="61">
        <v>25350.92</v>
      </c>
    </row>
    <row r="62" spans="1:9" x14ac:dyDescent="0.25">
      <c r="A62" s="69"/>
      <c r="B62" s="7"/>
      <c r="C62" s="5" t="s">
        <v>118</v>
      </c>
      <c r="D62" s="5"/>
      <c r="E62" s="5"/>
      <c r="F62" s="15"/>
      <c r="G62" s="78">
        <f>SUM(G55:G61)</f>
        <v>21.08193326688782</v>
      </c>
      <c r="H62" s="85"/>
      <c r="I62" s="85">
        <f>SUM(I55:I61)</f>
        <v>141719.07999999999</v>
      </c>
    </row>
    <row r="63" spans="1:9" x14ac:dyDescent="0.25">
      <c r="A63" s="6"/>
      <c r="B63" s="6"/>
      <c r="C63" s="48"/>
      <c r="D63" s="58"/>
      <c r="E63" s="58"/>
      <c r="F63" s="60"/>
      <c r="G63" s="60"/>
      <c r="H63" s="60"/>
      <c r="I63" s="60"/>
    </row>
    <row r="64" spans="1:9" x14ac:dyDescent="0.25">
      <c r="A64" s="48" t="s">
        <v>48</v>
      </c>
      <c r="B64" s="25" t="s">
        <v>119</v>
      </c>
      <c r="C64" s="68" t="s">
        <v>120</v>
      </c>
      <c r="D64" s="58"/>
      <c r="E64" s="58"/>
      <c r="F64" s="48"/>
      <c r="G64" s="86"/>
      <c r="H64" s="49"/>
      <c r="I64" s="49"/>
    </row>
    <row r="65" spans="1:9" x14ac:dyDescent="0.25">
      <c r="A65" s="84" t="s">
        <v>182</v>
      </c>
      <c r="B65" s="70"/>
      <c r="C65" s="60"/>
      <c r="D65" s="60"/>
      <c r="E65" s="60"/>
      <c r="F65" s="51"/>
      <c r="G65" s="37">
        <f>I65/6611.6</f>
        <v>0</v>
      </c>
      <c r="H65" s="61"/>
      <c r="I65" s="61"/>
    </row>
    <row r="66" spans="1:9" x14ac:dyDescent="0.25">
      <c r="A66" s="77"/>
      <c r="B66" s="62"/>
      <c r="C66" s="74" t="s">
        <v>118</v>
      </c>
      <c r="D66" s="74"/>
      <c r="E66" s="74"/>
      <c r="F66" s="52"/>
      <c r="G66" s="78">
        <f>SUM(G65)</f>
        <v>0</v>
      </c>
      <c r="H66" s="85"/>
      <c r="I66" s="85">
        <f>SUM(I65)</f>
        <v>0</v>
      </c>
    </row>
    <row r="67" spans="1:9" x14ac:dyDescent="0.25">
      <c r="A67" s="2" t="s">
        <v>811</v>
      </c>
      <c r="B67" s="2"/>
      <c r="C67" s="2"/>
      <c r="D67" s="2" t="s">
        <v>812</v>
      </c>
      <c r="E67" s="2"/>
      <c r="F67" s="2"/>
      <c r="G67" s="107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22" zoomScale="110" zoomScaleNormal="110" workbookViewId="0">
      <selection activeCell="H26" sqref="H26"/>
    </sheetView>
  </sheetViews>
  <sheetFormatPr defaultRowHeight="15" x14ac:dyDescent="0.25"/>
  <cols>
    <col min="1" max="1" width="5.42578125" style="3" customWidth="1"/>
    <col min="2" max="2" width="31.140625" style="3" customWidth="1"/>
    <col min="3" max="3" width="12.5703125" style="3" customWidth="1"/>
    <col min="4" max="4" width="11.28515625" style="3" customWidth="1"/>
    <col min="5" max="5" width="11.85546875" style="3" customWidth="1"/>
    <col min="6" max="6" width="10.85546875" style="3" customWidth="1"/>
    <col min="7" max="8" width="10.7109375" style="3" customWidth="1"/>
    <col min="9" max="9" width="15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813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814</v>
      </c>
      <c r="B7" s="2"/>
      <c r="C7" s="2"/>
      <c r="D7" s="2"/>
      <c r="E7" s="1"/>
      <c r="F7" s="1"/>
      <c r="G7" s="2"/>
      <c r="H7" s="2"/>
      <c r="I7" s="2"/>
    </row>
    <row r="8" spans="1:9" x14ac:dyDescent="0.25">
      <c r="A8" s="2" t="s">
        <v>815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816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817</v>
      </c>
      <c r="F15" s="7" t="s">
        <v>817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818</v>
      </c>
      <c r="E16" s="7"/>
      <c r="F16" s="7"/>
      <c r="G16" s="7" t="s">
        <v>819</v>
      </c>
      <c r="H16" s="7" t="s">
        <v>66</v>
      </c>
      <c r="I16" s="7" t="s">
        <v>31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66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58">
        <v>7</v>
      </c>
      <c r="H18" s="9">
        <v>8</v>
      </c>
      <c r="I18" s="6">
        <v>9</v>
      </c>
    </row>
    <row r="19" spans="1:9" x14ac:dyDescent="0.25">
      <c r="A19" s="68">
        <v>1</v>
      </c>
      <c r="B19" s="25" t="s">
        <v>191</v>
      </c>
      <c r="C19" s="25"/>
      <c r="D19" s="25"/>
      <c r="E19" s="27" t="s">
        <v>71</v>
      </c>
      <c r="F19" s="57" t="s">
        <v>71</v>
      </c>
      <c r="G19" s="45" t="str">
        <f>E19</f>
        <v xml:space="preserve"> </v>
      </c>
      <c r="H19" s="72" t="s">
        <v>71</v>
      </c>
      <c r="I19" s="45" t="s">
        <v>71</v>
      </c>
    </row>
    <row r="20" spans="1:9" x14ac:dyDescent="0.25">
      <c r="A20" s="14"/>
      <c r="B20" s="12" t="s">
        <v>192</v>
      </c>
      <c r="C20" s="12">
        <v>7.56</v>
      </c>
      <c r="D20" s="17">
        <v>-33564.32</v>
      </c>
      <c r="E20" s="14">
        <v>51358.559999999998</v>
      </c>
      <c r="F20" s="15">
        <v>48928.3</v>
      </c>
      <c r="G20" s="17">
        <f>E20</f>
        <v>51358.559999999998</v>
      </c>
      <c r="H20" s="13">
        <f>D20+F20-G20</f>
        <v>-35994.579999999994</v>
      </c>
      <c r="I20" s="17">
        <f>H20</f>
        <v>-35994.579999999994</v>
      </c>
    </row>
    <row r="21" spans="1:9" x14ac:dyDescent="0.25">
      <c r="A21" s="7" t="s">
        <v>36</v>
      </c>
      <c r="B21" s="7" t="s">
        <v>457</v>
      </c>
      <c r="C21" s="7"/>
      <c r="D21" s="30"/>
      <c r="E21" s="37"/>
      <c r="F21" s="38"/>
      <c r="G21" s="75"/>
      <c r="H21" s="30"/>
      <c r="I21" s="75"/>
    </row>
    <row r="22" spans="1:9" x14ac:dyDescent="0.25">
      <c r="A22" s="62"/>
      <c r="B22" s="62" t="s">
        <v>458</v>
      </c>
      <c r="C22" s="62">
        <v>2.62</v>
      </c>
      <c r="D22" s="80"/>
      <c r="E22" s="79">
        <f>E20*34.5%</f>
        <v>17718.703199999996</v>
      </c>
      <c r="F22" s="55">
        <f>F20*34.5%</f>
        <v>16880.263500000001</v>
      </c>
      <c r="G22" s="54">
        <f t="shared" ref="G22:G27" si="0">E22</f>
        <v>17718.703199999996</v>
      </c>
      <c r="H22" s="80"/>
      <c r="I22" s="54"/>
    </row>
    <row r="23" spans="1:9" x14ac:dyDescent="0.25">
      <c r="A23" s="24" t="s">
        <v>38</v>
      </c>
      <c r="B23" s="6" t="s">
        <v>39</v>
      </c>
      <c r="C23" s="6">
        <v>1.33</v>
      </c>
      <c r="D23" s="30"/>
      <c r="E23" s="86">
        <f>E20*18%</f>
        <v>9244.5407999999989</v>
      </c>
      <c r="F23" s="105">
        <f>F20*18%</f>
        <v>8807.094000000001</v>
      </c>
      <c r="G23" s="22">
        <f t="shared" si="0"/>
        <v>9244.5407999999989</v>
      </c>
      <c r="H23" s="30"/>
      <c r="I23" s="75"/>
    </row>
    <row r="24" spans="1:9" x14ac:dyDescent="0.25">
      <c r="A24" s="24" t="s">
        <v>40</v>
      </c>
      <c r="B24" s="6" t="s">
        <v>41</v>
      </c>
      <c r="C24" s="6">
        <v>1.22</v>
      </c>
      <c r="D24" s="35"/>
      <c r="E24" s="86">
        <f>E20*16%</f>
        <v>8217.3696</v>
      </c>
      <c r="F24" s="105">
        <f>F20*16%</f>
        <v>7828.5280000000002</v>
      </c>
      <c r="G24" s="29">
        <f t="shared" si="0"/>
        <v>8217.3696</v>
      </c>
      <c r="H24" s="35"/>
      <c r="I24" s="75"/>
    </row>
    <row r="25" spans="1:9" x14ac:dyDescent="0.25">
      <c r="A25" s="24" t="s">
        <v>42</v>
      </c>
      <c r="B25" s="6" t="s">
        <v>43</v>
      </c>
      <c r="C25" s="6">
        <v>2.39</v>
      </c>
      <c r="D25" s="23"/>
      <c r="E25" s="86">
        <f>E20*31.5%</f>
        <v>16177.946399999999</v>
      </c>
      <c r="F25" s="105">
        <f>F20*31.5%</f>
        <v>15412.414500000001</v>
      </c>
      <c r="G25" s="22">
        <f t="shared" si="0"/>
        <v>16177.946399999999</v>
      </c>
      <c r="H25" s="23"/>
      <c r="I25" s="75"/>
    </row>
    <row r="26" spans="1:9" x14ac:dyDescent="0.25">
      <c r="A26" s="24" t="s">
        <v>44</v>
      </c>
      <c r="B26" s="6" t="s">
        <v>274</v>
      </c>
      <c r="C26" s="6">
        <v>1.6777599999999999</v>
      </c>
      <c r="D26" s="29"/>
      <c r="E26" s="39">
        <v>7973.9</v>
      </c>
      <c r="F26" s="40">
        <v>5695.6</v>
      </c>
      <c r="G26" s="29">
        <f t="shared" si="0"/>
        <v>7973.9</v>
      </c>
      <c r="H26" s="32">
        <f>F26-E26</f>
        <v>-2278.2999999999993</v>
      </c>
      <c r="I26" s="45">
        <f>H26</f>
        <v>-2278.2999999999993</v>
      </c>
    </row>
    <row r="27" spans="1:9" x14ac:dyDescent="0.25">
      <c r="A27" s="11" t="s">
        <v>48</v>
      </c>
      <c r="B27" s="11" t="s">
        <v>49</v>
      </c>
      <c r="C27" s="11" t="s">
        <v>50</v>
      </c>
      <c r="D27" s="43">
        <v>-2270.89</v>
      </c>
      <c r="E27" s="46">
        <v>22995.81</v>
      </c>
      <c r="F27" s="42">
        <v>21674.2</v>
      </c>
      <c r="G27" s="43">
        <f t="shared" si="0"/>
        <v>22995.81</v>
      </c>
      <c r="H27" s="223">
        <f>D27+F27-G27</f>
        <v>-3592.5</v>
      </c>
      <c r="I27" s="43">
        <f>H27</f>
        <v>-3592.5</v>
      </c>
    </row>
    <row r="28" spans="1:9" x14ac:dyDescent="0.25">
      <c r="A28" s="25" t="s">
        <v>51</v>
      </c>
      <c r="B28" s="25" t="s">
        <v>216</v>
      </c>
      <c r="C28" s="25"/>
      <c r="D28" s="21"/>
      <c r="E28" s="25"/>
      <c r="F28" s="25"/>
      <c r="G28" s="5"/>
      <c r="H28" s="21"/>
      <c r="I28" s="45"/>
    </row>
    <row r="29" spans="1:9" x14ac:dyDescent="0.25">
      <c r="A29" s="12"/>
      <c r="B29" s="12" t="s">
        <v>217</v>
      </c>
      <c r="C29" s="12">
        <v>1.65</v>
      </c>
      <c r="D29" s="21">
        <v>23727.51</v>
      </c>
      <c r="E29" s="12">
        <v>11209.44</v>
      </c>
      <c r="F29" s="12">
        <v>11245.03</v>
      </c>
      <c r="G29" s="18">
        <f>I56</f>
        <v>0</v>
      </c>
      <c r="H29" s="21">
        <f>D29+F29-G29</f>
        <v>34972.54</v>
      </c>
      <c r="I29" s="17"/>
    </row>
    <row r="30" spans="1:9" x14ac:dyDescent="0.25">
      <c r="A30" s="11" t="s">
        <v>55</v>
      </c>
      <c r="B30" s="11" t="s">
        <v>311</v>
      </c>
      <c r="C30" s="41"/>
      <c r="D30" s="34"/>
      <c r="E30" s="11"/>
      <c r="F30" s="11"/>
      <c r="G30" s="42"/>
      <c r="H30" s="43"/>
      <c r="I30" s="45"/>
    </row>
    <row r="31" spans="1:9" x14ac:dyDescent="0.25">
      <c r="A31" s="12"/>
      <c r="B31" s="12" t="s">
        <v>276</v>
      </c>
      <c r="C31" s="85">
        <v>0</v>
      </c>
      <c r="D31" s="16">
        <v>3495.13</v>
      </c>
      <c r="E31" s="12">
        <v>0</v>
      </c>
      <c r="F31" s="12">
        <v>0</v>
      </c>
      <c r="G31" s="15">
        <f>G33</f>
        <v>0</v>
      </c>
      <c r="H31" s="17">
        <f>D31+F31-G31</f>
        <v>3495.13</v>
      </c>
      <c r="I31" s="43"/>
    </row>
    <row r="32" spans="1:9" x14ac:dyDescent="0.25">
      <c r="A32" s="7"/>
      <c r="B32" s="62" t="s">
        <v>112</v>
      </c>
      <c r="C32" s="60"/>
      <c r="D32" s="40"/>
      <c r="E32" s="7"/>
      <c r="F32" s="7"/>
      <c r="G32" s="8"/>
      <c r="H32" s="29"/>
      <c r="I32" s="22"/>
    </row>
    <row r="33" spans="1:9" x14ac:dyDescent="0.25">
      <c r="A33" s="9"/>
      <c r="B33" s="9" t="s">
        <v>53</v>
      </c>
      <c r="C33" s="10">
        <v>0</v>
      </c>
      <c r="D33" s="55"/>
      <c r="E33" s="9">
        <v>0</v>
      </c>
      <c r="F33" s="9">
        <v>0</v>
      </c>
      <c r="G33" s="8">
        <f>I60</f>
        <v>0</v>
      </c>
      <c r="H33" s="54"/>
      <c r="I33" s="29"/>
    </row>
    <row r="34" spans="1:9" x14ac:dyDescent="0.25">
      <c r="A34" s="9"/>
      <c r="B34" s="9" t="s">
        <v>54</v>
      </c>
      <c r="C34" s="10">
        <v>0</v>
      </c>
      <c r="D34" s="40"/>
      <c r="E34" s="9"/>
      <c r="F34" s="9"/>
      <c r="G34" s="10"/>
      <c r="H34" s="29"/>
      <c r="I34" s="54"/>
    </row>
    <row r="35" spans="1:9" x14ac:dyDescent="0.25">
      <c r="A35" s="60"/>
      <c r="B35" s="60"/>
      <c r="C35" s="60"/>
      <c r="D35" s="60"/>
      <c r="E35" s="60"/>
      <c r="F35" s="60"/>
      <c r="G35" s="60"/>
      <c r="H35" s="37"/>
      <c r="I35" s="37"/>
    </row>
    <row r="36" spans="1:9" x14ac:dyDescent="0.25">
      <c r="A36" s="1" t="s">
        <v>58</v>
      </c>
      <c r="B36" s="2"/>
      <c r="C36" s="2"/>
      <c r="E36" s="2"/>
      <c r="F36" s="2"/>
      <c r="G36" s="2"/>
      <c r="H36" s="2"/>
      <c r="I36" s="2"/>
    </row>
    <row r="37" spans="1:9" x14ac:dyDescent="0.25">
      <c r="A37" s="60"/>
      <c r="B37" s="60"/>
      <c r="C37" s="60"/>
      <c r="D37" s="118"/>
      <c r="E37" s="37"/>
      <c r="F37" s="37"/>
      <c r="G37" s="37"/>
      <c r="H37" s="37"/>
      <c r="I37" s="60"/>
    </row>
    <row r="38" spans="1:9" x14ac:dyDescent="0.25">
      <c r="A38" s="5" t="s">
        <v>69</v>
      </c>
      <c r="B38" s="5"/>
      <c r="C38" s="5"/>
      <c r="D38" s="56"/>
      <c r="E38" s="5"/>
      <c r="F38" s="5"/>
      <c r="G38" s="5"/>
      <c r="H38" s="5"/>
      <c r="I38" s="5"/>
    </row>
    <row r="39" spans="1:9" x14ac:dyDescent="0.25">
      <c r="A39" s="1" t="s">
        <v>70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6" t="s">
        <v>71</v>
      </c>
      <c r="B40" s="57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77</v>
      </c>
      <c r="H40" s="58" t="s">
        <v>78</v>
      </c>
      <c r="I40" s="6" t="s">
        <v>820</v>
      </c>
    </row>
    <row r="41" spans="1:9" x14ac:dyDescent="0.25">
      <c r="A41" s="7"/>
      <c r="B41" s="59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7" t="s">
        <v>84</v>
      </c>
      <c r="H41" s="60" t="s">
        <v>85</v>
      </c>
      <c r="I41" s="7" t="s">
        <v>86</v>
      </c>
    </row>
    <row r="42" spans="1:9" x14ac:dyDescent="0.25">
      <c r="A42" s="7"/>
      <c r="B42" s="51"/>
      <c r="C42" s="7"/>
      <c r="D42" s="60"/>
      <c r="E42" s="7"/>
      <c r="F42" s="60" t="s">
        <v>87</v>
      </c>
      <c r="G42" s="7" t="s">
        <v>88</v>
      </c>
      <c r="H42" s="60"/>
      <c r="I42" s="7" t="s">
        <v>239</v>
      </c>
    </row>
    <row r="43" spans="1:9" x14ac:dyDescent="0.25">
      <c r="A43" s="62"/>
      <c r="B43" s="62"/>
      <c r="C43" s="14"/>
      <c r="D43" s="62"/>
      <c r="E43" s="74"/>
      <c r="F43" s="52"/>
      <c r="G43" s="7"/>
      <c r="H43" s="7"/>
      <c r="I43" s="53"/>
    </row>
    <row r="44" spans="1:9" x14ac:dyDescent="0.25">
      <c r="A44" s="9">
        <v>1</v>
      </c>
      <c r="B44" s="9" t="s">
        <v>90</v>
      </c>
      <c r="C44" s="42" t="s">
        <v>91</v>
      </c>
      <c r="D44" s="9">
        <v>-2335.5</v>
      </c>
      <c r="E44" s="95">
        <v>29610.639999999999</v>
      </c>
      <c r="F44" s="8">
        <v>21801.11</v>
      </c>
      <c r="G44" s="9">
        <f>E44</f>
        <v>29610.639999999999</v>
      </c>
      <c r="H44" s="9">
        <f>D44+F44-G44</f>
        <v>-10145.029999999999</v>
      </c>
      <c r="I44" s="9">
        <f>H44</f>
        <v>-10145.029999999999</v>
      </c>
    </row>
    <row r="45" spans="1:9" x14ac:dyDescent="0.25">
      <c r="A45" s="9"/>
      <c r="B45" s="9" t="s">
        <v>92</v>
      </c>
      <c r="C45" s="41" t="s">
        <v>93</v>
      </c>
      <c r="D45" s="62"/>
      <c r="E45" s="65"/>
      <c r="F45" s="8"/>
      <c r="G45" s="62"/>
      <c r="H45" s="62"/>
      <c r="I45" s="61"/>
    </row>
    <row r="46" spans="1:9" x14ac:dyDescent="0.25">
      <c r="A46" s="9">
        <v>2</v>
      </c>
      <c r="B46" s="9" t="s">
        <v>98</v>
      </c>
      <c r="C46" s="41" t="s">
        <v>203</v>
      </c>
      <c r="D46" s="62">
        <v>-163386.88</v>
      </c>
      <c r="E46" s="10">
        <v>198681.85</v>
      </c>
      <c r="F46" s="8">
        <v>175930.76</v>
      </c>
      <c r="G46" s="62">
        <f>E46</f>
        <v>198681.85</v>
      </c>
      <c r="H46" s="62">
        <f>D46+F46-G46</f>
        <v>-186137.97</v>
      </c>
      <c r="I46" s="50">
        <f>H46</f>
        <v>-186137.97</v>
      </c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1" t="s">
        <v>100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821</v>
      </c>
      <c r="G50" s="58"/>
      <c r="H50" s="49"/>
      <c r="I50" s="6" t="s">
        <v>105</v>
      </c>
    </row>
    <row r="51" spans="1:9" x14ac:dyDescent="0.25">
      <c r="A51" s="51" t="s">
        <v>106</v>
      </c>
      <c r="B51" s="7" t="s">
        <v>71</v>
      </c>
      <c r="C51" s="60"/>
      <c r="D51" s="60"/>
      <c r="E51" s="60"/>
      <c r="F51" s="51" t="s">
        <v>822</v>
      </c>
      <c r="G51" s="60"/>
      <c r="H51" s="61"/>
      <c r="I51" s="7" t="s">
        <v>108</v>
      </c>
    </row>
    <row r="52" spans="1:9" x14ac:dyDescent="0.25">
      <c r="A52" s="51"/>
      <c r="B52" s="62"/>
      <c r="C52" s="60"/>
      <c r="D52" s="60"/>
      <c r="E52" s="60"/>
      <c r="F52" s="51" t="s">
        <v>205</v>
      </c>
      <c r="G52" s="60"/>
      <c r="H52" s="61"/>
      <c r="I52" s="7"/>
    </row>
    <row r="53" spans="1:9" x14ac:dyDescent="0.25">
      <c r="A53" s="67" t="s">
        <v>110</v>
      </c>
      <c r="B53" s="18"/>
      <c r="C53" s="68" t="s">
        <v>111</v>
      </c>
      <c r="D53" s="68"/>
      <c r="E53" s="68"/>
      <c r="F53" s="48"/>
      <c r="G53" s="58"/>
      <c r="H53" s="49"/>
      <c r="I53" s="6"/>
    </row>
    <row r="54" spans="1:9" x14ac:dyDescent="0.25">
      <c r="A54" s="69"/>
      <c r="B54" s="7"/>
      <c r="C54" s="60" t="s">
        <v>112</v>
      </c>
      <c r="D54" s="60"/>
      <c r="E54" s="60"/>
      <c r="F54" s="51" t="s">
        <v>71</v>
      </c>
      <c r="G54" s="37" t="s">
        <v>71</v>
      </c>
      <c r="H54" s="61" t="s">
        <v>71</v>
      </c>
      <c r="I54" s="7" t="s">
        <v>71</v>
      </c>
    </row>
    <row r="55" spans="1:9" x14ac:dyDescent="0.25">
      <c r="A55" s="69"/>
      <c r="B55" s="70"/>
      <c r="C55" s="60"/>
      <c r="D55" s="60"/>
      <c r="E55" s="60"/>
      <c r="F55" s="51"/>
      <c r="G55" s="37"/>
      <c r="H55" s="61"/>
      <c r="I55" s="7"/>
    </row>
    <row r="56" spans="1:9" x14ac:dyDescent="0.25">
      <c r="A56" s="69"/>
      <c r="B56" s="7"/>
      <c r="C56" s="5" t="s">
        <v>118</v>
      </c>
      <c r="D56" s="60"/>
      <c r="E56" s="60"/>
      <c r="F56" s="59"/>
      <c r="G56" s="20">
        <f>SUM(G55:G55)</f>
        <v>0</v>
      </c>
      <c r="H56" s="71"/>
      <c r="I56" s="18">
        <f>SUM(I55:I55)</f>
        <v>0</v>
      </c>
    </row>
    <row r="57" spans="1:9" x14ac:dyDescent="0.25">
      <c r="A57" s="6"/>
      <c r="B57" s="6"/>
      <c r="C57" s="48"/>
      <c r="D57" s="58"/>
      <c r="E57" s="49"/>
      <c r="F57" s="48"/>
      <c r="G57" s="58"/>
      <c r="H57" s="49"/>
      <c r="I57" s="6"/>
    </row>
    <row r="58" spans="1:9" x14ac:dyDescent="0.25">
      <c r="A58" s="6" t="s">
        <v>48</v>
      </c>
      <c r="B58" s="25" t="s">
        <v>119</v>
      </c>
      <c r="C58" s="68" t="s">
        <v>120</v>
      </c>
      <c r="D58" s="58"/>
      <c r="E58" s="58"/>
      <c r="F58" s="48" t="s">
        <v>121</v>
      </c>
      <c r="G58" s="86"/>
      <c r="H58" s="49"/>
      <c r="I58" s="49"/>
    </row>
    <row r="59" spans="1:9" x14ac:dyDescent="0.25">
      <c r="A59" s="69" t="s">
        <v>71</v>
      </c>
      <c r="B59" s="70"/>
      <c r="C59" s="60"/>
      <c r="D59" s="60"/>
      <c r="E59" s="60"/>
      <c r="F59" s="51"/>
      <c r="G59" s="37" t="s">
        <v>71</v>
      </c>
      <c r="H59" s="61"/>
      <c r="I59" s="61"/>
    </row>
    <row r="60" spans="1:9" x14ac:dyDescent="0.25">
      <c r="A60" s="62"/>
      <c r="B60" s="62" t="s">
        <v>119</v>
      </c>
      <c r="C60" s="14" t="s">
        <v>118</v>
      </c>
      <c r="D60" s="74"/>
      <c r="E60" s="74"/>
      <c r="F60" s="52" t="s">
        <v>71</v>
      </c>
      <c r="G60" s="78">
        <f>SUM(G59)</f>
        <v>0</v>
      </c>
      <c r="H60" s="85"/>
      <c r="I60" s="85">
        <f>SUM(I59)</f>
        <v>0</v>
      </c>
    </row>
    <row r="61" spans="1:9" x14ac:dyDescent="0.25">
      <c r="A61" s="2"/>
      <c r="B61" s="2"/>
      <c r="C61" s="2" t="s">
        <v>71</v>
      </c>
      <c r="E61" s="2"/>
      <c r="F61" s="2"/>
      <c r="G61" s="2"/>
      <c r="H61" s="2"/>
    </row>
    <row r="62" spans="1:9" x14ac:dyDescent="0.25">
      <c r="A62" s="2" t="s">
        <v>241</v>
      </c>
      <c r="B62" s="2"/>
      <c r="C62" s="2"/>
      <c r="D62" s="2" t="s">
        <v>123</v>
      </c>
      <c r="E62" s="2"/>
      <c r="F62" s="2" t="s">
        <v>124</v>
      </c>
      <c r="H62" s="2" t="s">
        <v>125</v>
      </c>
      <c r="I62" s="2" t="s">
        <v>126</v>
      </c>
    </row>
    <row r="64" spans="1:9" x14ac:dyDescent="0.25">
      <c r="A64" s="118"/>
      <c r="B64" s="118"/>
      <c r="C64" s="118"/>
      <c r="D64" s="118"/>
      <c r="E64" s="118"/>
      <c r="F64" s="118"/>
      <c r="G64" s="118"/>
      <c r="H64" s="118"/>
      <c r="I64" s="118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4" zoomScale="110" zoomScaleNormal="110" workbookViewId="0">
      <selection activeCell="I54" sqref="I54:I58"/>
    </sheetView>
  </sheetViews>
  <sheetFormatPr defaultRowHeight="15" x14ac:dyDescent="0.25"/>
  <cols>
    <col min="1" max="1" width="5.140625" style="3" customWidth="1"/>
    <col min="2" max="2" width="36" style="3" customWidth="1"/>
    <col min="3" max="3" width="12.85546875" style="3" customWidth="1"/>
    <col min="4" max="4" width="11.85546875" style="3" customWidth="1"/>
    <col min="5" max="6" width="9.140625" style="3"/>
    <col min="7" max="8" width="11.42578125" style="3" customWidth="1"/>
    <col min="9" max="9" width="17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1" t="s">
        <v>823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824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825</v>
      </c>
      <c r="B4" s="1"/>
      <c r="C4" s="1"/>
      <c r="D4" s="1"/>
      <c r="E4" s="1"/>
      <c r="F4" s="1"/>
      <c r="G4" s="1"/>
      <c r="H4" s="1"/>
    </row>
    <row r="5" spans="1:9" x14ac:dyDescent="0.25">
      <c r="A5" s="1" t="s">
        <v>826</v>
      </c>
      <c r="B5" s="2"/>
      <c r="C5" s="2"/>
      <c r="D5" s="2"/>
      <c r="E5" s="1"/>
      <c r="F5" s="2"/>
      <c r="G5" s="2"/>
      <c r="H5" s="2"/>
    </row>
    <row r="6" spans="1:9" x14ac:dyDescent="0.25">
      <c r="A6" s="1" t="s">
        <v>827</v>
      </c>
      <c r="B6" s="2"/>
      <c r="C6" s="2"/>
      <c r="D6" s="2"/>
      <c r="E6" s="1"/>
      <c r="F6" s="2"/>
      <c r="G6" s="2"/>
      <c r="H6" s="2"/>
    </row>
    <row r="7" spans="1:9" x14ac:dyDescent="0.25">
      <c r="A7" s="2" t="s">
        <v>828</v>
      </c>
      <c r="B7" s="2"/>
      <c r="C7" s="2"/>
      <c r="D7" s="2"/>
      <c r="E7" s="2"/>
      <c r="F7" s="2"/>
      <c r="G7" s="2"/>
      <c r="H7" s="2"/>
    </row>
    <row r="8" spans="1:9" x14ac:dyDescent="0.25">
      <c r="A8" s="2" t="s">
        <v>829</v>
      </c>
      <c r="B8" s="2"/>
      <c r="C8" s="2"/>
      <c r="D8" s="2"/>
      <c r="E8" s="2"/>
      <c r="F8" s="2"/>
      <c r="G8" s="2"/>
      <c r="H8" s="2"/>
    </row>
    <row r="9" spans="1:9" x14ac:dyDescent="0.25">
      <c r="A9" s="2" t="s">
        <v>830</v>
      </c>
      <c r="B9" s="2"/>
      <c r="C9" s="2"/>
      <c r="D9" s="2"/>
      <c r="E9" s="2"/>
      <c r="F9" s="2"/>
      <c r="G9" s="2"/>
      <c r="H9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6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15</v>
      </c>
      <c r="I15" s="6" t="s">
        <v>19</v>
      </c>
    </row>
    <row r="16" spans="1:9" x14ac:dyDescent="0.25">
      <c r="A16" s="7" t="s">
        <v>20</v>
      </c>
      <c r="B16" s="7"/>
      <c r="C16" s="7" t="s">
        <v>134</v>
      </c>
      <c r="D16" s="7" t="s">
        <v>22</v>
      </c>
      <c r="E16" s="7" t="s">
        <v>23</v>
      </c>
      <c r="F16" s="7" t="s">
        <v>23</v>
      </c>
      <c r="G16" s="7" t="s">
        <v>24</v>
      </c>
      <c r="H16" s="7" t="s">
        <v>25</v>
      </c>
      <c r="I16" s="7" t="s">
        <v>26</v>
      </c>
    </row>
    <row r="17" spans="1:9" x14ac:dyDescent="0.25">
      <c r="A17" s="7"/>
      <c r="B17" s="7"/>
      <c r="C17" s="7" t="s">
        <v>27</v>
      </c>
      <c r="D17" s="7" t="s">
        <v>28</v>
      </c>
      <c r="E17" s="7"/>
      <c r="F17" s="7"/>
      <c r="G17" s="7" t="s">
        <v>29</v>
      </c>
      <c r="H17" s="7" t="s">
        <v>30</v>
      </c>
      <c r="I17" s="7" t="s">
        <v>31</v>
      </c>
    </row>
    <row r="18" spans="1:9" x14ac:dyDescent="0.25">
      <c r="A18" s="7"/>
      <c r="B18" s="7"/>
      <c r="C18" s="7" t="s">
        <v>32</v>
      </c>
      <c r="D18" s="7" t="s">
        <v>33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30</v>
      </c>
    </row>
    <row r="19" spans="1:9" x14ac:dyDescent="0.25">
      <c r="A19" s="48">
        <v>1</v>
      </c>
      <c r="B19" s="6">
        <v>2</v>
      </c>
      <c r="C19" s="58">
        <v>3</v>
      </c>
      <c r="D19" s="6">
        <v>4</v>
      </c>
      <c r="E19" s="58">
        <v>5</v>
      </c>
      <c r="F19" s="6">
        <v>6</v>
      </c>
      <c r="G19" s="58">
        <v>7</v>
      </c>
      <c r="H19" s="6">
        <v>8</v>
      </c>
      <c r="I19" s="6">
        <v>9</v>
      </c>
    </row>
    <row r="20" spans="1:9" x14ac:dyDescent="0.25">
      <c r="A20" s="42">
        <v>1</v>
      </c>
      <c r="B20" s="11" t="s">
        <v>35</v>
      </c>
      <c r="C20" s="11">
        <v>7.56</v>
      </c>
      <c r="D20" s="43">
        <v>-15900.86</v>
      </c>
      <c r="E20" s="41">
        <v>218081.64</v>
      </c>
      <c r="F20" s="42">
        <v>223341.84</v>
      </c>
      <c r="G20" s="43">
        <f t="shared" ref="G20:G26" si="0">E20</f>
        <v>218081.64</v>
      </c>
      <c r="H20" s="32">
        <f>D20+F20-G20</f>
        <v>-10640.660000000033</v>
      </c>
      <c r="I20" s="43">
        <f>H20</f>
        <v>-10640.660000000033</v>
      </c>
    </row>
    <row r="21" spans="1:9" x14ac:dyDescent="0.25">
      <c r="A21" s="7" t="s">
        <v>36</v>
      </c>
      <c r="B21" s="62" t="s">
        <v>37</v>
      </c>
      <c r="C21" s="62">
        <v>2.62</v>
      </c>
      <c r="D21" s="54"/>
      <c r="E21" s="79">
        <f>E20*34.5%</f>
        <v>75238.165800000002</v>
      </c>
      <c r="F21" s="55">
        <f>F20*34.5%</f>
        <v>77052.934799999988</v>
      </c>
      <c r="G21" s="54">
        <f t="shared" si="0"/>
        <v>75238.165800000002</v>
      </c>
      <c r="H21" s="80"/>
      <c r="I21" s="54"/>
    </row>
    <row r="22" spans="1:9" x14ac:dyDescent="0.25">
      <c r="A22" s="24" t="s">
        <v>38</v>
      </c>
      <c r="B22" s="6" t="s">
        <v>39</v>
      </c>
      <c r="C22" s="6">
        <v>1.33</v>
      </c>
      <c r="D22" s="75"/>
      <c r="E22" s="39">
        <f>E20*18%</f>
        <v>39254.695200000002</v>
      </c>
      <c r="F22" s="40">
        <f>F20*18%</f>
        <v>40201.531199999998</v>
      </c>
      <c r="G22" s="29">
        <f t="shared" si="0"/>
        <v>39254.695200000002</v>
      </c>
      <c r="H22" s="35"/>
      <c r="I22" s="75"/>
    </row>
    <row r="23" spans="1:9" x14ac:dyDescent="0.25">
      <c r="A23" s="24" t="s">
        <v>40</v>
      </c>
      <c r="B23" s="6" t="s">
        <v>41</v>
      </c>
      <c r="C23" s="75">
        <v>1.22</v>
      </c>
      <c r="D23" s="75"/>
      <c r="E23" s="22">
        <f>E20*16%</f>
        <v>34893.062400000003</v>
      </c>
      <c r="F23" s="38">
        <f>F20*16%</f>
        <v>35734.6944</v>
      </c>
      <c r="G23" s="29">
        <f t="shared" si="0"/>
        <v>34893.062400000003</v>
      </c>
      <c r="H23" s="37"/>
      <c r="I23" s="75"/>
    </row>
    <row r="24" spans="1:9" x14ac:dyDescent="0.25">
      <c r="A24" s="24" t="s">
        <v>42</v>
      </c>
      <c r="B24" s="6" t="s">
        <v>43</v>
      </c>
      <c r="C24" s="6">
        <v>2.39</v>
      </c>
      <c r="D24" s="75"/>
      <c r="E24" s="86">
        <f>E20*31.5%</f>
        <v>68695.7166</v>
      </c>
      <c r="F24" s="105">
        <f>F20*31.5%</f>
        <v>70352.679600000003</v>
      </c>
      <c r="G24" s="29">
        <f t="shared" si="0"/>
        <v>68695.7166</v>
      </c>
      <c r="H24" s="30"/>
      <c r="I24" s="75"/>
    </row>
    <row r="25" spans="1:9" x14ac:dyDescent="0.25">
      <c r="A25" s="24" t="s">
        <v>44</v>
      </c>
      <c r="B25" s="6" t="s">
        <v>47</v>
      </c>
      <c r="C25" s="6">
        <v>1.2144200000000001</v>
      </c>
      <c r="D25" s="6">
        <v>-889.3</v>
      </c>
      <c r="E25" s="58">
        <v>29212.959999999999</v>
      </c>
      <c r="F25" s="48">
        <v>24496.66</v>
      </c>
      <c r="G25" s="6">
        <f>E25</f>
        <v>29212.959999999999</v>
      </c>
      <c r="H25" s="25">
        <f>D25+F25-G25</f>
        <v>-5605.5999999999985</v>
      </c>
      <c r="I25" s="25">
        <f>H25</f>
        <v>-5605.5999999999985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-22187.98</v>
      </c>
      <c r="E26" s="11">
        <v>97646.85</v>
      </c>
      <c r="F26" s="42">
        <v>95284.25</v>
      </c>
      <c r="G26" s="43">
        <f t="shared" si="0"/>
        <v>97646.85</v>
      </c>
      <c r="H26" s="223">
        <f>D26+F26-G26</f>
        <v>-24550.58</v>
      </c>
      <c r="I26" s="43">
        <f>H26</f>
        <v>-24550.58</v>
      </c>
    </row>
    <row r="27" spans="1:9" x14ac:dyDescent="0.25">
      <c r="A27" s="25" t="s">
        <v>51</v>
      </c>
      <c r="B27" s="12" t="s">
        <v>195</v>
      </c>
      <c r="C27" s="12">
        <v>1.65</v>
      </c>
      <c r="D27" s="43">
        <v>20418.8</v>
      </c>
      <c r="E27" s="17">
        <v>47598.6</v>
      </c>
      <c r="F27" s="17">
        <f>F28+F29</f>
        <v>50217.35</v>
      </c>
      <c r="G27" s="18">
        <f>I58</f>
        <v>21286.670000000002</v>
      </c>
      <c r="H27" s="21">
        <f>D27+F27-G27</f>
        <v>49349.479999999996</v>
      </c>
      <c r="I27" s="43" t="s">
        <v>71</v>
      </c>
    </row>
    <row r="28" spans="1:9" x14ac:dyDescent="0.25">
      <c r="A28" s="11"/>
      <c r="B28" s="9" t="s">
        <v>53</v>
      </c>
      <c r="C28" s="11"/>
      <c r="D28" s="43"/>
      <c r="E28" s="12">
        <v>0</v>
      </c>
      <c r="F28" s="12">
        <v>48873.53</v>
      </c>
      <c r="G28" s="33">
        <f>G27</f>
        <v>21286.670000000002</v>
      </c>
      <c r="H28" s="34"/>
      <c r="I28" s="43"/>
    </row>
    <row r="29" spans="1:9" x14ac:dyDescent="0.25">
      <c r="A29" s="11"/>
      <c r="B29" s="9" t="s">
        <v>54</v>
      </c>
      <c r="C29" s="11"/>
      <c r="D29" s="43"/>
      <c r="E29" s="43">
        <v>0</v>
      </c>
      <c r="F29" s="43">
        <v>1343.82</v>
      </c>
      <c r="G29" s="33"/>
      <c r="H29" s="34"/>
      <c r="I29" s="43"/>
    </row>
    <row r="30" spans="1:9" x14ac:dyDescent="0.25">
      <c r="A30" s="11" t="s">
        <v>55</v>
      </c>
      <c r="B30" s="11" t="s">
        <v>146</v>
      </c>
      <c r="C30" s="41"/>
      <c r="D30" s="43"/>
      <c r="E30" s="41"/>
      <c r="F30" s="11"/>
      <c r="G30" s="42"/>
      <c r="H30" s="43"/>
      <c r="I30" s="43"/>
    </row>
    <row r="31" spans="1:9" x14ac:dyDescent="0.25">
      <c r="A31" s="12"/>
      <c r="B31" s="12" t="s">
        <v>831</v>
      </c>
      <c r="C31" s="85">
        <v>0</v>
      </c>
      <c r="D31" s="17">
        <v>28.65</v>
      </c>
      <c r="E31" s="12">
        <v>0</v>
      </c>
      <c r="F31" s="12">
        <f>F32</f>
        <v>0.04</v>
      </c>
      <c r="G31" s="15">
        <v>0</v>
      </c>
      <c r="H31" s="17">
        <f>D31+F31</f>
        <v>28.689999999999998</v>
      </c>
      <c r="I31" s="17"/>
    </row>
    <row r="32" spans="1:9" x14ac:dyDescent="0.25">
      <c r="A32" s="9"/>
      <c r="B32" s="9" t="s">
        <v>53</v>
      </c>
      <c r="C32" s="9">
        <v>0</v>
      </c>
      <c r="D32" s="29"/>
      <c r="E32" s="9">
        <v>0</v>
      </c>
      <c r="F32" s="9">
        <v>0.04</v>
      </c>
      <c r="G32" s="8">
        <v>0</v>
      </c>
      <c r="H32" s="54"/>
      <c r="I32" s="29"/>
    </row>
    <row r="33" spans="1:9" x14ac:dyDescent="0.25">
      <c r="A33" s="60"/>
      <c r="B33" s="5"/>
      <c r="C33" s="60"/>
      <c r="D33" s="37"/>
      <c r="E33" s="60"/>
      <c r="F33" s="60"/>
      <c r="G33" s="60"/>
      <c r="H33" s="37"/>
      <c r="I33" s="37"/>
    </row>
    <row r="34" spans="1:9" x14ac:dyDescent="0.25">
      <c r="A34" s="1" t="s">
        <v>58</v>
      </c>
      <c r="B34" s="60"/>
      <c r="C34" s="60"/>
      <c r="D34" s="60"/>
      <c r="E34" s="60"/>
      <c r="F34" s="60"/>
      <c r="G34" s="60"/>
      <c r="H34" s="37"/>
      <c r="I34" s="37"/>
    </row>
    <row r="35" spans="1:9" x14ac:dyDescent="0.25">
      <c r="A35" s="57" t="s">
        <v>59</v>
      </c>
      <c r="B35" s="48" t="s">
        <v>60</v>
      </c>
      <c r="C35" s="6" t="s">
        <v>64</v>
      </c>
      <c r="D35" s="6" t="s">
        <v>62</v>
      </c>
      <c r="E35" s="6" t="s">
        <v>832</v>
      </c>
      <c r="F35" s="6" t="s">
        <v>64</v>
      </c>
      <c r="G35" s="6"/>
      <c r="H35" s="48" t="s">
        <v>199</v>
      </c>
      <c r="I35" s="49"/>
    </row>
    <row r="36" spans="1:9" x14ac:dyDescent="0.25">
      <c r="A36" s="59"/>
      <c r="B36" s="51"/>
      <c r="C36" s="62" t="s">
        <v>66</v>
      </c>
      <c r="D36" s="62" t="s">
        <v>23</v>
      </c>
      <c r="E36" s="62" t="s">
        <v>833</v>
      </c>
      <c r="F36" s="62" t="s">
        <v>30</v>
      </c>
      <c r="G36" s="62"/>
      <c r="H36" s="52"/>
      <c r="I36" s="53"/>
    </row>
    <row r="37" spans="1:9" x14ac:dyDescent="0.25">
      <c r="A37" s="52"/>
      <c r="B37" s="52" t="s">
        <v>68</v>
      </c>
      <c r="C37" s="62">
        <v>8785.5</v>
      </c>
      <c r="D37" s="62">
        <v>5553</v>
      </c>
      <c r="E37" s="54">
        <f>D37*15%</f>
        <v>832.94999999999993</v>
      </c>
      <c r="F37" s="54">
        <f>C37+(D37-E37)</f>
        <v>13505.55</v>
      </c>
      <c r="G37" s="54"/>
      <c r="H37" s="40">
        <f>F37-G37</f>
        <v>13505.55</v>
      </c>
      <c r="I37" s="50"/>
    </row>
    <row r="38" spans="1:9" x14ac:dyDescent="0.25">
      <c r="A38" s="5" t="s">
        <v>69</v>
      </c>
      <c r="B38" s="5"/>
      <c r="C38" s="5"/>
      <c r="D38" s="56"/>
      <c r="E38" s="5"/>
      <c r="F38" s="5"/>
      <c r="G38" s="5"/>
      <c r="H38" s="5"/>
      <c r="I38" s="5"/>
    </row>
    <row r="39" spans="1:9" x14ac:dyDescent="0.25">
      <c r="A39" s="1" t="s">
        <v>70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6" t="s">
        <v>71</v>
      </c>
      <c r="B40" s="57" t="s">
        <v>72</v>
      </c>
      <c r="C40" s="6" t="s">
        <v>73</v>
      </c>
      <c r="D40" s="48" t="s">
        <v>74</v>
      </c>
      <c r="E40" s="6" t="s">
        <v>75</v>
      </c>
      <c r="F40" s="58" t="s">
        <v>76</v>
      </c>
      <c r="G40" s="6" t="s">
        <v>77</v>
      </c>
      <c r="H40" s="58" t="s">
        <v>78</v>
      </c>
      <c r="I40" s="6" t="s">
        <v>19</v>
      </c>
    </row>
    <row r="41" spans="1:9" x14ac:dyDescent="0.25">
      <c r="A41" s="7"/>
      <c r="B41" s="59" t="s">
        <v>79</v>
      </c>
      <c r="C41" s="7" t="s">
        <v>80</v>
      </c>
      <c r="D41" s="51" t="s">
        <v>81</v>
      </c>
      <c r="E41" s="7" t="s">
        <v>82</v>
      </c>
      <c r="F41" s="60" t="s">
        <v>83</v>
      </c>
      <c r="G41" s="7" t="s">
        <v>84</v>
      </c>
      <c r="H41" s="60" t="s">
        <v>85</v>
      </c>
      <c r="I41" s="7" t="s">
        <v>86</v>
      </c>
    </row>
    <row r="42" spans="1:9" x14ac:dyDescent="0.25">
      <c r="A42" s="7"/>
      <c r="B42" s="51"/>
      <c r="C42" s="7"/>
      <c r="D42" s="52"/>
      <c r="E42" s="62"/>
      <c r="F42" s="74" t="s">
        <v>87</v>
      </c>
      <c r="G42" s="62" t="s">
        <v>88</v>
      </c>
      <c r="H42" s="74"/>
      <c r="I42" s="62" t="s">
        <v>239</v>
      </c>
    </row>
    <row r="43" spans="1:9" x14ac:dyDescent="0.25">
      <c r="A43" s="9">
        <v>1</v>
      </c>
      <c r="B43" s="9" t="s">
        <v>90</v>
      </c>
      <c r="C43" s="11" t="s">
        <v>91</v>
      </c>
      <c r="D43" s="7">
        <v>-99618.11</v>
      </c>
      <c r="E43" s="81">
        <v>319083.84999999998</v>
      </c>
      <c r="F43" s="52">
        <v>299575.98</v>
      </c>
      <c r="G43" s="62">
        <f>E43</f>
        <v>319083.84999999998</v>
      </c>
      <c r="H43" s="62">
        <f>D43+F43-G43</f>
        <v>-119125.97999999998</v>
      </c>
      <c r="I43" s="7">
        <f>H43</f>
        <v>-119125.97999999998</v>
      </c>
    </row>
    <row r="44" spans="1:9" x14ac:dyDescent="0.25">
      <c r="A44" s="9"/>
      <c r="B44" s="9" t="s">
        <v>92</v>
      </c>
      <c r="C44" s="41" t="s">
        <v>93</v>
      </c>
      <c r="D44" s="9"/>
      <c r="E44" s="65"/>
      <c r="F44" s="8"/>
      <c r="G44" s="62"/>
      <c r="H44" s="62"/>
      <c r="I44" s="9"/>
    </row>
    <row r="45" spans="1:9" x14ac:dyDescent="0.25">
      <c r="A45" s="9">
        <v>2</v>
      </c>
      <c r="B45" s="9" t="s">
        <v>98</v>
      </c>
      <c r="C45" s="41" t="s">
        <v>203</v>
      </c>
      <c r="D45" s="9">
        <v>-386724.71</v>
      </c>
      <c r="E45" s="10">
        <v>843657.33</v>
      </c>
      <c r="F45" s="8">
        <v>847194.33</v>
      </c>
      <c r="G45" s="62">
        <f>E45</f>
        <v>843657.33</v>
      </c>
      <c r="H45" s="62">
        <f>D45+F45-G45</f>
        <v>-383187.71</v>
      </c>
      <c r="I45" s="9">
        <f>H45</f>
        <v>-383187.71</v>
      </c>
    </row>
    <row r="46" spans="1:9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9" x14ac:dyDescent="0.25">
      <c r="A47" s="1" t="s">
        <v>100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5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398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834</v>
      </c>
      <c r="G50" s="60"/>
      <c r="H50" s="61"/>
      <c r="I50" s="7" t="s">
        <v>108</v>
      </c>
    </row>
    <row r="51" spans="1:9" x14ac:dyDescent="0.25">
      <c r="A51" s="51"/>
      <c r="B51" s="62"/>
      <c r="C51" s="60"/>
      <c r="D51" s="60"/>
      <c r="E51" s="60"/>
      <c r="F51" s="51" t="s">
        <v>835</v>
      </c>
      <c r="G51" s="60"/>
      <c r="H51" s="61"/>
      <c r="I51" s="7"/>
    </row>
    <row r="52" spans="1:9" x14ac:dyDescent="0.25">
      <c r="A52" s="67" t="s">
        <v>110</v>
      </c>
      <c r="B52" s="18"/>
      <c r="C52" s="68" t="s">
        <v>111</v>
      </c>
      <c r="D52" s="68"/>
      <c r="E52" s="68"/>
      <c r="F52" s="48"/>
      <c r="G52" s="58"/>
      <c r="H52" s="49"/>
      <c r="I52" s="6"/>
    </row>
    <row r="53" spans="1:9" x14ac:dyDescent="0.25">
      <c r="A53" s="69"/>
      <c r="B53" s="7"/>
      <c r="C53" s="60" t="s">
        <v>112</v>
      </c>
      <c r="D53" s="60"/>
      <c r="E53" s="60"/>
      <c r="F53" s="51" t="s">
        <v>71</v>
      </c>
      <c r="G53" s="37"/>
      <c r="H53" s="61" t="s">
        <v>71</v>
      </c>
      <c r="I53" s="7" t="s">
        <v>71</v>
      </c>
    </row>
    <row r="54" spans="1:9" x14ac:dyDescent="0.25">
      <c r="A54" s="69" t="s">
        <v>113</v>
      </c>
      <c r="B54" s="70">
        <v>42925</v>
      </c>
      <c r="C54" s="60" t="s">
        <v>446</v>
      </c>
      <c r="D54" s="60"/>
      <c r="E54" s="60"/>
      <c r="F54" s="51"/>
      <c r="G54" s="37">
        <f>I54/2534.8</f>
        <v>4.7341013097680289</v>
      </c>
      <c r="H54" s="61"/>
      <c r="I54" s="7">
        <v>12000</v>
      </c>
    </row>
    <row r="55" spans="1:9" x14ac:dyDescent="0.25">
      <c r="A55" s="69" t="s">
        <v>38</v>
      </c>
      <c r="B55" s="70">
        <v>42978</v>
      </c>
      <c r="C55" s="60" t="s">
        <v>836</v>
      </c>
      <c r="D55" s="60"/>
      <c r="E55" s="60"/>
      <c r="F55" s="51"/>
      <c r="G55" s="37">
        <f>I55/2534.8</f>
        <v>1.2296985955499447</v>
      </c>
      <c r="H55" s="61"/>
      <c r="I55" s="7">
        <v>3117.04</v>
      </c>
    </row>
    <row r="56" spans="1:9" x14ac:dyDescent="0.25">
      <c r="A56" s="69" t="s">
        <v>40</v>
      </c>
      <c r="B56" s="70">
        <v>43063</v>
      </c>
      <c r="C56" s="60" t="s">
        <v>837</v>
      </c>
      <c r="D56" s="60"/>
      <c r="E56" s="60"/>
      <c r="F56" s="51"/>
      <c r="G56" s="37">
        <f>I56/2534.8</f>
        <v>2.4339711219820104</v>
      </c>
      <c r="H56" s="61"/>
      <c r="I56" s="7">
        <v>6169.63</v>
      </c>
    </row>
    <row r="57" spans="1:9" x14ac:dyDescent="0.25">
      <c r="A57" s="69"/>
      <c r="B57" s="70"/>
      <c r="C57" s="60"/>
      <c r="D57" s="60"/>
      <c r="E57" s="60"/>
      <c r="F57" s="51"/>
      <c r="G57" s="37"/>
      <c r="H57" s="61"/>
      <c r="I57" s="7"/>
    </row>
    <row r="58" spans="1:9" x14ac:dyDescent="0.25">
      <c r="A58" s="69"/>
      <c r="B58" s="7"/>
      <c r="C58" s="5" t="s">
        <v>118</v>
      </c>
      <c r="D58" s="5"/>
      <c r="E58" s="5"/>
      <c r="F58" s="59"/>
      <c r="G58" s="20">
        <f>SUM(G54:G57)</f>
        <v>8.3977710272999833</v>
      </c>
      <c r="H58" s="71"/>
      <c r="I58" s="18">
        <f>SUM(I54:I57)</f>
        <v>21286.670000000002</v>
      </c>
    </row>
    <row r="59" spans="1:9" x14ac:dyDescent="0.25">
      <c r="A59" s="6"/>
      <c r="B59" s="6"/>
      <c r="C59" s="48"/>
      <c r="D59" s="58"/>
      <c r="E59" s="49"/>
      <c r="F59" s="48"/>
      <c r="G59" s="58"/>
      <c r="H59" s="49"/>
      <c r="I59" s="6"/>
    </row>
    <row r="60" spans="1:9" x14ac:dyDescent="0.25">
      <c r="A60" s="6" t="s">
        <v>48</v>
      </c>
      <c r="B60" s="25" t="s">
        <v>119</v>
      </c>
      <c r="C60" s="68" t="s">
        <v>120</v>
      </c>
      <c r="D60" s="58"/>
      <c r="E60" s="58"/>
      <c r="F60" s="48" t="s">
        <v>121</v>
      </c>
      <c r="G60" s="86"/>
      <c r="H60" s="49"/>
      <c r="I60" s="49"/>
    </row>
    <row r="61" spans="1:9" x14ac:dyDescent="0.25">
      <c r="A61" s="69"/>
      <c r="B61" s="70"/>
      <c r="C61" s="60"/>
      <c r="D61" s="60"/>
      <c r="E61" s="60"/>
      <c r="F61" s="51"/>
      <c r="G61" s="37"/>
      <c r="H61" s="61"/>
      <c r="I61" s="7"/>
    </row>
    <row r="62" spans="1:9" x14ac:dyDescent="0.25">
      <c r="A62" s="62"/>
      <c r="B62" s="62" t="s">
        <v>119</v>
      </c>
      <c r="C62" s="74" t="s">
        <v>118</v>
      </c>
      <c r="D62" s="74"/>
      <c r="E62" s="74"/>
      <c r="F62" s="52" t="s">
        <v>71</v>
      </c>
      <c r="G62" s="79"/>
      <c r="H62" s="53"/>
      <c r="I62" s="53">
        <f>SUM(I60:I60)</f>
        <v>0</v>
      </c>
    </row>
    <row r="63" spans="1:9" x14ac:dyDescent="0.25">
      <c r="A63" s="2"/>
      <c r="B63" s="2"/>
      <c r="C63" s="2" t="s">
        <v>71</v>
      </c>
      <c r="E63" s="2"/>
      <c r="F63" s="2"/>
      <c r="G63" s="2"/>
      <c r="H63" s="2"/>
    </row>
    <row r="64" spans="1:9" x14ac:dyDescent="0.25">
      <c r="A64" s="2" t="s">
        <v>838</v>
      </c>
      <c r="B64" s="2"/>
      <c r="C64" s="2" t="s">
        <v>451</v>
      </c>
      <c r="E64" s="2" t="s">
        <v>123</v>
      </c>
      <c r="F64" s="2"/>
      <c r="G64" s="2" t="s">
        <v>124</v>
      </c>
      <c r="H64" s="2" t="s">
        <v>125</v>
      </c>
      <c r="I64" s="2" t="s">
        <v>126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110" zoomScaleNormal="110" workbookViewId="0">
      <selection activeCell="A3" sqref="A3"/>
    </sheetView>
  </sheetViews>
  <sheetFormatPr defaultRowHeight="15" x14ac:dyDescent="0.25"/>
  <cols>
    <col min="1" max="1" width="4.28515625" style="3" customWidth="1"/>
    <col min="2" max="2" width="26.28515625" style="3" customWidth="1"/>
    <col min="3" max="3" width="12.7109375" style="3" customWidth="1"/>
    <col min="4" max="4" width="11.5703125" style="3" customWidth="1"/>
    <col min="5" max="6" width="9.140625" style="3"/>
    <col min="7" max="7" width="11" style="3" customWidth="1"/>
    <col min="8" max="8" width="13" style="3" customWidth="1"/>
    <col min="9" max="9" width="18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839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840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841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30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6">
        <v>9</v>
      </c>
    </row>
    <row r="19" spans="1:9" x14ac:dyDescent="0.25">
      <c r="A19" s="15">
        <v>1</v>
      </c>
      <c r="B19" s="12" t="s">
        <v>842</v>
      </c>
      <c r="C19" s="78">
        <v>7.56</v>
      </c>
      <c r="D19" s="16">
        <v>-10588.02</v>
      </c>
      <c r="E19" s="17">
        <v>51048.12</v>
      </c>
      <c r="F19" s="17">
        <v>50331.71</v>
      </c>
      <c r="G19" s="16">
        <f>E19</f>
        <v>51048.12</v>
      </c>
      <c r="H19" s="16">
        <f>D19+F19-G19</f>
        <v>-11304.43</v>
      </c>
      <c r="I19" s="43">
        <f>H19</f>
        <v>-11304.43</v>
      </c>
    </row>
    <row r="20" spans="1:9" x14ac:dyDescent="0.25">
      <c r="A20" s="7" t="s">
        <v>36</v>
      </c>
      <c r="B20" s="7" t="s">
        <v>457</v>
      </c>
      <c r="C20" s="37"/>
      <c r="D20" s="38"/>
      <c r="E20" s="22"/>
      <c r="F20" s="22"/>
      <c r="G20" s="37"/>
      <c r="H20" s="38"/>
      <c r="I20" s="22"/>
    </row>
    <row r="21" spans="1:9" x14ac:dyDescent="0.25">
      <c r="A21" s="62"/>
      <c r="B21" s="62" t="s">
        <v>458</v>
      </c>
      <c r="C21" s="79">
        <v>2.62</v>
      </c>
      <c r="D21" s="38"/>
      <c r="E21" s="54">
        <f>E19*34.5%</f>
        <v>17611.6014</v>
      </c>
      <c r="F21" s="54">
        <f>F19*34.5%</f>
        <v>17364.43995</v>
      </c>
      <c r="G21" s="37">
        <f>E21</f>
        <v>17611.6014</v>
      </c>
      <c r="H21" s="38"/>
      <c r="I21" s="22"/>
    </row>
    <row r="22" spans="1:9" x14ac:dyDescent="0.25">
      <c r="A22" s="24" t="s">
        <v>38</v>
      </c>
      <c r="B22" s="6" t="s">
        <v>295</v>
      </c>
      <c r="C22" s="86">
        <v>1.33</v>
      </c>
      <c r="D22" s="105"/>
      <c r="E22" s="75">
        <f>E19*18%</f>
        <v>9188.6615999999995</v>
      </c>
      <c r="F22" s="75">
        <f>F19*18%</f>
        <v>9059.7078000000001</v>
      </c>
      <c r="G22" s="105">
        <f>E22</f>
        <v>9188.6615999999995</v>
      </c>
      <c r="H22" s="105"/>
      <c r="I22" s="75"/>
    </row>
    <row r="23" spans="1:9" x14ac:dyDescent="0.25">
      <c r="A23" s="62"/>
      <c r="B23" s="62" t="s">
        <v>581</v>
      </c>
      <c r="C23" s="79"/>
      <c r="D23" s="55"/>
      <c r="E23" s="54"/>
      <c r="F23" s="54"/>
      <c r="G23" s="55"/>
      <c r="H23" s="55"/>
      <c r="I23" s="54"/>
    </row>
    <row r="24" spans="1:9" x14ac:dyDescent="0.25">
      <c r="A24" s="24" t="s">
        <v>40</v>
      </c>
      <c r="B24" s="6" t="s">
        <v>41</v>
      </c>
      <c r="C24" s="86">
        <v>1.22</v>
      </c>
      <c r="D24" s="38"/>
      <c r="E24" s="75">
        <f xml:space="preserve"> E19*16/100</f>
        <v>8167.6992</v>
      </c>
      <c r="F24" s="75">
        <f>F19*16/100</f>
        <v>8053.0735999999997</v>
      </c>
      <c r="G24" s="37">
        <f>E24</f>
        <v>8167.6992</v>
      </c>
      <c r="H24" s="38"/>
      <c r="I24" s="22"/>
    </row>
    <row r="25" spans="1:9" x14ac:dyDescent="0.25">
      <c r="A25" s="24" t="s">
        <v>42</v>
      </c>
      <c r="B25" s="6" t="s">
        <v>43</v>
      </c>
      <c r="C25" s="86">
        <v>2.39</v>
      </c>
      <c r="D25" s="105"/>
      <c r="E25" s="29">
        <f>E19*31.5/100</f>
        <v>16080.157800000001</v>
      </c>
      <c r="F25" s="29">
        <f>F19*31.5/100</f>
        <v>15854.488649999999</v>
      </c>
      <c r="G25" s="40">
        <f>E25</f>
        <v>16080.157800000001</v>
      </c>
      <c r="H25" s="40"/>
      <c r="I25" s="29"/>
    </row>
    <row r="26" spans="1:9" x14ac:dyDescent="0.25">
      <c r="A26" s="24" t="s">
        <v>44</v>
      </c>
      <c r="B26" s="6" t="s">
        <v>47</v>
      </c>
      <c r="C26" s="106">
        <v>1.57725</v>
      </c>
      <c r="D26" s="105"/>
      <c r="E26" s="9">
        <v>8376.49</v>
      </c>
      <c r="F26" s="62">
        <v>6997.45</v>
      </c>
      <c r="G26" s="74">
        <f>E26</f>
        <v>8376.49</v>
      </c>
      <c r="H26" s="12">
        <f>F26-E26</f>
        <v>-1379.04</v>
      </c>
      <c r="I26" s="85">
        <f>H26</f>
        <v>-1379.04</v>
      </c>
    </row>
    <row r="27" spans="1:9" x14ac:dyDescent="0.25">
      <c r="A27" s="11" t="s">
        <v>48</v>
      </c>
      <c r="B27" s="11" t="s">
        <v>49</v>
      </c>
      <c r="C27" s="11" t="s">
        <v>50</v>
      </c>
      <c r="D27" s="43">
        <v>-4207.8</v>
      </c>
      <c r="E27" s="11">
        <v>22856.91</v>
      </c>
      <c r="F27" s="11">
        <v>21452.67</v>
      </c>
      <c r="G27" s="41">
        <f>E27</f>
        <v>22856.91</v>
      </c>
      <c r="H27" s="42">
        <f>D27++F27-G27</f>
        <v>-5612.0400000000009</v>
      </c>
      <c r="I27" s="43">
        <f>H27</f>
        <v>-5612.0400000000009</v>
      </c>
    </row>
    <row r="28" spans="1:9" x14ac:dyDescent="0.25">
      <c r="A28" s="25" t="s">
        <v>51</v>
      </c>
      <c r="B28" s="25" t="s">
        <v>216</v>
      </c>
      <c r="C28" s="25"/>
      <c r="D28" s="28"/>
      <c r="E28" s="45"/>
      <c r="F28" s="45"/>
      <c r="G28" s="45"/>
      <c r="H28" s="28"/>
      <c r="I28" s="45"/>
    </row>
    <row r="29" spans="1:9" x14ac:dyDescent="0.25">
      <c r="A29" s="18"/>
      <c r="B29" s="12" t="s">
        <v>217</v>
      </c>
      <c r="C29" s="12">
        <v>1.65</v>
      </c>
      <c r="D29" s="15">
        <v>70894.55</v>
      </c>
      <c r="E29" s="18">
        <v>11141.88</v>
      </c>
      <c r="F29" s="12">
        <v>10987.71</v>
      </c>
      <c r="G29" s="12">
        <f>I57</f>
        <v>19361.53</v>
      </c>
      <c r="H29" s="15">
        <f>D29+F29-G29</f>
        <v>62520.73000000001</v>
      </c>
      <c r="I29" s="17"/>
    </row>
    <row r="30" spans="1:9" x14ac:dyDescent="0.25">
      <c r="A30" s="25" t="s">
        <v>55</v>
      </c>
      <c r="B30" s="18" t="s">
        <v>146</v>
      </c>
      <c r="C30" s="68"/>
      <c r="D30" s="59" t="s">
        <v>71</v>
      </c>
      <c r="E30" s="25"/>
      <c r="F30" s="18"/>
      <c r="G30" s="18"/>
      <c r="H30" s="59" t="s">
        <v>71</v>
      </c>
      <c r="I30" s="43"/>
    </row>
    <row r="31" spans="1:9" x14ac:dyDescent="0.25">
      <c r="A31" s="11"/>
      <c r="B31" s="11" t="s">
        <v>276</v>
      </c>
      <c r="C31" s="41">
        <v>0</v>
      </c>
      <c r="D31" s="42">
        <v>4545.5200000000004</v>
      </c>
      <c r="E31" s="11">
        <v>0</v>
      </c>
      <c r="F31" s="11">
        <v>0</v>
      </c>
      <c r="G31" s="11">
        <f>I61</f>
        <v>0</v>
      </c>
      <c r="H31" s="42">
        <f>D31+F31-G31</f>
        <v>4545.5200000000004</v>
      </c>
      <c r="I31" s="44"/>
    </row>
    <row r="32" spans="1:9" x14ac:dyDescent="0.25">
      <c r="A32" s="9"/>
      <c r="B32" s="9" t="s">
        <v>53</v>
      </c>
      <c r="C32" s="10"/>
      <c r="D32" s="8"/>
      <c r="E32" s="9">
        <v>0</v>
      </c>
      <c r="F32" s="9">
        <v>0</v>
      </c>
      <c r="G32" s="9">
        <f>G31</f>
        <v>0</v>
      </c>
      <c r="H32" s="8"/>
      <c r="I32" s="29"/>
    </row>
    <row r="33" spans="1:9" x14ac:dyDescent="0.25">
      <c r="A33" s="1" t="s">
        <v>58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5" t="s">
        <v>69</v>
      </c>
    </row>
    <row r="37" spans="1:9" x14ac:dyDescent="0.25">
      <c r="A37" s="1" t="s">
        <v>70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6" t="s">
        <v>71</v>
      </c>
      <c r="B38" s="68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48" t="s">
        <v>77</v>
      </c>
      <c r="H38" s="75" t="s">
        <v>15</v>
      </c>
      <c r="I38" s="49" t="s">
        <v>19</v>
      </c>
    </row>
    <row r="39" spans="1:9" x14ac:dyDescent="0.25">
      <c r="A39" s="7"/>
      <c r="B39" s="5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51" t="s">
        <v>84</v>
      </c>
      <c r="H39" s="22" t="s">
        <v>25</v>
      </c>
      <c r="I39" s="61" t="s">
        <v>86</v>
      </c>
    </row>
    <row r="40" spans="1:9" x14ac:dyDescent="0.25">
      <c r="A40" s="7"/>
      <c r="B40" s="60"/>
      <c r="C40" s="7"/>
      <c r="D40" s="60"/>
      <c r="E40" s="7"/>
      <c r="F40" s="60" t="s">
        <v>87</v>
      </c>
      <c r="G40" s="51" t="s">
        <v>88</v>
      </c>
      <c r="H40" s="22" t="s">
        <v>30</v>
      </c>
      <c r="I40" s="61" t="s">
        <v>239</v>
      </c>
    </row>
    <row r="41" spans="1:9" x14ac:dyDescent="0.25">
      <c r="A41" s="62"/>
      <c r="B41" s="62"/>
      <c r="C41" s="14"/>
      <c r="D41" s="62"/>
      <c r="E41" s="74"/>
      <c r="F41" s="62"/>
      <c r="G41" s="74"/>
      <c r="H41" s="62"/>
      <c r="I41" s="53"/>
    </row>
    <row r="42" spans="1:9" x14ac:dyDescent="0.25">
      <c r="A42" s="62"/>
      <c r="B42" s="62"/>
      <c r="C42" s="14"/>
      <c r="D42" s="62"/>
      <c r="E42" s="74"/>
      <c r="F42" s="62"/>
      <c r="G42" s="74"/>
      <c r="H42" s="62"/>
      <c r="I42" s="53"/>
    </row>
    <row r="43" spans="1:9" x14ac:dyDescent="0.25">
      <c r="A43" s="8">
        <v>1</v>
      </c>
      <c r="B43" s="8" t="s">
        <v>90</v>
      </c>
      <c r="C43" s="42" t="s">
        <v>91</v>
      </c>
      <c r="D43" s="9">
        <v>-6844.7</v>
      </c>
      <c r="E43" s="65">
        <v>74611.05</v>
      </c>
      <c r="F43" s="9">
        <v>71541.78</v>
      </c>
      <c r="G43" s="64">
        <f>E43</f>
        <v>74611.05</v>
      </c>
      <c r="H43" s="50">
        <f>D43+F43-G43</f>
        <v>-9913.9700000000012</v>
      </c>
      <c r="I43" s="50">
        <f>H43</f>
        <v>-9913.9700000000012</v>
      </c>
    </row>
    <row r="44" spans="1:9" x14ac:dyDescent="0.25">
      <c r="A44" s="8"/>
      <c r="B44" s="8" t="s">
        <v>92</v>
      </c>
      <c r="C44" s="42" t="s">
        <v>93</v>
      </c>
      <c r="D44" s="8"/>
      <c r="E44" s="95"/>
      <c r="F44" s="50"/>
      <c r="G44" s="64"/>
      <c r="H44" s="50"/>
      <c r="I44" s="50"/>
    </row>
    <row r="45" spans="1:9" x14ac:dyDescent="0.25">
      <c r="A45" s="60"/>
      <c r="B45" s="60"/>
      <c r="C45" s="5"/>
      <c r="D45" s="60"/>
      <c r="E45" s="112"/>
      <c r="F45" s="60"/>
      <c r="G45" s="112"/>
      <c r="H45" s="60"/>
      <c r="I45" s="60"/>
    </row>
    <row r="46" spans="1:9" x14ac:dyDescent="0.25">
      <c r="A46" s="60"/>
      <c r="B46" s="60"/>
      <c r="C46" s="5"/>
      <c r="D46" s="60"/>
      <c r="E46" s="112"/>
      <c r="F46" s="60"/>
      <c r="G46" s="112"/>
      <c r="H46" s="60"/>
      <c r="I46" s="60"/>
    </row>
    <row r="47" spans="1:9" x14ac:dyDescent="0.25">
      <c r="A47" s="1" t="s">
        <v>219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5" t="s">
        <v>220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8" t="s">
        <v>12</v>
      </c>
      <c r="B49" s="6" t="s">
        <v>102</v>
      </c>
      <c r="C49" s="58" t="s">
        <v>103</v>
      </c>
      <c r="D49" s="58"/>
      <c r="E49" s="58"/>
      <c r="F49" s="48" t="s">
        <v>222</v>
      </c>
      <c r="G49" s="58"/>
      <c r="H49" s="49"/>
      <c r="I49" s="6" t="s">
        <v>105</v>
      </c>
    </row>
    <row r="50" spans="1:9" x14ac:dyDescent="0.25">
      <c r="A50" s="51" t="s">
        <v>106</v>
      </c>
      <c r="B50" s="7"/>
      <c r="C50" s="60"/>
      <c r="D50" s="60"/>
      <c r="E50" s="60"/>
      <c r="F50" s="51" t="s">
        <v>224</v>
      </c>
      <c r="G50" s="60"/>
      <c r="H50" s="61"/>
      <c r="I50" s="7" t="s">
        <v>108</v>
      </c>
    </row>
    <row r="51" spans="1:9" x14ac:dyDescent="0.25">
      <c r="A51" s="51"/>
      <c r="B51" s="7"/>
      <c r="C51" s="60"/>
      <c r="D51" s="60"/>
      <c r="E51" s="60"/>
      <c r="F51" s="51" t="s">
        <v>225</v>
      </c>
      <c r="G51" s="60"/>
      <c r="H51" s="61"/>
      <c r="I51" s="7"/>
    </row>
    <row r="52" spans="1:9" x14ac:dyDescent="0.25">
      <c r="A52" s="51"/>
      <c r="B52" s="62"/>
      <c r="C52" s="60"/>
      <c r="D52" s="60"/>
      <c r="E52" s="60"/>
      <c r="F52" s="51" t="s">
        <v>226</v>
      </c>
      <c r="G52" s="60"/>
      <c r="H52" s="61"/>
      <c r="I52" s="7"/>
    </row>
    <row r="53" spans="1:9" x14ac:dyDescent="0.25">
      <c r="A53" s="67" t="s">
        <v>110</v>
      </c>
      <c r="B53" s="18"/>
      <c r="C53" s="68" t="s">
        <v>111</v>
      </c>
      <c r="D53" s="68"/>
      <c r="E53" s="68"/>
      <c r="F53" s="48"/>
      <c r="G53" s="58"/>
      <c r="H53" s="49"/>
      <c r="I53" s="6"/>
    </row>
    <row r="54" spans="1:9" x14ac:dyDescent="0.25">
      <c r="A54" s="69"/>
      <c r="B54" s="7"/>
      <c r="C54" s="60" t="s">
        <v>112</v>
      </c>
      <c r="D54" s="60"/>
      <c r="E54" s="60"/>
      <c r="F54" s="51" t="s">
        <v>71</v>
      </c>
      <c r="G54" s="37"/>
      <c r="H54" s="61" t="s">
        <v>71</v>
      </c>
      <c r="I54" s="7" t="s">
        <v>71</v>
      </c>
    </row>
    <row r="55" spans="1:9" x14ac:dyDescent="0.25">
      <c r="A55" s="69" t="s">
        <v>113</v>
      </c>
      <c r="B55" s="224">
        <v>42644</v>
      </c>
      <c r="C55" s="60" t="s">
        <v>631</v>
      </c>
      <c r="D55" s="60"/>
      <c r="E55" s="60"/>
      <c r="F55" s="51"/>
      <c r="G55" s="37">
        <f>I55/562.7</f>
        <v>22.012671050293228</v>
      </c>
      <c r="H55" s="61"/>
      <c r="I55" s="7">
        <v>12386.53</v>
      </c>
    </row>
    <row r="56" spans="1:9" x14ac:dyDescent="0.25">
      <c r="A56" s="69" t="s">
        <v>38</v>
      </c>
      <c r="B56" s="70">
        <v>42722</v>
      </c>
      <c r="C56" s="70" t="s">
        <v>843</v>
      </c>
      <c r="D56" s="70"/>
      <c r="E56" s="70"/>
      <c r="F56" s="51"/>
      <c r="G56" s="37">
        <f>I56/562.7</f>
        <v>12.395592678158875</v>
      </c>
      <c r="H56" s="61"/>
      <c r="I56" s="7">
        <v>6975</v>
      </c>
    </row>
    <row r="57" spans="1:9" x14ac:dyDescent="0.25">
      <c r="A57" s="69"/>
      <c r="B57" s="7"/>
      <c r="C57" s="5" t="s">
        <v>118</v>
      </c>
      <c r="D57" s="5"/>
      <c r="E57" s="5"/>
      <c r="F57" s="59"/>
      <c r="G57" s="20">
        <f>SUM(G55:G56)</f>
        <v>34.408263728452106</v>
      </c>
      <c r="H57" s="37"/>
      <c r="I57" s="18">
        <f>SUM(I55:I56)</f>
        <v>19361.53</v>
      </c>
    </row>
    <row r="58" spans="1:9" x14ac:dyDescent="0.25">
      <c r="A58" s="6"/>
      <c r="B58" s="6"/>
      <c r="C58" s="48"/>
      <c r="D58" s="58"/>
      <c r="E58" s="49"/>
      <c r="F58" s="48"/>
      <c r="G58" s="58"/>
      <c r="H58" s="49"/>
      <c r="I58" s="6"/>
    </row>
    <row r="59" spans="1:9" x14ac:dyDescent="0.25">
      <c r="A59" s="6" t="s">
        <v>48</v>
      </c>
      <c r="B59" s="25" t="s">
        <v>119</v>
      </c>
      <c r="C59" s="57" t="s">
        <v>120</v>
      </c>
      <c r="D59" s="58"/>
      <c r="E59" s="49"/>
      <c r="F59" s="48" t="s">
        <v>121</v>
      </c>
      <c r="G59" s="58"/>
      <c r="H59" s="49"/>
      <c r="I59" s="6"/>
    </row>
    <row r="60" spans="1:9" x14ac:dyDescent="0.25">
      <c r="A60" s="69"/>
      <c r="B60" s="70"/>
      <c r="C60" s="51"/>
      <c r="D60" s="60"/>
      <c r="E60" s="61"/>
      <c r="F60" s="59"/>
      <c r="G60" s="37"/>
      <c r="H60" s="71"/>
      <c r="I60" s="7"/>
    </row>
    <row r="61" spans="1:9" x14ac:dyDescent="0.25">
      <c r="A61" s="73"/>
      <c r="B61" s="62" t="s">
        <v>119</v>
      </c>
      <c r="C61" s="15" t="s">
        <v>118</v>
      </c>
      <c r="D61" s="14"/>
      <c r="E61" s="85"/>
      <c r="F61" s="15" t="s">
        <v>71</v>
      </c>
      <c r="G61" s="14">
        <v>0</v>
      </c>
      <c r="H61" s="85"/>
      <c r="I61" s="12">
        <f>SUM(I60:I60)</f>
        <v>0</v>
      </c>
    </row>
    <row r="62" spans="1:9" x14ac:dyDescent="0.25">
      <c r="A62" s="103"/>
      <c r="B62" s="60"/>
      <c r="C62" s="60"/>
      <c r="D62" s="60"/>
      <c r="E62" s="60"/>
      <c r="F62" s="60"/>
      <c r="G62" s="37"/>
      <c r="H62" s="60"/>
      <c r="I62" s="60"/>
    </row>
    <row r="63" spans="1:9" x14ac:dyDescent="0.25">
      <c r="A63" s="2" t="s">
        <v>277</v>
      </c>
      <c r="B63" s="2"/>
      <c r="C63" s="2" t="s">
        <v>71</v>
      </c>
      <c r="D63" s="2" t="s">
        <v>123</v>
      </c>
      <c r="E63" s="2"/>
      <c r="F63" s="2" t="s">
        <v>124</v>
      </c>
      <c r="G63" s="2"/>
      <c r="H63" s="2" t="s">
        <v>125</v>
      </c>
      <c r="I63" s="2" t="s">
        <v>126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110" zoomScaleNormal="110" workbookViewId="0">
      <selection activeCell="B2" sqref="B2"/>
    </sheetView>
  </sheetViews>
  <sheetFormatPr defaultRowHeight="15" x14ac:dyDescent="0.25"/>
  <cols>
    <col min="1" max="1" width="5" style="3" customWidth="1"/>
    <col min="2" max="2" width="30.7109375" style="3" customWidth="1"/>
    <col min="3" max="3" width="12.7109375" style="3" customWidth="1"/>
    <col min="4" max="4" width="11.42578125" style="3" customWidth="1"/>
    <col min="5" max="6" width="9.140625" style="3"/>
    <col min="7" max="7" width="10.28515625" style="3" customWidth="1"/>
    <col min="8" max="8" width="12.140625" style="3" customWidth="1"/>
    <col min="9" max="9" width="20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844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845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846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134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548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549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573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6">
        <v>9</v>
      </c>
    </row>
    <row r="19" spans="1:9" x14ac:dyDescent="0.25">
      <c r="A19" s="57">
        <v>1</v>
      </c>
      <c r="B19" s="25" t="s">
        <v>191</v>
      </c>
      <c r="C19" s="68" t="s">
        <v>71</v>
      </c>
      <c r="D19" s="57"/>
      <c r="E19" s="45" t="s">
        <v>71</v>
      </c>
      <c r="F19" s="25" t="s">
        <v>71</v>
      </c>
      <c r="G19" s="57"/>
      <c r="H19" s="57" t="s">
        <v>71</v>
      </c>
      <c r="I19" s="45" t="s">
        <v>71</v>
      </c>
    </row>
    <row r="20" spans="1:9" x14ac:dyDescent="0.25">
      <c r="A20" s="15"/>
      <c r="B20" s="12" t="s">
        <v>192</v>
      </c>
      <c r="C20" s="78">
        <v>7.56</v>
      </c>
      <c r="D20" s="17">
        <v>-13558.28</v>
      </c>
      <c r="E20" s="17">
        <v>51828.24</v>
      </c>
      <c r="F20" s="17">
        <v>54276.800000000003</v>
      </c>
      <c r="G20" s="16">
        <f>E20</f>
        <v>51828.24</v>
      </c>
      <c r="H20" s="16">
        <f>D20+F20-G20</f>
        <v>-11109.719999999994</v>
      </c>
      <c r="I20" s="17">
        <f>H20</f>
        <v>-11109.719999999994</v>
      </c>
    </row>
    <row r="21" spans="1:9" x14ac:dyDescent="0.25">
      <c r="A21" s="7" t="s">
        <v>36</v>
      </c>
      <c r="B21" s="7" t="s">
        <v>457</v>
      </c>
      <c r="C21" s="37"/>
      <c r="D21" s="38"/>
      <c r="E21" s="22"/>
      <c r="F21" s="22"/>
      <c r="G21" s="37"/>
      <c r="H21" s="38"/>
      <c r="I21" s="22"/>
    </row>
    <row r="22" spans="1:9" x14ac:dyDescent="0.25">
      <c r="A22" s="62"/>
      <c r="B22" s="62" t="s">
        <v>458</v>
      </c>
      <c r="C22" s="79">
        <v>2.62</v>
      </c>
      <c r="D22" s="38"/>
      <c r="E22" s="54">
        <f>E20*34.5%</f>
        <v>17880.742799999996</v>
      </c>
      <c r="F22" s="54">
        <f>F20*34.5%</f>
        <v>18725.495999999999</v>
      </c>
      <c r="G22" s="37">
        <f>E22</f>
        <v>17880.742799999996</v>
      </c>
      <c r="H22" s="38"/>
      <c r="I22" s="22"/>
    </row>
    <row r="23" spans="1:9" x14ac:dyDescent="0.25">
      <c r="A23" s="24" t="s">
        <v>38</v>
      </c>
      <c r="B23" s="6" t="s">
        <v>295</v>
      </c>
      <c r="C23" s="86">
        <v>1.33</v>
      </c>
      <c r="D23" s="105"/>
      <c r="E23" s="75">
        <f>E20*18%</f>
        <v>9329.0831999999991</v>
      </c>
      <c r="F23" s="75">
        <f>F20*18%</f>
        <v>9769.8240000000005</v>
      </c>
      <c r="G23" s="105">
        <f>E23</f>
        <v>9329.0831999999991</v>
      </c>
      <c r="H23" s="105"/>
      <c r="I23" s="75"/>
    </row>
    <row r="24" spans="1:9" x14ac:dyDescent="0.25">
      <c r="A24" s="62"/>
      <c r="B24" s="62" t="s">
        <v>581</v>
      </c>
      <c r="C24" s="79"/>
      <c r="D24" s="55"/>
      <c r="E24" s="54"/>
      <c r="F24" s="54"/>
      <c r="G24" s="55"/>
      <c r="H24" s="55"/>
      <c r="I24" s="54"/>
    </row>
    <row r="25" spans="1:9" x14ac:dyDescent="0.25">
      <c r="A25" s="24" t="s">
        <v>40</v>
      </c>
      <c r="B25" s="6" t="s">
        <v>41</v>
      </c>
      <c r="C25" s="86">
        <v>1.22</v>
      </c>
      <c r="D25" s="38"/>
      <c r="E25" s="75">
        <f xml:space="preserve"> E20*16/100</f>
        <v>8292.518399999999</v>
      </c>
      <c r="F25" s="75">
        <f>F20*16/100</f>
        <v>8684.2880000000005</v>
      </c>
      <c r="G25" s="37">
        <f>E25</f>
        <v>8292.518399999999</v>
      </c>
      <c r="H25" s="38"/>
      <c r="I25" s="22"/>
    </row>
    <row r="26" spans="1:9" x14ac:dyDescent="0.25">
      <c r="A26" s="24" t="s">
        <v>42</v>
      </c>
      <c r="B26" s="6" t="s">
        <v>43</v>
      </c>
      <c r="C26" s="86">
        <v>2.39</v>
      </c>
      <c r="D26" s="40"/>
      <c r="E26" s="29">
        <f>E20*31.5/100</f>
        <v>16325.895599999998</v>
      </c>
      <c r="F26" s="29">
        <f>F20*31.5%</f>
        <v>17097.192000000003</v>
      </c>
      <c r="G26" s="40">
        <f>E26</f>
        <v>16325.895599999998</v>
      </c>
      <c r="H26" s="40"/>
      <c r="I26" s="29"/>
    </row>
    <row r="27" spans="1:9" x14ac:dyDescent="0.25">
      <c r="A27" s="24" t="s">
        <v>44</v>
      </c>
      <c r="B27" s="6" t="s">
        <v>47</v>
      </c>
      <c r="C27" s="106">
        <v>1.5860099999999999</v>
      </c>
      <c r="D27" s="9">
        <v>-1042.6500000000001</v>
      </c>
      <c r="E27" s="9">
        <v>8388.17</v>
      </c>
      <c r="F27" s="9">
        <v>6289.67</v>
      </c>
      <c r="G27" s="10">
        <f>E27</f>
        <v>8388.17</v>
      </c>
      <c r="H27" s="11">
        <f>D27+F27-G27</f>
        <v>-3141.1499999999996</v>
      </c>
      <c r="I27" s="46">
        <f>H27</f>
        <v>-3141.1499999999996</v>
      </c>
    </row>
    <row r="28" spans="1:9" x14ac:dyDescent="0.25">
      <c r="A28" s="11" t="s">
        <v>48</v>
      </c>
      <c r="B28" s="11" t="s">
        <v>49</v>
      </c>
      <c r="C28" s="11" t="s">
        <v>50</v>
      </c>
      <c r="D28" s="44">
        <v>-5341.48</v>
      </c>
      <c r="E28" s="12">
        <v>23206.26</v>
      </c>
      <c r="F28" s="12">
        <v>22724.47</v>
      </c>
      <c r="G28" s="14">
        <f>E28</f>
        <v>23206.26</v>
      </c>
      <c r="H28" s="15">
        <f>D28+F28-G28</f>
        <v>-5823.2699999999968</v>
      </c>
      <c r="I28" s="44">
        <f>H28</f>
        <v>-5823.2699999999968</v>
      </c>
    </row>
    <row r="29" spans="1:9" x14ac:dyDescent="0.25">
      <c r="A29" s="25" t="s">
        <v>51</v>
      </c>
      <c r="B29" s="25" t="s">
        <v>216</v>
      </c>
      <c r="C29" s="25"/>
      <c r="D29" s="57"/>
      <c r="E29" s="25"/>
      <c r="F29" s="25"/>
      <c r="G29" s="25"/>
      <c r="H29" s="57"/>
      <c r="I29" s="45"/>
    </row>
    <row r="30" spans="1:9" x14ac:dyDescent="0.25">
      <c r="A30" s="18"/>
      <c r="B30" s="12" t="s">
        <v>217</v>
      </c>
      <c r="C30" s="12">
        <v>1.65</v>
      </c>
      <c r="D30" s="15">
        <v>94920.48</v>
      </c>
      <c r="E30" s="18">
        <v>11312.16</v>
      </c>
      <c r="F30" s="12">
        <v>11859.07</v>
      </c>
      <c r="G30" s="12">
        <f>I54</f>
        <v>11042.99</v>
      </c>
      <c r="H30" s="15">
        <f>D30+F30-G30</f>
        <v>95736.559999999983</v>
      </c>
      <c r="I30" s="17"/>
    </row>
    <row r="31" spans="1:9" x14ac:dyDescent="0.25">
      <c r="A31" s="11" t="s">
        <v>55</v>
      </c>
      <c r="B31" s="11" t="s">
        <v>146</v>
      </c>
      <c r="C31" s="41"/>
      <c r="D31" s="42" t="s">
        <v>71</v>
      </c>
      <c r="E31" s="11"/>
      <c r="F31" s="11"/>
      <c r="G31" s="11"/>
      <c r="H31" s="42" t="s">
        <v>71</v>
      </c>
      <c r="I31" s="43"/>
    </row>
    <row r="32" spans="1:9" x14ac:dyDescent="0.25">
      <c r="A32" s="12"/>
      <c r="B32" s="12" t="s">
        <v>276</v>
      </c>
      <c r="C32" s="14">
        <v>0</v>
      </c>
      <c r="D32" s="15">
        <v>17643.009999999998</v>
      </c>
      <c r="E32" s="12">
        <v>0</v>
      </c>
      <c r="F32" s="12">
        <v>0</v>
      </c>
      <c r="G32" s="12">
        <v>0</v>
      </c>
      <c r="H32" s="15">
        <f>D32+F32-G32</f>
        <v>17643.009999999998</v>
      </c>
      <c r="I32" s="43"/>
    </row>
    <row r="33" spans="1:9" x14ac:dyDescent="0.25">
      <c r="A33" s="9"/>
      <c r="B33" s="9" t="s">
        <v>53</v>
      </c>
      <c r="C33" s="10"/>
      <c r="D33" s="8"/>
      <c r="E33" s="9">
        <v>0</v>
      </c>
      <c r="F33" s="9">
        <v>0</v>
      </c>
      <c r="G33" s="9">
        <v>0</v>
      </c>
      <c r="H33" s="8"/>
      <c r="I33" s="29"/>
    </row>
    <row r="34" spans="1:9" x14ac:dyDescent="0.25">
      <c r="A34" s="1" t="s">
        <v>58</v>
      </c>
      <c r="B34" s="60"/>
      <c r="C34" s="60"/>
      <c r="D34" s="60"/>
      <c r="E34" s="60"/>
      <c r="F34" s="60"/>
      <c r="G34" s="60"/>
      <c r="H34" s="60"/>
      <c r="I34" s="37"/>
    </row>
    <row r="35" spans="1:9" x14ac:dyDescent="0.25">
      <c r="A35" s="1"/>
      <c r="B35" s="60"/>
      <c r="C35" s="60"/>
      <c r="D35" s="60"/>
      <c r="E35" s="60"/>
      <c r="F35" s="60"/>
      <c r="G35" s="60"/>
      <c r="H35" s="60"/>
      <c r="I35" s="37"/>
    </row>
    <row r="36" spans="1:9" x14ac:dyDescent="0.25">
      <c r="A36" s="5" t="s">
        <v>69</v>
      </c>
      <c r="B36" s="2"/>
      <c r="C36" s="2"/>
      <c r="E36" s="2"/>
      <c r="F36" s="2"/>
      <c r="G36" s="2"/>
      <c r="H36" s="2"/>
      <c r="I36" s="2"/>
    </row>
    <row r="37" spans="1:9" x14ac:dyDescent="0.25">
      <c r="A37" s="1" t="s">
        <v>70</v>
      </c>
    </row>
    <row r="38" spans="1:9" x14ac:dyDescent="0.25">
      <c r="B38" s="5"/>
      <c r="C38" s="5"/>
      <c r="D38" s="56"/>
      <c r="E38" s="5"/>
      <c r="F38" s="5"/>
      <c r="G38" s="5"/>
      <c r="H38" s="5"/>
      <c r="I38" s="5"/>
    </row>
    <row r="39" spans="1:9" x14ac:dyDescent="0.25">
      <c r="A39" s="6" t="s">
        <v>71</v>
      </c>
      <c r="B39" s="68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48" t="s">
        <v>77</v>
      </c>
      <c r="H39" s="75" t="s">
        <v>15</v>
      </c>
      <c r="I39" s="49" t="s">
        <v>19</v>
      </c>
    </row>
    <row r="40" spans="1:9" x14ac:dyDescent="0.25">
      <c r="A40" s="7"/>
      <c r="B40" s="5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51" t="s">
        <v>84</v>
      </c>
      <c r="H40" s="22" t="s">
        <v>25</v>
      </c>
      <c r="I40" s="61" t="s">
        <v>86</v>
      </c>
    </row>
    <row r="41" spans="1:9" x14ac:dyDescent="0.25">
      <c r="A41" s="7"/>
      <c r="B41" s="60"/>
      <c r="C41" s="7"/>
      <c r="D41" s="60"/>
      <c r="E41" s="7"/>
      <c r="F41" s="60" t="s">
        <v>87</v>
      </c>
      <c r="G41" s="51" t="s">
        <v>88</v>
      </c>
      <c r="H41" s="22" t="s">
        <v>30</v>
      </c>
      <c r="I41" s="61" t="s">
        <v>325</v>
      </c>
    </row>
    <row r="42" spans="1:9" x14ac:dyDescent="0.25">
      <c r="A42" s="62"/>
      <c r="B42" s="74"/>
      <c r="C42" s="62"/>
      <c r="D42" s="74"/>
      <c r="E42" s="62"/>
      <c r="F42" s="74"/>
      <c r="G42" s="52"/>
      <c r="H42" s="54"/>
      <c r="I42" s="53"/>
    </row>
    <row r="43" spans="1:9" x14ac:dyDescent="0.25">
      <c r="A43" s="9">
        <v>1</v>
      </c>
      <c r="B43" s="9" t="s">
        <v>90</v>
      </c>
      <c r="C43" s="41" t="s">
        <v>91</v>
      </c>
      <c r="D43" s="9">
        <v>-19110.189999999999</v>
      </c>
      <c r="E43" s="9">
        <v>75554.36</v>
      </c>
      <c r="F43" s="9">
        <v>78499.23</v>
      </c>
      <c r="G43" s="65">
        <f>E43</f>
        <v>75554.36</v>
      </c>
      <c r="H43" s="9">
        <f>D43+F43-E43</f>
        <v>-16165.320000000007</v>
      </c>
      <c r="I43" s="9">
        <f>H43</f>
        <v>-16165.320000000007</v>
      </c>
    </row>
    <row r="44" spans="1:9" x14ac:dyDescent="0.25">
      <c r="A44" s="8"/>
      <c r="B44" s="8" t="s">
        <v>847</v>
      </c>
      <c r="C44" s="42" t="s">
        <v>93</v>
      </c>
      <c r="D44" s="8"/>
      <c r="E44" s="65"/>
      <c r="F44" s="50"/>
      <c r="G44" s="64"/>
      <c r="H44" s="50"/>
      <c r="I44" s="50"/>
    </row>
    <row r="45" spans="1:9" x14ac:dyDescent="0.25">
      <c r="A45" s="1" t="s">
        <v>100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5" t="s">
        <v>220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6"/>
      <c r="B47" s="49" t="s">
        <v>221</v>
      </c>
      <c r="C47" s="58" t="s">
        <v>103</v>
      </c>
      <c r="D47" s="58"/>
      <c r="E47" s="58"/>
      <c r="F47" s="48" t="s">
        <v>222</v>
      </c>
      <c r="G47" s="58"/>
      <c r="H47" s="49"/>
      <c r="I47" s="6" t="s">
        <v>105</v>
      </c>
    </row>
    <row r="48" spans="1:9" x14ac:dyDescent="0.25">
      <c r="A48" s="7"/>
      <c r="B48" s="61" t="s">
        <v>223</v>
      </c>
      <c r="C48" s="60"/>
      <c r="D48" s="60"/>
      <c r="E48" s="60"/>
      <c r="F48" s="51" t="s">
        <v>224</v>
      </c>
      <c r="G48" s="60"/>
      <c r="H48" s="61"/>
      <c r="I48" s="7" t="s">
        <v>108</v>
      </c>
    </row>
    <row r="49" spans="1:9" x14ac:dyDescent="0.25">
      <c r="A49" s="7"/>
      <c r="B49" s="61"/>
      <c r="C49" s="60"/>
      <c r="D49" s="60"/>
      <c r="E49" s="60"/>
      <c r="F49" s="51" t="s">
        <v>225</v>
      </c>
      <c r="G49" s="60"/>
      <c r="H49" s="61"/>
      <c r="I49" s="7"/>
    </row>
    <row r="50" spans="1:9" x14ac:dyDescent="0.25">
      <c r="A50" s="225"/>
      <c r="B50" s="53"/>
      <c r="C50" s="60"/>
      <c r="D50" s="60"/>
      <c r="E50" s="60"/>
      <c r="F50" s="51" t="s">
        <v>226</v>
      </c>
      <c r="G50" s="60"/>
      <c r="H50" s="61"/>
      <c r="I50" s="7"/>
    </row>
    <row r="51" spans="1:9" x14ac:dyDescent="0.25">
      <c r="A51" s="69"/>
      <c r="B51" s="71"/>
      <c r="C51" s="68" t="s">
        <v>111</v>
      </c>
      <c r="D51" s="68"/>
      <c r="E51" s="68"/>
      <c r="F51" s="48"/>
      <c r="G51" s="58"/>
      <c r="H51" s="49"/>
      <c r="I51" s="6"/>
    </row>
    <row r="52" spans="1:9" x14ac:dyDescent="0.25">
      <c r="A52" s="69"/>
      <c r="B52" s="61"/>
      <c r="C52" s="60" t="s">
        <v>112</v>
      </c>
      <c r="D52" s="60"/>
      <c r="E52" s="60"/>
      <c r="F52" s="51" t="s">
        <v>71</v>
      </c>
      <c r="G52" s="37"/>
      <c r="H52" s="61" t="s">
        <v>71</v>
      </c>
      <c r="I52" s="7" t="s">
        <v>71</v>
      </c>
    </row>
    <row r="53" spans="1:9" x14ac:dyDescent="0.25">
      <c r="A53" s="69" t="s">
        <v>113</v>
      </c>
      <c r="B53" s="113">
        <v>42978</v>
      </c>
      <c r="C53" s="60" t="s">
        <v>848</v>
      </c>
      <c r="D53" s="60"/>
      <c r="E53" s="60"/>
      <c r="F53" s="51"/>
      <c r="G53" s="37">
        <f>I53/571.3</f>
        <v>19.329581655872573</v>
      </c>
      <c r="H53" s="61"/>
      <c r="I53" s="7">
        <v>11042.99</v>
      </c>
    </row>
    <row r="54" spans="1:9" x14ac:dyDescent="0.25">
      <c r="A54" s="7"/>
      <c r="B54" s="61"/>
      <c r="C54" s="5" t="s">
        <v>118</v>
      </c>
      <c r="D54" s="5"/>
      <c r="E54" s="5"/>
      <c r="F54" s="59"/>
      <c r="G54" s="20">
        <f>SUM(G53)</f>
        <v>19.329581655872573</v>
      </c>
      <c r="H54" s="71"/>
      <c r="I54" s="18">
        <f>SUM(I53)</f>
        <v>11042.99</v>
      </c>
    </row>
    <row r="55" spans="1:9" x14ac:dyDescent="0.25">
      <c r="A55" s="6"/>
      <c r="B55" s="49"/>
      <c r="C55" s="48"/>
      <c r="D55" s="58"/>
      <c r="E55" s="49"/>
      <c r="F55" s="48"/>
      <c r="G55" s="58"/>
      <c r="H55" s="49"/>
      <c r="I55" s="6"/>
    </row>
    <row r="56" spans="1:9" x14ac:dyDescent="0.25">
      <c r="A56" s="24"/>
      <c r="B56" s="72" t="s">
        <v>119</v>
      </c>
      <c r="C56" s="57" t="s">
        <v>120</v>
      </c>
      <c r="D56" s="58"/>
      <c r="E56" s="49"/>
      <c r="F56" s="48" t="s">
        <v>121</v>
      </c>
      <c r="G56" s="58"/>
      <c r="H56" s="49"/>
      <c r="I56" s="6">
        <v>0</v>
      </c>
    </row>
    <row r="57" spans="1:9" x14ac:dyDescent="0.25">
      <c r="A57" s="62"/>
      <c r="B57" s="53" t="s">
        <v>119</v>
      </c>
      <c r="C57" s="52" t="s">
        <v>118</v>
      </c>
      <c r="D57" s="74"/>
      <c r="E57" s="53"/>
      <c r="F57" s="52" t="s">
        <v>71</v>
      </c>
      <c r="G57" s="74">
        <v>0</v>
      </c>
      <c r="H57" s="53"/>
      <c r="I57" s="62">
        <v>0</v>
      </c>
    </row>
    <row r="58" spans="1:9" x14ac:dyDescent="0.25">
      <c r="A58" s="60"/>
      <c r="B58" s="60"/>
      <c r="C58" s="60"/>
      <c r="D58" s="60"/>
      <c r="E58" s="60"/>
      <c r="F58" s="60"/>
      <c r="G58" s="60"/>
      <c r="H58" s="60"/>
      <c r="I58" s="60"/>
    </row>
    <row r="59" spans="1:9" x14ac:dyDescent="0.25">
      <c r="A59" s="2" t="s">
        <v>849</v>
      </c>
      <c r="B59" s="2"/>
      <c r="C59" s="2" t="s">
        <v>71</v>
      </c>
      <c r="D59" s="2" t="s">
        <v>123</v>
      </c>
      <c r="E59" s="2"/>
      <c r="F59" s="2" t="s">
        <v>124</v>
      </c>
      <c r="G59" s="2"/>
      <c r="H59" s="2" t="s">
        <v>125</v>
      </c>
      <c r="I59" s="2" t="s">
        <v>126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110" zoomScaleNormal="110" workbookViewId="0">
      <selection activeCell="A4" sqref="A4"/>
    </sheetView>
  </sheetViews>
  <sheetFormatPr defaultRowHeight="15" x14ac:dyDescent="0.25"/>
  <cols>
    <col min="1" max="1" width="5" style="3" customWidth="1"/>
    <col min="2" max="2" width="30" style="3" customWidth="1"/>
    <col min="3" max="3" width="12.85546875" style="3" customWidth="1"/>
    <col min="4" max="4" width="11.7109375" style="3" customWidth="1"/>
    <col min="5" max="7" width="9.140625" style="3"/>
    <col min="8" max="8" width="12.140625" style="3" customWidth="1"/>
    <col min="9" max="9" width="17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850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851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852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853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0">
        <v>42736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854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855</v>
      </c>
      <c r="C18" s="12">
        <v>7.56</v>
      </c>
      <c r="D18" s="17">
        <v>-23568.3</v>
      </c>
      <c r="E18" s="12">
        <v>297987.59999999998</v>
      </c>
      <c r="F18" s="15">
        <v>294620.15999999997</v>
      </c>
      <c r="G18" s="17">
        <f t="shared" ref="G18:G24" si="0">E18</f>
        <v>297987.59999999998</v>
      </c>
      <c r="H18" s="13">
        <f>D18+F18-G18</f>
        <v>-26935.739999999991</v>
      </c>
      <c r="I18" s="17">
        <f>H18</f>
        <v>-26935.739999999991</v>
      </c>
    </row>
    <row r="19" spans="1:9" x14ac:dyDescent="0.25">
      <c r="A19" s="73" t="s">
        <v>113</v>
      </c>
      <c r="B19" s="62" t="s">
        <v>37</v>
      </c>
      <c r="C19" s="62">
        <v>2.62</v>
      </c>
      <c r="D19" s="54"/>
      <c r="E19" s="54">
        <f>E18*34.5%</f>
        <v>102805.72199999998</v>
      </c>
      <c r="F19" s="55">
        <f>F18*34.5%</f>
        <v>101643.95519999998</v>
      </c>
      <c r="G19" s="54">
        <f t="shared" si="0"/>
        <v>102805.72199999998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75">
        <f>E18*18%</f>
        <v>53637.767999999996</v>
      </c>
      <c r="F20" s="105">
        <f>F18*18%</f>
        <v>53031.628799999991</v>
      </c>
      <c r="G20" s="22">
        <f t="shared" si="0"/>
        <v>53637.767999999996</v>
      </c>
      <c r="H20" s="30"/>
      <c r="I20" s="75"/>
    </row>
    <row r="21" spans="1:9" x14ac:dyDescent="0.25">
      <c r="A21" s="24" t="s">
        <v>40</v>
      </c>
      <c r="B21" s="6" t="s">
        <v>41</v>
      </c>
      <c r="C21" s="6">
        <v>1.22</v>
      </c>
      <c r="D21" s="75"/>
      <c r="E21" s="75">
        <f>E18*16%</f>
        <v>47678.015999999996</v>
      </c>
      <c r="F21" s="105">
        <f>F18*16%</f>
        <v>47139.225599999998</v>
      </c>
      <c r="G21" s="75">
        <f t="shared" si="0"/>
        <v>47678.015999999996</v>
      </c>
      <c r="H21" s="29"/>
      <c r="I21" s="75"/>
    </row>
    <row r="22" spans="1:9" x14ac:dyDescent="0.25">
      <c r="A22" s="36" t="s">
        <v>42</v>
      </c>
      <c r="B22" s="9" t="s">
        <v>43</v>
      </c>
      <c r="C22" s="9">
        <v>2.39</v>
      </c>
      <c r="D22" s="29"/>
      <c r="E22" s="29">
        <f>E18*31.5%</f>
        <v>93866.093999999997</v>
      </c>
      <c r="F22" s="40">
        <f>F18*31.5%</f>
        <v>92805.350399999996</v>
      </c>
      <c r="G22" s="29">
        <f t="shared" si="0"/>
        <v>93866.093999999997</v>
      </c>
      <c r="H22" s="35"/>
      <c r="I22" s="29"/>
    </row>
    <row r="23" spans="1:9" x14ac:dyDescent="0.25">
      <c r="A23" s="73" t="s">
        <v>44</v>
      </c>
      <c r="B23" s="9" t="s">
        <v>47</v>
      </c>
      <c r="C23" s="9">
        <v>0.72914999999999996</v>
      </c>
      <c r="D23" s="6">
        <v>-314.08999999999997</v>
      </c>
      <c r="E23" s="58">
        <v>28411.54</v>
      </c>
      <c r="F23" s="48">
        <v>24792.83</v>
      </c>
      <c r="G23" s="6">
        <f>E23</f>
        <v>28411.54</v>
      </c>
      <c r="H23" s="25">
        <f>D23+F23-G23</f>
        <v>-3932.7999999999993</v>
      </c>
      <c r="I23" s="72">
        <f>H23</f>
        <v>-3932.7999999999993</v>
      </c>
    </row>
    <row r="24" spans="1:9" x14ac:dyDescent="0.25">
      <c r="A24" s="12" t="s">
        <v>48</v>
      </c>
      <c r="B24" s="11" t="s">
        <v>49</v>
      </c>
      <c r="C24" s="11" t="s">
        <v>50</v>
      </c>
      <c r="D24" s="43">
        <v>-15562.5</v>
      </c>
      <c r="E24" s="11">
        <v>133424.82</v>
      </c>
      <c r="F24" s="42">
        <v>126105.25</v>
      </c>
      <c r="G24" s="43">
        <f t="shared" si="0"/>
        <v>133424.82</v>
      </c>
      <c r="H24" s="223">
        <f>D24+F24-G24</f>
        <v>-22882.070000000007</v>
      </c>
      <c r="I24" s="43">
        <f>H24</f>
        <v>-22882.070000000007</v>
      </c>
    </row>
    <row r="25" spans="1:9" x14ac:dyDescent="0.25">
      <c r="A25" s="12" t="s">
        <v>51</v>
      </c>
      <c r="B25" s="12" t="s">
        <v>459</v>
      </c>
      <c r="C25" s="12">
        <v>1.65</v>
      </c>
      <c r="D25" s="16">
        <v>37369.31</v>
      </c>
      <c r="E25" s="12">
        <v>65039.16</v>
      </c>
      <c r="F25" s="12">
        <f>F26+F27</f>
        <v>66069.2</v>
      </c>
      <c r="G25" s="12">
        <f>I52</f>
        <v>33915.03</v>
      </c>
      <c r="H25" s="17">
        <f>D25+F25-G25</f>
        <v>69523.48</v>
      </c>
      <c r="I25" s="17"/>
    </row>
    <row r="26" spans="1:9" x14ac:dyDescent="0.25">
      <c r="A26" s="12"/>
      <c r="B26" s="9" t="s">
        <v>53</v>
      </c>
      <c r="C26" s="14"/>
      <c r="D26" s="16"/>
      <c r="E26" s="12"/>
      <c r="F26" s="12">
        <v>64428.77</v>
      </c>
      <c r="G26" s="15"/>
      <c r="H26" s="17"/>
      <c r="I26" s="17"/>
    </row>
    <row r="27" spans="1:9" x14ac:dyDescent="0.25">
      <c r="A27" s="12"/>
      <c r="B27" s="9" t="s">
        <v>54</v>
      </c>
      <c r="C27" s="14"/>
      <c r="D27" s="21"/>
      <c r="E27" s="18"/>
      <c r="F27" s="18">
        <v>1640.43</v>
      </c>
      <c r="G27" s="59"/>
      <c r="H27" s="21"/>
      <c r="I27" s="17"/>
    </row>
    <row r="28" spans="1:9" x14ac:dyDescent="0.25">
      <c r="A28" s="12" t="s">
        <v>55</v>
      </c>
      <c r="B28" s="12" t="s">
        <v>619</v>
      </c>
      <c r="C28" s="85">
        <v>0</v>
      </c>
      <c r="D28" s="43">
        <v>395.11</v>
      </c>
      <c r="E28" s="11">
        <f>E29</f>
        <v>0</v>
      </c>
      <c r="F28" s="11">
        <f>F29</f>
        <v>212.2</v>
      </c>
      <c r="G28" s="42">
        <f>I55</f>
        <v>0</v>
      </c>
      <c r="H28" s="43">
        <f>D28+F28-G28</f>
        <v>607.30999999999995</v>
      </c>
      <c r="I28" s="17"/>
    </row>
    <row r="29" spans="1:9" x14ac:dyDescent="0.25">
      <c r="A29" s="9"/>
      <c r="B29" s="9" t="s">
        <v>53</v>
      </c>
      <c r="C29" s="10">
        <v>0</v>
      </c>
      <c r="D29" s="55"/>
      <c r="E29" s="12">
        <v>0</v>
      </c>
      <c r="F29" s="12">
        <v>212.2</v>
      </c>
      <c r="G29" s="8">
        <v>0</v>
      </c>
      <c r="H29" s="54"/>
      <c r="I29" s="29"/>
    </row>
    <row r="30" spans="1:9" x14ac:dyDescent="0.25">
      <c r="A30" s="1" t="s">
        <v>58</v>
      </c>
      <c r="B30" s="2"/>
      <c r="C30" s="2"/>
      <c r="E30" s="2"/>
      <c r="F30" s="2"/>
      <c r="G30" s="2"/>
      <c r="H30" s="2"/>
      <c r="I30" s="2"/>
    </row>
    <row r="31" spans="1:9" x14ac:dyDescent="0.25">
      <c r="A31" s="48" t="s">
        <v>59</v>
      </c>
      <c r="B31" s="48" t="s">
        <v>60</v>
      </c>
      <c r="C31" s="9" t="s">
        <v>61</v>
      </c>
      <c r="D31" s="9" t="s">
        <v>62</v>
      </c>
      <c r="E31" s="9" t="s">
        <v>507</v>
      </c>
      <c r="F31" s="9" t="s">
        <v>61</v>
      </c>
      <c r="G31" s="9"/>
      <c r="H31" s="8" t="s">
        <v>199</v>
      </c>
      <c r="I31" s="50"/>
    </row>
    <row r="32" spans="1:9" x14ac:dyDescent="0.25">
      <c r="A32" s="51"/>
      <c r="B32" s="51"/>
      <c r="C32" s="9" t="s">
        <v>66</v>
      </c>
      <c r="D32" s="50" t="s">
        <v>23</v>
      </c>
      <c r="E32" s="9" t="s">
        <v>312</v>
      </c>
      <c r="F32" s="9" t="s">
        <v>30</v>
      </c>
      <c r="G32" s="50"/>
      <c r="H32" s="74"/>
      <c r="I32" s="53"/>
    </row>
    <row r="33" spans="1:9" x14ac:dyDescent="0.25">
      <c r="A33" s="52"/>
      <c r="B33" s="52" t="s">
        <v>68</v>
      </c>
      <c r="C33" s="29">
        <v>10900.5</v>
      </c>
      <c r="D33" s="50">
        <v>8262</v>
      </c>
      <c r="E33" s="29">
        <f>D33*15%</f>
        <v>1239.3</v>
      </c>
      <c r="F33" s="29">
        <f>C33+(D33-E33)</f>
        <v>17923.2</v>
      </c>
      <c r="G33" s="35"/>
      <c r="H33" s="79">
        <f>F33-G33</f>
        <v>17923.2</v>
      </c>
      <c r="I33" s="53"/>
    </row>
    <row r="34" spans="1:9" x14ac:dyDescent="0.25">
      <c r="A34" s="5" t="s">
        <v>856</v>
      </c>
      <c r="B34" s="5"/>
      <c r="C34" s="5"/>
      <c r="D34" s="56"/>
      <c r="E34" s="5"/>
      <c r="F34" s="5"/>
      <c r="G34" s="5"/>
      <c r="H34" s="5"/>
      <c r="I34" s="5"/>
    </row>
    <row r="35" spans="1:9" x14ac:dyDescent="0.25">
      <c r="A35" s="1" t="s">
        <v>857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 t="s">
        <v>71</v>
      </c>
      <c r="B36" s="48" t="s">
        <v>72</v>
      </c>
      <c r="C36" s="6" t="s">
        <v>73</v>
      </c>
      <c r="D36" s="48" t="s">
        <v>74</v>
      </c>
      <c r="E36" s="6" t="s">
        <v>75</v>
      </c>
      <c r="F36" s="58" t="s">
        <v>76</v>
      </c>
      <c r="G36" s="6" t="s">
        <v>77</v>
      </c>
      <c r="H36" s="58" t="s">
        <v>78</v>
      </c>
      <c r="I36" s="6" t="s">
        <v>19</v>
      </c>
    </row>
    <row r="37" spans="1:9" x14ac:dyDescent="0.25">
      <c r="A37" s="7"/>
      <c r="B37" s="51" t="s">
        <v>79</v>
      </c>
      <c r="C37" s="7" t="s">
        <v>80</v>
      </c>
      <c r="D37" s="51" t="s">
        <v>81</v>
      </c>
      <c r="E37" s="7" t="s">
        <v>82</v>
      </c>
      <c r="F37" s="60" t="s">
        <v>83</v>
      </c>
      <c r="G37" s="7" t="s">
        <v>84</v>
      </c>
      <c r="H37" s="60" t="s">
        <v>85</v>
      </c>
      <c r="I37" s="7" t="s">
        <v>86</v>
      </c>
    </row>
    <row r="38" spans="1:9" x14ac:dyDescent="0.25">
      <c r="A38" s="7"/>
      <c r="B38" s="51"/>
      <c r="C38" s="7"/>
      <c r="D38" s="52"/>
      <c r="E38" s="62"/>
      <c r="F38" s="74" t="s">
        <v>87</v>
      </c>
      <c r="G38" s="62" t="s">
        <v>88</v>
      </c>
      <c r="H38" s="74"/>
      <c r="I38" s="62" t="s">
        <v>239</v>
      </c>
    </row>
    <row r="39" spans="1:9" x14ac:dyDescent="0.25">
      <c r="A39" s="9">
        <v>1</v>
      </c>
      <c r="B39" s="9" t="s">
        <v>90</v>
      </c>
      <c r="C39" s="42" t="s">
        <v>91</v>
      </c>
      <c r="D39" s="7">
        <v>-73183.13</v>
      </c>
      <c r="E39" s="81">
        <v>377447</v>
      </c>
      <c r="F39" s="52">
        <v>360629.16</v>
      </c>
      <c r="G39" s="62">
        <f>E39</f>
        <v>377447</v>
      </c>
      <c r="H39" s="62">
        <f>D39+F39-G39</f>
        <v>-90000.97000000003</v>
      </c>
      <c r="I39" s="61">
        <f>H39</f>
        <v>-90000.97000000003</v>
      </c>
    </row>
    <row r="40" spans="1:9" x14ac:dyDescent="0.25">
      <c r="A40" s="9"/>
      <c r="B40" s="9" t="s">
        <v>92</v>
      </c>
      <c r="C40" s="41" t="s">
        <v>93</v>
      </c>
      <c r="D40" s="9"/>
      <c r="E40" s="65"/>
      <c r="F40" s="8"/>
      <c r="G40" s="62"/>
      <c r="H40" s="62"/>
      <c r="I40" s="9"/>
    </row>
    <row r="41" spans="1:9" x14ac:dyDescent="0.25">
      <c r="A41" s="9">
        <v>2</v>
      </c>
      <c r="B41" s="9" t="s">
        <v>98</v>
      </c>
      <c r="C41" s="41" t="s">
        <v>203</v>
      </c>
      <c r="D41" s="9">
        <v>-336633.59100000001</v>
      </c>
      <c r="E41" s="10">
        <v>1152777.32</v>
      </c>
      <c r="F41" s="8">
        <v>1124563.3400000001</v>
      </c>
      <c r="G41" s="62">
        <f>E41</f>
        <v>1152777.32</v>
      </c>
      <c r="H41" s="62">
        <f>D41+F41-G41</f>
        <v>-364847.571</v>
      </c>
      <c r="I41" s="50">
        <f>H41</f>
        <v>-364847.571</v>
      </c>
    </row>
    <row r="42" spans="1:9" x14ac:dyDescent="0.25">
      <c r="A42" s="1" t="s">
        <v>100</v>
      </c>
      <c r="B42" s="1"/>
      <c r="C42" s="1"/>
      <c r="D42" s="1"/>
      <c r="E42" s="1"/>
      <c r="F42" s="1"/>
      <c r="G42" s="1"/>
      <c r="H42" s="1"/>
      <c r="I42" s="2"/>
    </row>
    <row r="43" spans="1:9" x14ac:dyDescent="0.25">
      <c r="A43" s="5" t="s">
        <v>101</v>
      </c>
      <c r="B43" s="1"/>
      <c r="C43" s="1"/>
      <c r="D43" s="1"/>
      <c r="E43" s="1"/>
      <c r="F43" s="1"/>
      <c r="G43" s="1"/>
      <c r="H43" s="1"/>
      <c r="I43" s="2"/>
    </row>
    <row r="44" spans="1:9" x14ac:dyDescent="0.25">
      <c r="A44" s="48" t="s">
        <v>12</v>
      </c>
      <c r="B44" s="6" t="s">
        <v>102</v>
      </c>
      <c r="C44" s="58" t="s">
        <v>103</v>
      </c>
      <c r="D44" s="58"/>
      <c r="E44" s="58"/>
      <c r="F44" s="48" t="s">
        <v>398</v>
      </c>
      <c r="G44" s="58"/>
      <c r="H44" s="49"/>
      <c r="I44" s="6" t="s">
        <v>105</v>
      </c>
    </row>
    <row r="45" spans="1:9" x14ac:dyDescent="0.25">
      <c r="A45" s="51" t="s">
        <v>106</v>
      </c>
      <c r="B45" s="7" t="s">
        <v>223</v>
      </c>
      <c r="C45" s="60"/>
      <c r="D45" s="60"/>
      <c r="E45" s="60"/>
      <c r="F45" s="51" t="s">
        <v>763</v>
      </c>
      <c r="G45" s="60"/>
      <c r="H45" s="61"/>
      <c r="I45" s="7" t="s">
        <v>108</v>
      </c>
    </row>
    <row r="46" spans="1:9" x14ac:dyDescent="0.25">
      <c r="A46" s="51"/>
      <c r="B46" s="62"/>
      <c r="C46" s="60"/>
      <c r="D46" s="60"/>
      <c r="E46" s="60"/>
      <c r="F46" s="51" t="s">
        <v>258</v>
      </c>
      <c r="G46" s="60"/>
      <c r="H46" s="61"/>
      <c r="I46" s="7"/>
    </row>
    <row r="47" spans="1:9" x14ac:dyDescent="0.25">
      <c r="A47" s="67" t="s">
        <v>110</v>
      </c>
      <c r="B47" s="59"/>
      <c r="C47" s="57" t="s">
        <v>111</v>
      </c>
      <c r="D47" s="68"/>
      <c r="E47" s="72"/>
      <c r="F47" s="48"/>
      <c r="G47" s="58"/>
      <c r="H47" s="49"/>
      <c r="I47" s="6"/>
    </row>
    <row r="48" spans="1:9" x14ac:dyDescent="0.25">
      <c r="A48" s="69"/>
      <c r="B48" s="51"/>
      <c r="C48" s="51" t="s">
        <v>112</v>
      </c>
      <c r="D48" s="60"/>
      <c r="E48" s="61"/>
      <c r="F48" s="51" t="s">
        <v>71</v>
      </c>
      <c r="G48" s="37" t="s">
        <v>71</v>
      </c>
      <c r="H48" s="61" t="s">
        <v>71</v>
      </c>
      <c r="I48" s="7" t="s">
        <v>71</v>
      </c>
    </row>
    <row r="49" spans="1:9" x14ac:dyDescent="0.25">
      <c r="A49" s="69" t="s">
        <v>113</v>
      </c>
      <c r="B49" s="83">
        <v>42849</v>
      </c>
      <c r="C49" s="51" t="s">
        <v>587</v>
      </c>
      <c r="D49" s="60"/>
      <c r="E49" s="61"/>
      <c r="F49" s="51"/>
      <c r="G49" s="37">
        <f>I49/3436.1</f>
        <v>0.33614563022030791</v>
      </c>
      <c r="H49" s="61"/>
      <c r="I49" s="7">
        <v>1155.03</v>
      </c>
    </row>
    <row r="50" spans="1:9" x14ac:dyDescent="0.25">
      <c r="A50" s="69" t="s">
        <v>38</v>
      </c>
      <c r="B50" s="83">
        <v>42851</v>
      </c>
      <c r="C50" s="83" t="s">
        <v>114</v>
      </c>
      <c r="D50" s="60"/>
      <c r="E50" s="61"/>
      <c r="F50" s="51"/>
      <c r="G50" s="37">
        <f>I50/3436.1</f>
        <v>6.6354297022787465</v>
      </c>
      <c r="H50" s="61"/>
      <c r="I50" s="7">
        <v>22800</v>
      </c>
    </row>
    <row r="51" spans="1:9" x14ac:dyDescent="0.25">
      <c r="A51" s="69" t="s">
        <v>40</v>
      </c>
      <c r="B51" s="83">
        <v>42985</v>
      </c>
      <c r="C51" s="83" t="s">
        <v>858</v>
      </c>
      <c r="D51" s="60"/>
      <c r="E51" s="61"/>
      <c r="F51" s="51"/>
      <c r="G51" s="37">
        <f>I51/3436.1</f>
        <v>2.8986350804691368</v>
      </c>
      <c r="H51" s="61"/>
      <c r="I51" s="7">
        <v>9960</v>
      </c>
    </row>
    <row r="52" spans="1:9" x14ac:dyDescent="0.25">
      <c r="A52" s="69"/>
      <c r="B52" s="51"/>
      <c r="C52" s="15" t="s">
        <v>118</v>
      </c>
      <c r="D52" s="14"/>
      <c r="E52" s="85"/>
      <c r="F52" s="59"/>
      <c r="G52" s="20">
        <f>SUM(G49:G51)</f>
        <v>9.8702104129681913</v>
      </c>
      <c r="H52" s="71"/>
      <c r="I52" s="18">
        <f>SUM(I49:I51)</f>
        <v>33915.03</v>
      </c>
    </row>
    <row r="53" spans="1:9" x14ac:dyDescent="0.25">
      <c r="A53" s="6"/>
      <c r="B53" s="6"/>
      <c r="C53" s="48"/>
      <c r="D53" s="58"/>
      <c r="E53" s="49"/>
      <c r="F53" s="48"/>
      <c r="G53" s="58"/>
      <c r="H53" s="49"/>
      <c r="I53" s="6"/>
    </row>
    <row r="54" spans="1:9" x14ac:dyDescent="0.25">
      <c r="A54" s="6" t="s">
        <v>48</v>
      </c>
      <c r="B54" s="57" t="s">
        <v>119</v>
      </c>
      <c r="C54" s="57" t="s">
        <v>120</v>
      </c>
      <c r="D54" s="58"/>
      <c r="E54" s="49"/>
      <c r="F54" s="48"/>
      <c r="G54" s="86"/>
      <c r="H54" s="49"/>
      <c r="I54" s="49"/>
    </row>
    <row r="55" spans="1:9" x14ac:dyDescent="0.25">
      <c r="A55" s="62"/>
      <c r="B55" s="52" t="s">
        <v>119</v>
      </c>
      <c r="C55" s="15" t="s">
        <v>118</v>
      </c>
      <c r="D55" s="14"/>
      <c r="E55" s="85"/>
      <c r="F55" s="15" t="s">
        <v>71</v>
      </c>
      <c r="G55" s="78">
        <v>0</v>
      </c>
      <c r="H55" s="85"/>
      <c r="I55" s="85">
        <v>0</v>
      </c>
    </row>
    <row r="56" spans="1:9" x14ac:dyDescent="0.25">
      <c r="A56" s="2"/>
      <c r="B56" s="2"/>
      <c r="C56" s="2" t="s">
        <v>71</v>
      </c>
      <c r="E56" s="2"/>
      <c r="F56" s="2"/>
      <c r="G56" s="2"/>
      <c r="H56" s="2"/>
    </row>
    <row r="57" spans="1:9" x14ac:dyDescent="0.25">
      <c r="A57" s="2" t="s">
        <v>614</v>
      </c>
      <c r="B57" s="2"/>
      <c r="C57" s="2"/>
      <c r="D57" s="2" t="s">
        <v>123</v>
      </c>
      <c r="E57" s="2"/>
      <c r="F57" s="2" t="s">
        <v>124</v>
      </c>
      <c r="G57" s="2"/>
      <c r="H57" s="2" t="s">
        <v>125</v>
      </c>
      <c r="I57" s="2" t="s">
        <v>126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4" zoomScale="110" zoomScaleNormal="110" workbookViewId="0">
      <selection activeCell="B30" sqref="B30"/>
    </sheetView>
  </sheetViews>
  <sheetFormatPr defaultRowHeight="15" x14ac:dyDescent="0.25"/>
  <cols>
    <col min="1" max="1" width="5.85546875" style="3" customWidth="1"/>
    <col min="2" max="2" width="30" style="3" customWidth="1"/>
    <col min="3" max="3" width="12.5703125" style="3" customWidth="1"/>
    <col min="4" max="4" width="12.42578125" style="3" customWidth="1"/>
    <col min="5" max="7" width="9.140625" style="3"/>
    <col min="8" max="8" width="12.28515625" style="3" customWidth="1"/>
    <col min="9" max="9" width="20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859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860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861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133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49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61" t="s">
        <v>20</v>
      </c>
      <c r="B14" s="7"/>
      <c r="C14" s="7" t="s">
        <v>862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61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61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58">
        <v>7</v>
      </c>
      <c r="H17" s="6">
        <v>8</v>
      </c>
      <c r="I17" s="6">
        <v>9</v>
      </c>
    </row>
    <row r="18" spans="1:9" x14ac:dyDescent="0.25">
      <c r="A18" s="57">
        <v>1</v>
      </c>
      <c r="B18" s="25" t="s">
        <v>191</v>
      </c>
      <c r="C18" s="57"/>
      <c r="D18" s="45"/>
      <c r="E18" s="27" t="s">
        <v>71</v>
      </c>
      <c r="F18" s="57" t="s">
        <v>71</v>
      </c>
      <c r="G18" s="28" t="str">
        <f t="shared" ref="G18:G23" si="0">E18</f>
        <v xml:space="preserve"> </v>
      </c>
      <c r="H18" s="45"/>
      <c r="I18" s="45" t="s">
        <v>71</v>
      </c>
    </row>
    <row r="19" spans="1:9" x14ac:dyDescent="0.25">
      <c r="A19" s="15"/>
      <c r="B19" s="12" t="s">
        <v>192</v>
      </c>
      <c r="C19" s="15">
        <v>7.56</v>
      </c>
      <c r="D19" s="17">
        <v>-13193.21</v>
      </c>
      <c r="E19" s="14">
        <v>427444.92</v>
      </c>
      <c r="F19" s="15">
        <v>409172.02</v>
      </c>
      <c r="G19" s="16">
        <f t="shared" si="0"/>
        <v>427444.92</v>
      </c>
      <c r="H19" s="17">
        <f>D19+F19-G19</f>
        <v>-31466.109999999986</v>
      </c>
      <c r="I19" s="17">
        <f>H19</f>
        <v>-31466.109999999986</v>
      </c>
    </row>
    <row r="20" spans="1:9" x14ac:dyDescent="0.25">
      <c r="A20" s="61" t="s">
        <v>36</v>
      </c>
      <c r="B20" s="62" t="s">
        <v>37</v>
      </c>
      <c r="C20" s="52">
        <v>2.62</v>
      </c>
      <c r="D20" s="75"/>
      <c r="E20" s="79">
        <f>E19*34.5%</f>
        <v>147468.49739999999</v>
      </c>
      <c r="F20" s="55">
        <f>F19*34.5%</f>
        <v>141164.3469</v>
      </c>
      <c r="G20" s="55">
        <f t="shared" si="0"/>
        <v>147468.49739999999</v>
      </c>
      <c r="H20" s="54"/>
      <c r="I20" s="23"/>
    </row>
    <row r="21" spans="1:9" x14ac:dyDescent="0.25">
      <c r="A21" s="91" t="s">
        <v>38</v>
      </c>
      <c r="B21" s="6" t="s">
        <v>39</v>
      </c>
      <c r="C21" s="48">
        <v>1.33</v>
      </c>
      <c r="D21" s="75"/>
      <c r="E21" s="86">
        <f>E19*18/100</f>
        <v>76940.085599999991</v>
      </c>
      <c r="F21" s="105">
        <f>F19*18/100</f>
        <v>73650.963600000003</v>
      </c>
      <c r="G21" s="38">
        <f t="shared" si="0"/>
        <v>76940.085599999991</v>
      </c>
      <c r="H21" s="22"/>
      <c r="I21" s="75"/>
    </row>
    <row r="22" spans="1:9" x14ac:dyDescent="0.25">
      <c r="A22" s="91" t="s">
        <v>40</v>
      </c>
      <c r="B22" s="6" t="s">
        <v>41</v>
      </c>
      <c r="C22" s="105">
        <v>1.22</v>
      </c>
      <c r="D22" s="29"/>
      <c r="E22" s="39">
        <f>E19*16/100</f>
        <v>68391.1872</v>
      </c>
      <c r="F22" s="40">
        <f>F19*16%</f>
        <v>65467.523200000003</v>
      </c>
      <c r="G22" s="40">
        <f t="shared" si="0"/>
        <v>68391.1872</v>
      </c>
      <c r="H22" s="29"/>
      <c r="I22" s="35"/>
    </row>
    <row r="23" spans="1:9" x14ac:dyDescent="0.25">
      <c r="A23" s="91" t="s">
        <v>42</v>
      </c>
      <c r="B23" s="6" t="s">
        <v>43</v>
      </c>
      <c r="C23" s="48">
        <v>2.39</v>
      </c>
      <c r="D23" s="75"/>
      <c r="E23" s="37">
        <f>E19*31.5/100</f>
        <v>134645.14979999998</v>
      </c>
      <c r="F23" s="38">
        <f>F19*31.5/100</f>
        <v>128889.1863</v>
      </c>
      <c r="G23" s="38">
        <f t="shared" si="0"/>
        <v>134645.14979999998</v>
      </c>
      <c r="H23" s="29"/>
      <c r="I23" s="75"/>
    </row>
    <row r="24" spans="1:9" x14ac:dyDescent="0.25">
      <c r="A24" s="91" t="s">
        <v>44</v>
      </c>
      <c r="B24" s="6" t="s">
        <v>45</v>
      </c>
      <c r="C24" s="48">
        <v>0.37209999999999999</v>
      </c>
      <c r="D24" s="75"/>
      <c r="E24" s="105">
        <v>12398.61</v>
      </c>
      <c r="F24" s="105">
        <v>13285.9</v>
      </c>
      <c r="G24" s="75">
        <f>E24</f>
        <v>12398.61</v>
      </c>
      <c r="H24" s="17">
        <f>F24-E24</f>
        <v>887.28999999999905</v>
      </c>
      <c r="I24" s="45"/>
    </row>
    <row r="25" spans="1:9" x14ac:dyDescent="0.25">
      <c r="A25" s="91" t="s">
        <v>46</v>
      </c>
      <c r="B25" s="6" t="s">
        <v>47</v>
      </c>
      <c r="C25" s="48">
        <v>0.65410000000000001</v>
      </c>
      <c r="D25" s="6">
        <v>-407.42</v>
      </c>
      <c r="E25" s="58">
        <v>52090.07</v>
      </c>
      <c r="F25" s="48">
        <v>46151</v>
      </c>
      <c r="G25" s="6">
        <f>E25</f>
        <v>52090.07</v>
      </c>
      <c r="H25" s="11">
        <f>D25+F25-G25</f>
        <v>-6346.489999999998</v>
      </c>
      <c r="I25" s="25">
        <f>H25</f>
        <v>-6346.489999999998</v>
      </c>
    </row>
    <row r="26" spans="1:9" x14ac:dyDescent="0.25">
      <c r="A26" s="46" t="s">
        <v>48</v>
      </c>
      <c r="B26" s="11" t="s">
        <v>49</v>
      </c>
      <c r="C26" s="42" t="s">
        <v>50</v>
      </c>
      <c r="D26" s="43">
        <v>-19746.259999999998</v>
      </c>
      <c r="E26" s="42">
        <v>191526.93</v>
      </c>
      <c r="F26" s="42">
        <v>176679.87</v>
      </c>
      <c r="G26" s="43">
        <f>E26</f>
        <v>191526.93</v>
      </c>
      <c r="H26" s="17">
        <f>D26+F26-G26</f>
        <v>-34593.320000000007</v>
      </c>
      <c r="I26" s="43">
        <f>H26</f>
        <v>-34593.320000000007</v>
      </c>
    </row>
    <row r="27" spans="1:9" x14ac:dyDescent="0.25">
      <c r="A27" s="85" t="s">
        <v>51</v>
      </c>
      <c r="B27" s="12" t="s">
        <v>459</v>
      </c>
      <c r="C27" s="59">
        <v>1.82</v>
      </c>
      <c r="D27" s="44">
        <v>-49264.13</v>
      </c>
      <c r="E27" s="71">
        <v>93242.76</v>
      </c>
      <c r="F27" s="18">
        <v>90088.83</v>
      </c>
      <c r="G27" s="18">
        <f>I57</f>
        <v>196179.65</v>
      </c>
      <c r="H27" s="44">
        <f>D27+F27-G27</f>
        <v>-155354.94999999998</v>
      </c>
      <c r="I27" s="44">
        <f>H27</f>
        <v>-155354.94999999998</v>
      </c>
    </row>
    <row r="28" spans="1:9" x14ac:dyDescent="0.25">
      <c r="A28" s="71" t="s">
        <v>55</v>
      </c>
      <c r="B28" s="59" t="s">
        <v>146</v>
      </c>
      <c r="C28" s="57"/>
      <c r="D28" s="45"/>
      <c r="E28" s="68"/>
      <c r="F28" s="25"/>
      <c r="G28" s="226"/>
      <c r="H28" s="45"/>
      <c r="I28" s="26"/>
    </row>
    <row r="29" spans="1:9" x14ac:dyDescent="0.25">
      <c r="A29" s="85"/>
      <c r="B29" s="15" t="s">
        <v>863</v>
      </c>
      <c r="C29" s="16"/>
      <c r="D29" s="17">
        <v>21462.57</v>
      </c>
      <c r="E29" s="14">
        <v>0</v>
      </c>
      <c r="F29" s="12">
        <f>F30</f>
        <v>132.05000000000001</v>
      </c>
      <c r="G29" s="14">
        <f>I61</f>
        <v>0</v>
      </c>
      <c r="H29" s="17">
        <f>D29+F29-G29</f>
        <v>21594.62</v>
      </c>
      <c r="I29" s="13"/>
    </row>
    <row r="30" spans="1:9" x14ac:dyDescent="0.25">
      <c r="A30" s="50"/>
      <c r="B30" s="9" t="s">
        <v>53</v>
      </c>
      <c r="C30" s="40"/>
      <c r="D30" s="29">
        <v>0</v>
      </c>
      <c r="E30" s="14">
        <v>0</v>
      </c>
      <c r="F30" s="12">
        <v>132.05000000000001</v>
      </c>
      <c r="G30" s="9">
        <f>G29</f>
        <v>0</v>
      </c>
      <c r="H30" s="29" t="s">
        <v>71</v>
      </c>
      <c r="I30" s="35"/>
    </row>
    <row r="31" spans="1:9" x14ac:dyDescent="0.25">
      <c r="A31" s="60"/>
      <c r="B31" s="60"/>
      <c r="C31" s="60"/>
      <c r="D31" s="37"/>
      <c r="E31" s="60"/>
      <c r="F31" s="60"/>
      <c r="G31" s="60"/>
      <c r="H31" s="37"/>
      <c r="I31" s="37"/>
    </row>
    <row r="32" spans="1:9" x14ac:dyDescent="0.25">
      <c r="A32" s="1" t="s">
        <v>58</v>
      </c>
      <c r="B32" s="1"/>
      <c r="C32" s="1"/>
      <c r="D32" s="1"/>
      <c r="E32" s="1"/>
      <c r="F32" s="1"/>
      <c r="G32" s="2"/>
      <c r="H32" s="2"/>
      <c r="I32" s="2"/>
    </row>
    <row r="33" spans="1:9" x14ac:dyDescent="0.25">
      <c r="A33" s="68" t="s">
        <v>59</v>
      </c>
      <c r="B33" s="57" t="s">
        <v>60</v>
      </c>
      <c r="C33" s="48" t="s">
        <v>375</v>
      </c>
      <c r="D33" s="6" t="s">
        <v>62</v>
      </c>
      <c r="E33" s="6" t="s">
        <v>63</v>
      </c>
      <c r="F33" s="6" t="s">
        <v>61</v>
      </c>
      <c r="G33" s="49"/>
      <c r="H33" s="58" t="s">
        <v>199</v>
      </c>
      <c r="I33" s="49"/>
    </row>
    <row r="34" spans="1:9" x14ac:dyDescent="0.25">
      <c r="A34" s="60"/>
      <c r="B34" s="59"/>
      <c r="C34" s="52" t="s">
        <v>66</v>
      </c>
      <c r="D34" s="62" t="s">
        <v>23</v>
      </c>
      <c r="E34" s="62" t="s">
        <v>312</v>
      </c>
      <c r="F34" s="227" t="s">
        <v>30</v>
      </c>
      <c r="G34" s="228"/>
      <c r="H34" s="221"/>
      <c r="I34" s="53"/>
    </row>
    <row r="35" spans="1:9" x14ac:dyDescent="0.25">
      <c r="A35" s="74"/>
      <c r="B35" s="15" t="s">
        <v>68</v>
      </c>
      <c r="C35" s="54">
        <v>16498.5</v>
      </c>
      <c r="D35" s="62">
        <v>9153</v>
      </c>
      <c r="E35" s="79">
        <f>D35*15%</f>
        <v>1372.95</v>
      </c>
      <c r="F35" s="190">
        <f>C35+(D35-E35)</f>
        <v>24278.55</v>
      </c>
      <c r="G35" s="190"/>
      <c r="H35" s="79">
        <f>F35-G35</f>
        <v>24278.55</v>
      </c>
      <c r="I35" s="53"/>
    </row>
    <row r="36" spans="1:9" x14ac:dyDescent="0.25">
      <c r="A36" s="60"/>
      <c r="B36" s="5"/>
      <c r="C36" s="37"/>
      <c r="D36" s="60"/>
      <c r="E36" s="37"/>
      <c r="F36" s="191"/>
      <c r="G36" s="191"/>
      <c r="H36" s="37"/>
      <c r="I36" s="60"/>
    </row>
    <row r="37" spans="1:9" x14ac:dyDescent="0.25">
      <c r="A37" s="5" t="s">
        <v>69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1" t="s">
        <v>70</v>
      </c>
      <c r="B38" s="1"/>
      <c r="C38" s="1"/>
      <c r="D38" s="1"/>
      <c r="E38" s="1"/>
      <c r="F38" s="229"/>
      <c r="G38" s="1"/>
      <c r="H38" s="1"/>
      <c r="I38" s="1"/>
    </row>
    <row r="39" spans="1:9" x14ac:dyDescent="0.25">
      <c r="A39" s="49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864</v>
      </c>
    </row>
    <row r="40" spans="1:9" x14ac:dyDescent="0.25">
      <c r="A40" s="61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61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50">
        <v>1</v>
      </c>
      <c r="B42" s="9" t="s">
        <v>90</v>
      </c>
      <c r="C42" s="11" t="s">
        <v>91</v>
      </c>
      <c r="D42" s="9">
        <v>-122638.85</v>
      </c>
      <c r="E42" s="95">
        <v>613688.32999999996</v>
      </c>
      <c r="F42" s="9">
        <v>584160.64</v>
      </c>
      <c r="G42" s="10">
        <f>E42</f>
        <v>613688.32999999996</v>
      </c>
      <c r="H42" s="9">
        <f>D42+F42-G42</f>
        <v>-152166.53999999992</v>
      </c>
      <c r="I42" s="50">
        <f>H42</f>
        <v>-152166.53999999992</v>
      </c>
    </row>
    <row r="43" spans="1:9" x14ac:dyDescent="0.25">
      <c r="A43" s="50"/>
      <c r="B43" s="9" t="s">
        <v>92</v>
      </c>
      <c r="C43" s="41" t="s">
        <v>93</v>
      </c>
      <c r="D43" s="9"/>
      <c r="E43" s="65"/>
      <c r="F43" s="9"/>
      <c r="G43" s="10"/>
      <c r="H43" s="9"/>
      <c r="I43" s="50"/>
    </row>
    <row r="44" spans="1:9" x14ac:dyDescent="0.25">
      <c r="A44" s="50">
        <v>2</v>
      </c>
      <c r="B44" s="9" t="s">
        <v>98</v>
      </c>
      <c r="C44" s="41" t="s">
        <v>203</v>
      </c>
      <c r="D44" s="9">
        <v>-329950.43</v>
      </c>
      <c r="E44" s="10">
        <v>1266489.81</v>
      </c>
      <c r="F44" s="9">
        <v>1149893.4099999999</v>
      </c>
      <c r="G44" s="8">
        <f>E44</f>
        <v>1266489.81</v>
      </c>
      <c r="H44" s="9">
        <f>D44+F44-G44</f>
        <v>-446546.83000000007</v>
      </c>
      <c r="I44" s="9">
        <f>H44</f>
        <v>-446546.83000000007</v>
      </c>
    </row>
    <row r="45" spans="1:9" x14ac:dyDescent="0.25">
      <c r="A45" s="1" t="s">
        <v>100</v>
      </c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5" t="s">
        <v>101</v>
      </c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58" t="s">
        <v>12</v>
      </c>
      <c r="B47" s="6" t="s">
        <v>102</v>
      </c>
      <c r="C47" s="58" t="s">
        <v>103</v>
      </c>
      <c r="D47" s="58"/>
      <c r="E47" s="58"/>
      <c r="F47" s="48" t="s">
        <v>398</v>
      </c>
      <c r="G47" s="58"/>
      <c r="H47" s="49"/>
      <c r="I47" s="6" t="s">
        <v>105</v>
      </c>
    </row>
    <row r="48" spans="1:9" x14ac:dyDescent="0.25">
      <c r="A48" s="60" t="s">
        <v>106</v>
      </c>
      <c r="B48" s="7"/>
      <c r="C48" s="60"/>
      <c r="D48" s="60"/>
      <c r="E48" s="60"/>
      <c r="F48" s="51" t="s">
        <v>763</v>
      </c>
      <c r="G48" s="60"/>
      <c r="H48" s="61"/>
      <c r="I48" s="7" t="s">
        <v>108</v>
      </c>
    </row>
    <row r="49" spans="1:9" x14ac:dyDescent="0.25">
      <c r="A49" s="60"/>
      <c r="B49" s="62"/>
      <c r="C49" s="60"/>
      <c r="D49" s="60"/>
      <c r="E49" s="60"/>
      <c r="F49" s="51" t="s">
        <v>258</v>
      </c>
      <c r="G49" s="60"/>
      <c r="H49" s="61"/>
      <c r="I49" s="7"/>
    </row>
    <row r="50" spans="1:9" x14ac:dyDescent="0.25">
      <c r="A50" s="96" t="s">
        <v>110</v>
      </c>
      <c r="B50" s="18"/>
      <c r="C50" s="68" t="s">
        <v>624</v>
      </c>
      <c r="D50" s="68"/>
      <c r="E50" s="68"/>
      <c r="F50" s="48"/>
      <c r="G50" s="58"/>
      <c r="H50" s="49"/>
      <c r="I50" s="6"/>
    </row>
    <row r="51" spans="1:9" x14ac:dyDescent="0.25">
      <c r="A51" s="89" t="s">
        <v>113</v>
      </c>
      <c r="B51" s="70">
        <v>42766</v>
      </c>
      <c r="C51" s="60" t="s">
        <v>315</v>
      </c>
      <c r="D51" s="60"/>
      <c r="E51" s="60"/>
      <c r="F51" s="51"/>
      <c r="G51" s="37">
        <f t="shared" ref="G51:G56" si="1">I51/4715.1</f>
        <v>32.201490954592693</v>
      </c>
      <c r="H51" s="61"/>
      <c r="I51" s="7">
        <v>151833.25</v>
      </c>
    </row>
    <row r="52" spans="1:9" x14ac:dyDescent="0.25">
      <c r="A52" s="89" t="s">
        <v>38</v>
      </c>
      <c r="B52" s="70">
        <v>42766</v>
      </c>
      <c r="C52" s="51" t="s">
        <v>865</v>
      </c>
      <c r="D52" s="60"/>
      <c r="E52" s="61"/>
      <c r="F52" s="51"/>
      <c r="G52" s="37">
        <f t="shared" si="1"/>
        <v>0.52109393226018541</v>
      </c>
      <c r="H52" s="61"/>
      <c r="I52" s="7">
        <v>2457.0100000000002</v>
      </c>
    </row>
    <row r="53" spans="1:9" x14ac:dyDescent="0.25">
      <c r="A53" s="89" t="s">
        <v>40</v>
      </c>
      <c r="B53" s="70">
        <v>42851</v>
      </c>
      <c r="C53" s="51" t="s">
        <v>259</v>
      </c>
      <c r="D53" s="60"/>
      <c r="E53" s="61"/>
      <c r="F53" s="51"/>
      <c r="G53" s="37">
        <f t="shared" si="1"/>
        <v>4.6658607452652117</v>
      </c>
      <c r="H53" s="61"/>
      <c r="I53" s="7">
        <v>22000</v>
      </c>
    </row>
    <row r="54" spans="1:9" x14ac:dyDescent="0.25">
      <c r="A54" s="89" t="s">
        <v>42</v>
      </c>
      <c r="B54" s="70">
        <v>42978</v>
      </c>
      <c r="C54" s="60" t="s">
        <v>354</v>
      </c>
      <c r="D54" s="60"/>
      <c r="E54" s="60"/>
      <c r="F54" s="51"/>
      <c r="G54" s="37">
        <f t="shared" si="1"/>
        <v>0.53970011240482696</v>
      </c>
      <c r="H54" s="61"/>
      <c r="I54" s="7">
        <v>2544.7399999999998</v>
      </c>
    </row>
    <row r="55" spans="1:9" x14ac:dyDescent="0.25">
      <c r="A55" s="89" t="s">
        <v>44</v>
      </c>
      <c r="B55" s="70">
        <v>43069</v>
      </c>
      <c r="C55" s="60" t="s">
        <v>866</v>
      </c>
      <c r="D55" s="60"/>
      <c r="E55" s="60"/>
      <c r="F55" s="51"/>
      <c r="G55" s="37">
        <f t="shared" si="1"/>
        <v>0.50221628385400097</v>
      </c>
      <c r="H55" s="61"/>
      <c r="I55" s="7">
        <v>2368</v>
      </c>
    </row>
    <row r="56" spans="1:9" x14ac:dyDescent="0.25">
      <c r="A56" s="103" t="s">
        <v>46</v>
      </c>
      <c r="B56" s="70" t="s">
        <v>867</v>
      </c>
      <c r="C56" s="60" t="s">
        <v>868</v>
      </c>
      <c r="D56" s="60"/>
      <c r="E56" s="60"/>
      <c r="F56" s="51"/>
      <c r="G56" s="37">
        <f t="shared" si="1"/>
        <v>3.1763165150261923</v>
      </c>
      <c r="H56" s="61"/>
      <c r="I56" s="7">
        <v>14976.65</v>
      </c>
    </row>
    <row r="57" spans="1:9" x14ac:dyDescent="0.25">
      <c r="A57" s="89"/>
      <c r="B57" s="7"/>
      <c r="C57" s="5" t="s">
        <v>118</v>
      </c>
      <c r="D57" s="5"/>
      <c r="E57" s="5"/>
      <c r="F57" s="59"/>
      <c r="G57" s="20">
        <f>SUM(G50:G56)</f>
        <v>41.60667854340312</v>
      </c>
      <c r="H57" s="71"/>
      <c r="I57" s="18">
        <f>SUM(I50:I56)</f>
        <v>196179.65</v>
      </c>
    </row>
    <row r="58" spans="1:9" x14ac:dyDescent="0.25">
      <c r="A58" s="49"/>
      <c r="B58" s="6"/>
      <c r="C58" s="48"/>
      <c r="D58" s="58"/>
      <c r="E58" s="49"/>
      <c r="F58" s="48"/>
      <c r="G58" s="58"/>
      <c r="H58" s="49"/>
      <c r="I58" s="6"/>
    </row>
    <row r="59" spans="1:9" x14ac:dyDescent="0.25">
      <c r="A59" s="49" t="s">
        <v>48</v>
      </c>
      <c r="B59" s="25" t="s">
        <v>119</v>
      </c>
      <c r="C59" s="57" t="s">
        <v>120</v>
      </c>
      <c r="D59" s="58"/>
      <c r="E59" s="49"/>
      <c r="F59" s="48" t="s">
        <v>121</v>
      </c>
      <c r="G59" s="58"/>
      <c r="H59" s="49"/>
      <c r="I59" s="6"/>
    </row>
    <row r="60" spans="1:9" x14ac:dyDescent="0.25">
      <c r="A60" s="89" t="s">
        <v>71</v>
      </c>
      <c r="B60" s="70"/>
      <c r="C60" s="51"/>
      <c r="D60" s="60"/>
      <c r="E60" s="61"/>
      <c r="F60" s="51"/>
      <c r="G60" s="37"/>
      <c r="H60" s="61"/>
      <c r="I60" s="7"/>
    </row>
    <row r="61" spans="1:9" x14ac:dyDescent="0.25">
      <c r="A61" s="99"/>
      <c r="B61" s="62"/>
      <c r="C61" s="15" t="s">
        <v>118</v>
      </c>
      <c r="D61" s="74"/>
      <c r="E61" s="53"/>
      <c r="F61" s="15"/>
      <c r="G61" s="78">
        <f>SUM(G60:G60)</f>
        <v>0</v>
      </c>
      <c r="H61" s="85"/>
      <c r="I61" s="12">
        <f>SUM(I60:I60)</f>
        <v>0</v>
      </c>
    </row>
    <row r="62" spans="1:9" x14ac:dyDescent="0.25">
      <c r="A62" s="2" t="s">
        <v>122</v>
      </c>
      <c r="B62" s="2"/>
      <c r="C62" s="2" t="s">
        <v>71</v>
      </c>
      <c r="D62" s="2" t="s">
        <v>123</v>
      </c>
      <c r="E62" s="2"/>
      <c r="F62" s="2" t="s">
        <v>124</v>
      </c>
      <c r="G62" s="2"/>
      <c r="H62" s="2" t="s">
        <v>125</v>
      </c>
      <c r="I62" s="2" t="s">
        <v>126</v>
      </c>
    </row>
    <row r="63" spans="1:9" x14ac:dyDescent="0.25">
      <c r="A63" s="2"/>
      <c r="B63" s="2"/>
    </row>
  </sheetData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1" zoomScale="110" zoomScaleNormal="110" workbookViewId="0">
      <selection activeCell="G55" sqref="G55"/>
    </sheetView>
  </sheetViews>
  <sheetFormatPr defaultRowHeight="15" x14ac:dyDescent="0.25"/>
  <cols>
    <col min="1" max="1" width="5.5703125" style="3" customWidth="1"/>
    <col min="2" max="2" width="31.5703125" style="3" customWidth="1"/>
    <col min="3" max="3" width="13.5703125" style="3" customWidth="1"/>
    <col min="4" max="6" width="9.140625" style="3"/>
    <col min="7" max="7" width="11.140625" style="3" customWidth="1"/>
    <col min="8" max="8" width="11.7109375" style="3" customWidth="1"/>
    <col min="9" max="9" width="18.28515625" style="3" customWidth="1"/>
    <col min="10" max="16384" width="9.140625" style="3"/>
  </cols>
  <sheetData>
    <row r="1" spans="1:9" x14ac:dyDescent="0.25">
      <c r="A1" s="3" t="s">
        <v>869</v>
      </c>
      <c r="C1" s="47" t="s">
        <v>870</v>
      </c>
      <c r="D1" s="47"/>
      <c r="E1" s="47"/>
      <c r="F1" s="47"/>
      <c r="G1" s="47"/>
      <c r="H1" s="47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871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872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873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874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8">
        <v>6</v>
      </c>
      <c r="G17" s="9">
        <v>7</v>
      </c>
      <c r="H17" s="6">
        <v>8</v>
      </c>
      <c r="I17" s="6">
        <v>9</v>
      </c>
    </row>
    <row r="18" spans="1:9" x14ac:dyDescent="0.25">
      <c r="A18" s="11">
        <v>1</v>
      </c>
      <c r="B18" s="12" t="s">
        <v>323</v>
      </c>
      <c r="C18" s="12">
        <v>7.56</v>
      </c>
      <c r="D18" s="32">
        <v>-22329.919999999998</v>
      </c>
      <c r="E18" s="14">
        <v>450321.12</v>
      </c>
      <c r="F18" s="15">
        <v>438456.28</v>
      </c>
      <c r="G18" s="17">
        <f>E18</f>
        <v>450321.12</v>
      </c>
      <c r="H18" s="43">
        <f>D18+F18-G18</f>
        <v>-34194.759999999951</v>
      </c>
      <c r="I18" s="32">
        <f>H18</f>
        <v>-34194.759999999951</v>
      </c>
    </row>
    <row r="19" spans="1:9" x14ac:dyDescent="0.25">
      <c r="A19" s="7" t="s">
        <v>36</v>
      </c>
      <c r="B19" s="62" t="s">
        <v>37</v>
      </c>
      <c r="C19" s="62">
        <v>2.62</v>
      </c>
      <c r="D19" s="80"/>
      <c r="E19" s="79">
        <f>E18*33%</f>
        <v>148605.96960000001</v>
      </c>
      <c r="F19" s="55">
        <f>F18*33%</f>
        <v>144690.5724</v>
      </c>
      <c r="G19" s="22">
        <f>E19</f>
        <v>148605.96960000001</v>
      </c>
      <c r="H19" s="22"/>
      <c r="I19" s="80"/>
    </row>
    <row r="20" spans="1:9" x14ac:dyDescent="0.25">
      <c r="A20" s="24" t="s">
        <v>38</v>
      </c>
      <c r="B20" s="6" t="s">
        <v>295</v>
      </c>
      <c r="C20" s="6">
        <v>1.33</v>
      </c>
      <c r="D20" s="30"/>
      <c r="E20" s="86">
        <f>E18*17/100</f>
        <v>76554.590400000001</v>
      </c>
      <c r="F20" s="105">
        <f>F18*17/100</f>
        <v>74537.567600000009</v>
      </c>
      <c r="G20" s="75">
        <f>E20</f>
        <v>76554.590400000001</v>
      </c>
      <c r="H20" s="75"/>
      <c r="I20" s="30"/>
    </row>
    <row r="21" spans="1:9" x14ac:dyDescent="0.25">
      <c r="A21" s="62"/>
      <c r="B21" s="62" t="s">
        <v>581</v>
      </c>
      <c r="C21" s="62"/>
      <c r="D21" s="80"/>
      <c r="E21" s="79"/>
      <c r="F21" s="55"/>
      <c r="G21" s="54"/>
      <c r="H21" s="54"/>
      <c r="I21" s="80"/>
    </row>
    <row r="22" spans="1:9" x14ac:dyDescent="0.25">
      <c r="A22" s="24" t="s">
        <v>40</v>
      </c>
      <c r="B22" s="6" t="s">
        <v>41</v>
      </c>
      <c r="C22" s="6">
        <v>1.63</v>
      </c>
      <c r="D22" s="30"/>
      <c r="E22" s="86">
        <f>E18*20/100</f>
        <v>90064.224000000002</v>
      </c>
      <c r="F22" s="105">
        <f>F18*20/100</f>
        <v>87691.256000000008</v>
      </c>
      <c r="G22" s="22">
        <f>E22</f>
        <v>90064.224000000002</v>
      </c>
      <c r="H22" s="22"/>
      <c r="I22" s="30"/>
    </row>
    <row r="23" spans="1:9" x14ac:dyDescent="0.25">
      <c r="A23" s="24" t="s">
        <v>42</v>
      </c>
      <c r="B23" s="6" t="s">
        <v>43</v>
      </c>
      <c r="C23" s="6">
        <v>2.39</v>
      </c>
      <c r="D23" s="30"/>
      <c r="E23" s="39">
        <f>E18*30/100</f>
        <v>135096.33600000001</v>
      </c>
      <c r="F23" s="40">
        <f>F18*30/100</f>
        <v>131536.88399999999</v>
      </c>
      <c r="G23" s="29">
        <f>E23</f>
        <v>135096.33600000001</v>
      </c>
      <c r="H23" s="29"/>
      <c r="I23" s="30"/>
    </row>
    <row r="24" spans="1:9" x14ac:dyDescent="0.25">
      <c r="A24" s="24" t="s">
        <v>44</v>
      </c>
      <c r="B24" s="6" t="s">
        <v>249</v>
      </c>
      <c r="C24" s="6">
        <v>0.36196</v>
      </c>
      <c r="D24" s="30"/>
      <c r="E24" s="79">
        <v>12434.34</v>
      </c>
      <c r="F24" s="55">
        <v>13615.75</v>
      </c>
      <c r="G24" s="54">
        <f>E24</f>
        <v>12434.34</v>
      </c>
      <c r="H24" s="17">
        <f>F24-E24</f>
        <v>1181.4099999999999</v>
      </c>
      <c r="I24" s="26"/>
    </row>
    <row r="25" spans="1:9" x14ac:dyDescent="0.25">
      <c r="A25" s="24" t="s">
        <v>46</v>
      </c>
      <c r="B25" s="6" t="s">
        <v>47</v>
      </c>
      <c r="C25" s="6">
        <v>0.61792000000000002</v>
      </c>
      <c r="D25" s="30"/>
      <c r="E25" s="50">
        <v>36587.43</v>
      </c>
      <c r="F25" s="10">
        <v>30608.01</v>
      </c>
      <c r="G25" s="9">
        <f>E25</f>
        <v>36587.43</v>
      </c>
      <c r="H25" s="46">
        <f>F25-E25</f>
        <v>-5979.4200000000019</v>
      </c>
      <c r="I25" s="46">
        <f>H25</f>
        <v>-5979.4200000000019</v>
      </c>
    </row>
    <row r="26" spans="1:9" x14ac:dyDescent="0.25">
      <c r="A26" s="11" t="s">
        <v>48</v>
      </c>
      <c r="B26" s="11" t="s">
        <v>49</v>
      </c>
      <c r="C26" s="11" t="s">
        <v>50</v>
      </c>
      <c r="D26" s="32">
        <v>-11022.5</v>
      </c>
      <c r="E26" s="14">
        <v>191259.18</v>
      </c>
      <c r="F26" s="15">
        <v>176975.72</v>
      </c>
      <c r="G26" s="17">
        <f>E26</f>
        <v>191259.18</v>
      </c>
      <c r="H26" s="17">
        <f>D26+F26-G26</f>
        <v>-25305.959999999992</v>
      </c>
      <c r="I26" s="32">
        <f>H26</f>
        <v>-25305.959999999992</v>
      </c>
    </row>
    <row r="27" spans="1:9" x14ac:dyDescent="0.25">
      <c r="A27" s="11" t="s">
        <v>51</v>
      </c>
      <c r="B27" s="12" t="s">
        <v>52</v>
      </c>
      <c r="C27" s="12">
        <v>1.82</v>
      </c>
      <c r="D27" s="21">
        <v>24238.29</v>
      </c>
      <c r="E27" s="18">
        <v>102833.76</v>
      </c>
      <c r="F27" s="18">
        <f>F28+F29</f>
        <v>104564.28</v>
      </c>
      <c r="G27" s="18">
        <f>I55</f>
        <v>30800</v>
      </c>
      <c r="H27" s="21">
        <f>D27+F27-G27</f>
        <v>98002.57</v>
      </c>
      <c r="I27" s="17"/>
    </row>
    <row r="28" spans="1:9" x14ac:dyDescent="0.25">
      <c r="A28" s="12"/>
      <c r="B28" s="9" t="s">
        <v>53</v>
      </c>
      <c r="C28" s="85"/>
      <c r="D28" s="34"/>
      <c r="E28" s="11"/>
      <c r="F28" s="11">
        <v>100813.99</v>
      </c>
      <c r="G28" s="42">
        <f>G27</f>
        <v>30800</v>
      </c>
      <c r="H28" s="43"/>
      <c r="I28" s="17"/>
    </row>
    <row r="29" spans="1:9" x14ac:dyDescent="0.25">
      <c r="A29" s="12"/>
      <c r="B29" s="9" t="s">
        <v>54</v>
      </c>
      <c r="C29" s="85"/>
      <c r="D29" s="21"/>
      <c r="E29" s="18"/>
      <c r="F29" s="18">
        <v>3750.29</v>
      </c>
      <c r="G29" s="59"/>
      <c r="H29" s="21"/>
      <c r="I29" s="17"/>
    </row>
    <row r="30" spans="1:9" x14ac:dyDescent="0.25">
      <c r="A30" s="11" t="s">
        <v>55</v>
      </c>
      <c r="B30" s="12" t="s">
        <v>875</v>
      </c>
      <c r="C30" s="14"/>
      <c r="D30" s="34">
        <v>50131.88</v>
      </c>
      <c r="E30" s="11">
        <v>0</v>
      </c>
      <c r="F30" s="11">
        <f>F31</f>
        <v>0.01</v>
      </c>
      <c r="G30" s="42">
        <v>0</v>
      </c>
      <c r="H30" s="34">
        <f>D30+F30-G30</f>
        <v>50131.89</v>
      </c>
      <c r="I30" s="17"/>
    </row>
    <row r="31" spans="1:9" x14ac:dyDescent="0.25">
      <c r="A31" s="9"/>
      <c r="B31" s="9" t="s">
        <v>53</v>
      </c>
      <c r="C31" s="10">
        <v>0</v>
      </c>
      <c r="D31" s="40"/>
      <c r="E31" s="9"/>
      <c r="F31" s="9">
        <v>0.01</v>
      </c>
      <c r="G31" s="9">
        <f>I58</f>
        <v>0</v>
      </c>
      <c r="H31" s="40"/>
      <c r="I31" s="29"/>
    </row>
    <row r="32" spans="1:9" x14ac:dyDescent="0.25">
      <c r="A32" s="1" t="s">
        <v>58</v>
      </c>
      <c r="B32" s="2"/>
      <c r="C32" s="2"/>
      <c r="E32" s="2"/>
      <c r="F32" s="2"/>
      <c r="G32" s="2"/>
      <c r="H32" s="2"/>
      <c r="I32" s="2"/>
    </row>
    <row r="33" spans="1:9" x14ac:dyDescent="0.25">
      <c r="A33" s="25" t="s">
        <v>59</v>
      </c>
      <c r="B33" s="58" t="s">
        <v>60</v>
      </c>
      <c r="C33" s="6" t="s">
        <v>64</v>
      </c>
      <c r="D33" s="49" t="s">
        <v>62</v>
      </c>
      <c r="E33" s="58" t="s">
        <v>63</v>
      </c>
      <c r="F33" s="6" t="s">
        <v>64</v>
      </c>
      <c r="G33" s="6"/>
      <c r="H33" s="58" t="s">
        <v>199</v>
      </c>
      <c r="I33" s="49"/>
    </row>
    <row r="34" spans="1:9" x14ac:dyDescent="0.25">
      <c r="A34" s="7"/>
      <c r="B34" s="60"/>
      <c r="C34" s="62" t="s">
        <v>66</v>
      </c>
      <c r="D34" s="53" t="s">
        <v>23</v>
      </c>
      <c r="E34" s="74" t="s">
        <v>312</v>
      </c>
      <c r="F34" s="62" t="s">
        <v>30</v>
      </c>
      <c r="G34" s="62"/>
      <c r="H34" s="74"/>
      <c r="I34" s="53"/>
    </row>
    <row r="35" spans="1:9" x14ac:dyDescent="0.25">
      <c r="A35" s="12"/>
      <c r="B35" s="74" t="s">
        <v>68</v>
      </c>
      <c r="C35" s="55">
        <v>5302.5</v>
      </c>
      <c r="D35" s="9">
        <v>1000</v>
      </c>
      <c r="E35" s="79">
        <f>D35*15%</f>
        <v>150</v>
      </c>
      <c r="F35" s="54">
        <f>C35+(D35-E35)</f>
        <v>6152.5</v>
      </c>
      <c r="G35" s="54"/>
      <c r="H35" s="79">
        <f>F35</f>
        <v>6152.5</v>
      </c>
      <c r="I35" s="53"/>
    </row>
    <row r="36" spans="1:9" x14ac:dyDescent="0.25">
      <c r="A36" s="5" t="s">
        <v>69</v>
      </c>
      <c r="B36" s="5"/>
      <c r="C36" s="5"/>
      <c r="D36" s="56"/>
      <c r="E36" s="5"/>
      <c r="F36" s="5"/>
      <c r="G36" s="5"/>
      <c r="H36" s="5"/>
      <c r="I36" s="5"/>
    </row>
    <row r="37" spans="1:9" x14ac:dyDescent="0.25">
      <c r="A37" s="1" t="s">
        <v>70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6" t="s">
        <v>71</v>
      </c>
      <c r="B38" s="57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77</v>
      </c>
      <c r="H38" s="49" t="s">
        <v>78</v>
      </c>
      <c r="I38" s="6" t="s">
        <v>19</v>
      </c>
    </row>
    <row r="39" spans="1:9" x14ac:dyDescent="0.25">
      <c r="A39" s="7"/>
      <c r="B39" s="59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61" t="s">
        <v>85</v>
      </c>
      <c r="I39" s="7" t="s">
        <v>86</v>
      </c>
    </row>
    <row r="40" spans="1:9" x14ac:dyDescent="0.25">
      <c r="A40" s="7"/>
      <c r="B40" s="51"/>
      <c r="C40" s="7"/>
      <c r="D40" s="60"/>
      <c r="E40" s="7"/>
      <c r="F40" s="60" t="s">
        <v>87</v>
      </c>
      <c r="G40" s="7" t="s">
        <v>88</v>
      </c>
      <c r="H40" s="61"/>
      <c r="I40" s="7" t="s">
        <v>239</v>
      </c>
    </row>
    <row r="41" spans="1:9" x14ac:dyDescent="0.25">
      <c r="A41" s="9"/>
      <c r="B41" s="8"/>
      <c r="C41" s="8"/>
      <c r="D41" s="9"/>
      <c r="E41" s="50"/>
      <c r="F41" s="10"/>
      <c r="G41" s="9"/>
      <c r="H41" s="50"/>
      <c r="I41" s="50"/>
    </row>
    <row r="42" spans="1:9" x14ac:dyDescent="0.25">
      <c r="A42" s="62">
        <v>1</v>
      </c>
      <c r="B42" s="62" t="s">
        <v>90</v>
      </c>
      <c r="C42" s="15" t="s">
        <v>876</v>
      </c>
      <c r="D42" s="7">
        <v>-34303.370000000003</v>
      </c>
      <c r="E42" s="63">
        <v>165328.32999999999</v>
      </c>
      <c r="F42" s="7">
        <v>175483.6</v>
      </c>
      <c r="G42" s="60">
        <f>E42</f>
        <v>165328.32999999999</v>
      </c>
      <c r="H42" s="7">
        <f>D42+F42-G42</f>
        <v>-24148.099999999977</v>
      </c>
      <c r="I42" s="61">
        <f>H42</f>
        <v>-24148.099999999977</v>
      </c>
    </row>
    <row r="43" spans="1:9" x14ac:dyDescent="0.25">
      <c r="A43" s="62"/>
      <c r="B43" s="62" t="s">
        <v>92</v>
      </c>
      <c r="C43" s="14" t="s">
        <v>93</v>
      </c>
      <c r="D43" s="9"/>
      <c r="E43" s="65"/>
      <c r="F43" s="8"/>
      <c r="G43" s="9"/>
      <c r="H43" s="9"/>
      <c r="I43" s="50"/>
    </row>
    <row r="44" spans="1:9" x14ac:dyDescent="0.25">
      <c r="A44" s="62">
        <v>2</v>
      </c>
      <c r="B44" s="62" t="s">
        <v>94</v>
      </c>
      <c r="C44" s="14" t="s">
        <v>95</v>
      </c>
      <c r="D44" s="9">
        <v>-99532.9</v>
      </c>
      <c r="E44" s="10">
        <v>278380.92</v>
      </c>
      <c r="F44" s="8">
        <v>297332.15000000002</v>
      </c>
      <c r="G44" s="9">
        <f>E44</f>
        <v>278380.92</v>
      </c>
      <c r="H44" s="10">
        <f>D44+F44-G44</f>
        <v>-80581.669999999955</v>
      </c>
      <c r="I44" s="9">
        <f>H44</f>
        <v>-80581.669999999955</v>
      </c>
    </row>
    <row r="45" spans="1:9" x14ac:dyDescent="0.25">
      <c r="A45" s="133"/>
      <c r="B45" s="2" t="s">
        <v>96</v>
      </c>
      <c r="C45" s="230"/>
      <c r="D45" s="6"/>
      <c r="F45" s="133"/>
      <c r="H45" s="133"/>
      <c r="I45" s="6"/>
    </row>
    <row r="46" spans="1:9" x14ac:dyDescent="0.25">
      <c r="A46" s="133"/>
      <c r="B46" s="9" t="s">
        <v>313</v>
      </c>
      <c r="C46" s="14" t="s">
        <v>93</v>
      </c>
      <c r="D46" s="6"/>
      <c r="E46" s="133"/>
      <c r="F46" s="133"/>
      <c r="G46" s="133"/>
      <c r="H46" s="133"/>
      <c r="I46" s="6"/>
    </row>
    <row r="47" spans="1:9" x14ac:dyDescent="0.25">
      <c r="A47" s="9">
        <v>3</v>
      </c>
      <c r="B47" s="9" t="s">
        <v>98</v>
      </c>
      <c r="C47" s="41" t="s">
        <v>203</v>
      </c>
      <c r="D47" s="9">
        <v>-478952</v>
      </c>
      <c r="E47" s="10">
        <v>1442444.04</v>
      </c>
      <c r="F47" s="9">
        <v>1448000.47</v>
      </c>
      <c r="G47" s="8">
        <f>E47</f>
        <v>1442444.04</v>
      </c>
      <c r="H47" s="9">
        <f>D47+F47-G47</f>
        <v>-473395.57000000007</v>
      </c>
      <c r="I47" s="9">
        <f>H47</f>
        <v>-473395.57000000007</v>
      </c>
    </row>
    <row r="48" spans="1:9" x14ac:dyDescent="0.25">
      <c r="A48" s="1" t="s">
        <v>100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172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204</v>
      </c>
      <c r="G51" s="60"/>
      <c r="H51" s="61"/>
      <c r="I51" s="7" t="s">
        <v>108</v>
      </c>
    </row>
    <row r="52" spans="1:9" x14ac:dyDescent="0.25">
      <c r="A52" s="51"/>
      <c r="B52" s="62"/>
      <c r="C52" s="60"/>
      <c r="D52" s="60"/>
      <c r="E52" s="60"/>
      <c r="F52" s="51" t="s">
        <v>205</v>
      </c>
      <c r="G52" s="60"/>
      <c r="H52" s="61"/>
      <c r="I52" s="7"/>
    </row>
    <row r="53" spans="1:9" x14ac:dyDescent="0.25">
      <c r="A53" s="67" t="s">
        <v>110</v>
      </c>
      <c r="B53" s="5"/>
      <c r="C53" s="57" t="s">
        <v>624</v>
      </c>
      <c r="D53" s="68"/>
      <c r="E53" s="72"/>
      <c r="F53" s="48"/>
      <c r="G53" s="58"/>
      <c r="H53" s="58"/>
      <c r="I53" s="6"/>
    </row>
    <row r="54" spans="1:9" x14ac:dyDescent="0.25">
      <c r="A54" s="69" t="s">
        <v>113</v>
      </c>
      <c r="B54" s="195">
        <v>42851</v>
      </c>
      <c r="C54" s="51" t="s">
        <v>259</v>
      </c>
      <c r="D54" s="60"/>
      <c r="E54" s="61"/>
      <c r="F54" s="51"/>
      <c r="G54" s="102">
        <f>I54/4848.6</f>
        <v>6.3523491317081211</v>
      </c>
      <c r="H54" s="37"/>
      <c r="I54" s="7">
        <v>30800</v>
      </c>
    </row>
    <row r="55" spans="1:9" x14ac:dyDescent="0.25">
      <c r="A55" s="111"/>
      <c r="C55" s="15" t="s">
        <v>118</v>
      </c>
      <c r="D55" s="14"/>
      <c r="E55" s="85"/>
      <c r="F55" s="15"/>
      <c r="G55" s="78">
        <f>I55/4708.5</f>
        <v>6.5413613677391949</v>
      </c>
      <c r="H55" s="78"/>
      <c r="I55" s="12">
        <f>SUM(I54:I54)</f>
        <v>30800</v>
      </c>
    </row>
    <row r="56" spans="1:9" x14ac:dyDescent="0.25">
      <c r="A56" s="6"/>
      <c r="B56" s="6"/>
      <c r="C56" s="48"/>
      <c r="D56" s="58"/>
      <c r="E56" s="49"/>
      <c r="F56" s="51"/>
      <c r="G56" s="60"/>
      <c r="H56" s="37"/>
      <c r="I56" s="6"/>
    </row>
    <row r="57" spans="1:9" x14ac:dyDescent="0.25">
      <c r="A57" s="6" t="s">
        <v>48</v>
      </c>
      <c r="B57" s="25" t="s">
        <v>119</v>
      </c>
      <c r="C57" s="57" t="s">
        <v>120</v>
      </c>
      <c r="D57" s="58"/>
      <c r="E57" s="49"/>
      <c r="F57" s="48" t="s">
        <v>121</v>
      </c>
      <c r="G57" s="58"/>
      <c r="H57" s="49"/>
      <c r="I57" s="6"/>
    </row>
    <row r="58" spans="1:9" x14ac:dyDescent="0.25">
      <c r="A58" s="73"/>
      <c r="B58" s="62" t="s">
        <v>119</v>
      </c>
      <c r="C58" s="15" t="s">
        <v>118</v>
      </c>
      <c r="D58" s="74"/>
      <c r="E58" s="53"/>
      <c r="F58" s="52" t="s">
        <v>71</v>
      </c>
      <c r="G58" s="79">
        <v>0</v>
      </c>
      <c r="H58" s="53"/>
      <c r="I58" s="17">
        <v>0</v>
      </c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 t="s">
        <v>877</v>
      </c>
      <c r="B60" s="2"/>
      <c r="C60" s="2" t="s">
        <v>71</v>
      </c>
      <c r="D60" s="2" t="s">
        <v>123</v>
      </c>
      <c r="E60" s="2"/>
      <c r="F60" s="2" t="s">
        <v>124</v>
      </c>
      <c r="G60" s="2"/>
      <c r="H60" s="2" t="s">
        <v>125</v>
      </c>
      <c r="I60" s="2" t="s">
        <v>126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2" zoomScale="110" zoomScaleNormal="110" workbookViewId="0">
      <selection activeCell="K40" sqref="K40"/>
    </sheetView>
  </sheetViews>
  <sheetFormatPr defaultRowHeight="15" x14ac:dyDescent="0.25"/>
  <cols>
    <col min="1" max="1" width="5.42578125" style="3" customWidth="1"/>
    <col min="2" max="2" width="31.5703125" style="3" customWidth="1"/>
    <col min="3" max="3" width="12.7109375" style="3" customWidth="1"/>
    <col min="4" max="5" width="9.140625" style="3"/>
    <col min="6" max="6" width="15.5703125" style="3" customWidth="1"/>
    <col min="7" max="7" width="11.7109375" style="3" customWidth="1"/>
    <col min="8" max="8" width="14.140625" style="3" customWidth="1"/>
    <col min="9" max="9" width="17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878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879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880</v>
      </c>
      <c r="B8" s="2"/>
      <c r="C8" s="2"/>
      <c r="D8" s="2"/>
      <c r="E8" s="1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2"/>
      <c r="I10" s="2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2"/>
      <c r="I11" s="2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62" t="s">
        <v>30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881</v>
      </c>
      <c r="C18" s="12">
        <v>7.56</v>
      </c>
      <c r="D18" s="13">
        <v>-22083.99</v>
      </c>
      <c r="E18" s="14">
        <v>434829.84</v>
      </c>
      <c r="F18" s="15">
        <v>427805.02</v>
      </c>
      <c r="G18" s="16">
        <f>E18</f>
        <v>434829.84</v>
      </c>
      <c r="H18" s="17">
        <f>D18+F18-G18</f>
        <v>-29108.809999999998</v>
      </c>
      <c r="I18" s="13">
        <f>H18</f>
        <v>-29108.809999999998</v>
      </c>
    </row>
    <row r="19" spans="1:9" x14ac:dyDescent="0.25">
      <c r="A19" s="7" t="s">
        <v>36</v>
      </c>
      <c r="B19" s="7" t="s">
        <v>457</v>
      </c>
      <c r="C19" s="7"/>
      <c r="D19" s="23"/>
      <c r="E19" s="37"/>
      <c r="F19" s="38"/>
      <c r="G19" s="38"/>
      <c r="H19" s="22"/>
      <c r="I19" s="23"/>
    </row>
    <row r="20" spans="1:9" x14ac:dyDescent="0.25">
      <c r="A20" s="62"/>
      <c r="B20" s="62" t="s">
        <v>458</v>
      </c>
      <c r="C20" s="62">
        <v>2.62</v>
      </c>
      <c r="D20" s="80"/>
      <c r="E20" s="79">
        <f>E18*34.5%</f>
        <v>150016.2948</v>
      </c>
      <c r="F20" s="55">
        <f>F18*34.5/100</f>
        <v>147592.73190000001</v>
      </c>
      <c r="G20" s="55">
        <f t="shared" ref="G20:G26" si="0">E20</f>
        <v>150016.2948</v>
      </c>
      <c r="H20" s="54"/>
      <c r="I20" s="80"/>
    </row>
    <row r="21" spans="1:9" x14ac:dyDescent="0.25">
      <c r="A21" s="24" t="s">
        <v>38</v>
      </c>
      <c r="B21" s="6" t="s">
        <v>39</v>
      </c>
      <c r="C21" s="6">
        <v>1.33</v>
      </c>
      <c r="D21" s="30"/>
      <c r="E21" s="86">
        <f>E18*18/100</f>
        <v>78269.371199999994</v>
      </c>
      <c r="F21" s="105">
        <f>F18*18/100</f>
        <v>77004.903600000005</v>
      </c>
      <c r="G21" s="38">
        <f t="shared" si="0"/>
        <v>78269.371199999994</v>
      </c>
      <c r="H21" s="22"/>
      <c r="I21" s="30"/>
    </row>
    <row r="22" spans="1:9" x14ac:dyDescent="0.25">
      <c r="A22" s="24" t="s">
        <v>40</v>
      </c>
      <c r="B22" s="6" t="s">
        <v>41</v>
      </c>
      <c r="C22" s="75">
        <v>1.22</v>
      </c>
      <c r="D22" s="30"/>
      <c r="E22" s="39">
        <f>E18*16/100</f>
        <v>69572.774400000009</v>
      </c>
      <c r="F22" s="40">
        <f>F18*16/100</f>
        <v>68448.803200000009</v>
      </c>
      <c r="G22" s="40">
        <f t="shared" si="0"/>
        <v>69572.774400000009</v>
      </c>
      <c r="H22" s="29"/>
      <c r="I22" s="30"/>
    </row>
    <row r="23" spans="1:9" x14ac:dyDescent="0.25">
      <c r="A23" s="24" t="s">
        <v>42</v>
      </c>
      <c r="B23" s="6" t="s">
        <v>43</v>
      </c>
      <c r="C23" s="6">
        <v>2.39</v>
      </c>
      <c r="D23" s="30"/>
      <c r="E23" s="37">
        <f>E18*31.5/100</f>
        <v>136971.3996</v>
      </c>
      <c r="F23" s="38">
        <f>F18*31.5/100</f>
        <v>134758.58130000002</v>
      </c>
      <c r="G23" s="38">
        <f t="shared" si="0"/>
        <v>136971.3996</v>
      </c>
      <c r="H23" s="22"/>
      <c r="I23" s="30"/>
    </row>
    <row r="24" spans="1:9" x14ac:dyDescent="0.25">
      <c r="A24" s="24" t="s">
        <v>44</v>
      </c>
      <c r="B24" s="10" t="s">
        <v>249</v>
      </c>
      <c r="C24" s="8">
        <v>0.36586000000000002</v>
      </c>
      <c r="D24" s="75"/>
      <c r="E24" s="39">
        <v>12392.14</v>
      </c>
      <c r="F24" s="40">
        <v>13538.45</v>
      </c>
      <c r="G24" s="40">
        <f t="shared" si="0"/>
        <v>12392.14</v>
      </c>
      <c r="H24" s="43">
        <f>F24-G24</f>
        <v>1146.3100000000013</v>
      </c>
      <c r="I24" s="43"/>
    </row>
    <row r="25" spans="1:9" x14ac:dyDescent="0.25">
      <c r="A25" s="24" t="s">
        <v>46</v>
      </c>
      <c r="B25" s="10" t="s">
        <v>47</v>
      </c>
      <c r="C25" s="8">
        <v>0.64880000000000004</v>
      </c>
      <c r="D25" s="29"/>
      <c r="E25" s="10">
        <v>37910.15</v>
      </c>
      <c r="F25" s="8">
        <v>33142.65</v>
      </c>
      <c r="G25" s="8">
        <f>E25</f>
        <v>37910.15</v>
      </c>
      <c r="H25" s="11">
        <f>F25-E25</f>
        <v>-4767.5</v>
      </c>
      <c r="I25" s="46">
        <f>H25</f>
        <v>-4767.5</v>
      </c>
    </row>
    <row r="26" spans="1:9" x14ac:dyDescent="0.25">
      <c r="A26" s="11" t="s">
        <v>48</v>
      </c>
      <c r="B26" s="11" t="s">
        <v>49</v>
      </c>
      <c r="C26" s="11" t="s">
        <v>50</v>
      </c>
      <c r="D26" s="32">
        <v>-24315.45</v>
      </c>
      <c r="E26" s="41">
        <v>194695.83</v>
      </c>
      <c r="F26" s="42">
        <v>183220.87</v>
      </c>
      <c r="G26" s="34">
        <f t="shared" si="0"/>
        <v>194695.83</v>
      </c>
      <c r="H26" s="43">
        <f>D26+F26-G26</f>
        <v>-35790.410000000003</v>
      </c>
      <c r="I26" s="32">
        <f>H26</f>
        <v>-35790.410000000003</v>
      </c>
    </row>
    <row r="27" spans="1:9" x14ac:dyDescent="0.25">
      <c r="A27" s="12" t="s">
        <v>51</v>
      </c>
      <c r="B27" s="12" t="s">
        <v>459</v>
      </c>
      <c r="C27" s="12">
        <v>2.48</v>
      </c>
      <c r="D27" s="44">
        <v>215478.31</v>
      </c>
      <c r="E27" s="18">
        <v>142642.79999999999</v>
      </c>
      <c r="F27" s="18">
        <v>140321.49</v>
      </c>
      <c r="G27" s="44">
        <f>I56</f>
        <v>7194</v>
      </c>
      <c r="H27" s="21">
        <f>D27+F27-G27</f>
        <v>348605.8</v>
      </c>
      <c r="I27" s="44"/>
    </row>
    <row r="28" spans="1:9" x14ac:dyDescent="0.25">
      <c r="A28" s="11" t="s">
        <v>55</v>
      </c>
      <c r="B28" s="11" t="s">
        <v>146</v>
      </c>
      <c r="C28" s="41"/>
      <c r="D28" s="28"/>
      <c r="E28" s="11"/>
      <c r="F28" s="11"/>
      <c r="G28" s="57"/>
      <c r="H28" s="28"/>
      <c r="I28" s="45"/>
    </row>
    <row r="29" spans="1:9" x14ac:dyDescent="0.25">
      <c r="A29" s="12"/>
      <c r="B29" s="12" t="s">
        <v>882</v>
      </c>
      <c r="C29" s="78"/>
      <c r="D29" s="34">
        <v>178.05</v>
      </c>
      <c r="E29" s="12">
        <f>E30</f>
        <v>0</v>
      </c>
      <c r="F29" s="12">
        <f>F30</f>
        <v>0</v>
      </c>
      <c r="G29" s="43">
        <f>G30</f>
        <v>0</v>
      </c>
      <c r="H29" s="34">
        <f>D29+F29-G29</f>
        <v>178.05</v>
      </c>
      <c r="I29" s="43"/>
    </row>
    <row r="30" spans="1:9" x14ac:dyDescent="0.25">
      <c r="A30" s="9"/>
      <c r="B30" s="9" t="s">
        <v>53</v>
      </c>
      <c r="C30" s="10"/>
      <c r="D30" s="40">
        <v>0</v>
      </c>
      <c r="E30" s="12">
        <v>0</v>
      </c>
      <c r="F30" s="12">
        <v>0</v>
      </c>
      <c r="G30" s="29"/>
      <c r="H30" s="34"/>
      <c r="I30" s="29"/>
    </row>
    <row r="31" spans="1:9" x14ac:dyDescent="0.25">
      <c r="A31" s="1" t="s">
        <v>58</v>
      </c>
      <c r="B31" s="2"/>
      <c r="C31" s="2"/>
      <c r="E31" s="2"/>
      <c r="F31" s="2"/>
      <c r="G31" s="2"/>
      <c r="H31" s="2"/>
      <c r="I31" s="2"/>
    </row>
    <row r="32" spans="1:9" x14ac:dyDescent="0.25">
      <c r="A32" s="1"/>
      <c r="B32" s="2"/>
      <c r="C32" s="2"/>
      <c r="E32" s="2"/>
      <c r="F32" s="2"/>
      <c r="G32" s="2"/>
      <c r="H32" s="2"/>
      <c r="I32" s="2"/>
    </row>
    <row r="33" spans="1:9" x14ac:dyDescent="0.25">
      <c r="A33" s="57" t="s">
        <v>59</v>
      </c>
      <c r="B33" s="48" t="s">
        <v>60</v>
      </c>
      <c r="C33" s="9" t="s">
        <v>61</v>
      </c>
      <c r="D33" s="9" t="s">
        <v>62</v>
      </c>
      <c r="E33" s="9" t="s">
        <v>507</v>
      </c>
      <c r="F33" s="9" t="s">
        <v>61</v>
      </c>
      <c r="G33" s="9"/>
      <c r="H33" s="8" t="s">
        <v>199</v>
      </c>
      <c r="I33" s="50"/>
    </row>
    <row r="34" spans="1:9" x14ac:dyDescent="0.25">
      <c r="A34" s="59"/>
      <c r="B34" s="51"/>
      <c r="C34" s="62" t="s">
        <v>66</v>
      </c>
      <c r="D34" s="53" t="s">
        <v>23</v>
      </c>
      <c r="E34" s="9" t="s">
        <v>312</v>
      </c>
      <c r="F34" s="9" t="s">
        <v>30</v>
      </c>
      <c r="G34" s="9"/>
      <c r="H34" s="74"/>
      <c r="I34" s="53"/>
    </row>
    <row r="35" spans="1:9" x14ac:dyDescent="0.25">
      <c r="A35" s="52"/>
      <c r="B35" s="52" t="s">
        <v>68</v>
      </c>
      <c r="C35" s="29">
        <v>10378.5</v>
      </c>
      <c r="D35" s="53">
        <v>1953</v>
      </c>
      <c r="E35" s="29">
        <f>D35*15%</f>
        <v>292.95</v>
      </c>
      <c r="F35" s="29">
        <f>C35+(D35-E35)</f>
        <v>12038.55</v>
      </c>
      <c r="G35" s="29"/>
      <c r="H35" s="79">
        <f>F35-G35</f>
        <v>12038.55</v>
      </c>
      <c r="I35" s="53"/>
    </row>
    <row r="36" spans="1:9" x14ac:dyDescent="0.25">
      <c r="A36" s="60"/>
      <c r="B36" s="60"/>
      <c r="C36" s="37"/>
      <c r="D36" s="60"/>
      <c r="E36" s="37"/>
      <c r="F36" s="37"/>
      <c r="G36" s="37"/>
      <c r="H36" s="37"/>
      <c r="I36" s="60"/>
    </row>
    <row r="37" spans="1:9" x14ac:dyDescent="0.25">
      <c r="A37" s="5" t="s">
        <v>69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1" t="s">
        <v>70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883</v>
      </c>
    </row>
    <row r="42" spans="1:9" x14ac:dyDescent="0.25">
      <c r="A42" s="6"/>
      <c r="B42" s="6"/>
      <c r="C42" s="68"/>
      <c r="D42" s="9"/>
      <c r="E42" s="10"/>
      <c r="F42" s="8"/>
      <c r="G42" s="8"/>
      <c r="H42" s="9"/>
      <c r="I42" s="50"/>
    </row>
    <row r="43" spans="1:9" x14ac:dyDescent="0.25">
      <c r="A43" s="9">
        <v>1</v>
      </c>
      <c r="B43" s="9" t="s">
        <v>90</v>
      </c>
      <c r="C43" s="11" t="s">
        <v>91</v>
      </c>
      <c r="D43" s="61">
        <v>-177120.51</v>
      </c>
      <c r="E43" s="94">
        <v>596428.26</v>
      </c>
      <c r="F43" s="7">
        <v>583114.86</v>
      </c>
      <c r="G43" s="7">
        <f>E43</f>
        <v>596428.26</v>
      </c>
      <c r="H43" s="7">
        <f>D43+F43-G43</f>
        <v>-190433.91000000003</v>
      </c>
      <c r="I43" s="61">
        <f>H43</f>
        <v>-190433.91000000003</v>
      </c>
    </row>
    <row r="44" spans="1:9" x14ac:dyDescent="0.25">
      <c r="A44" s="9"/>
      <c r="B44" s="9" t="s">
        <v>92</v>
      </c>
      <c r="C44" s="41" t="s">
        <v>93</v>
      </c>
      <c r="D44" s="9"/>
      <c r="E44" s="65"/>
      <c r="F44" s="9"/>
      <c r="G44" s="9"/>
      <c r="H44" s="9"/>
      <c r="I44" s="50"/>
    </row>
    <row r="45" spans="1:9" x14ac:dyDescent="0.25">
      <c r="A45" s="9">
        <v>2</v>
      </c>
      <c r="B45" s="9" t="s">
        <v>98</v>
      </c>
      <c r="C45" s="41" t="s">
        <v>99</v>
      </c>
      <c r="D45" s="9">
        <v>-468055.99</v>
      </c>
      <c r="E45" s="10">
        <v>1181275.06</v>
      </c>
      <c r="F45" s="9">
        <v>1197694.69</v>
      </c>
      <c r="G45" s="9">
        <f>E45</f>
        <v>1181275.06</v>
      </c>
      <c r="H45" s="9">
        <f>D45+F45-G45</f>
        <v>-451636.3600000001</v>
      </c>
      <c r="I45" s="50">
        <f>H45</f>
        <v>-451636.3600000001</v>
      </c>
    </row>
    <row r="46" spans="1:9" x14ac:dyDescent="0.25">
      <c r="A46" s="60"/>
      <c r="B46" s="60"/>
      <c r="C46" s="5"/>
      <c r="D46" s="60"/>
      <c r="E46" s="60"/>
      <c r="F46" s="60"/>
      <c r="G46" s="60"/>
      <c r="H46" s="60"/>
      <c r="I46" s="60"/>
    </row>
    <row r="47" spans="1:9" x14ac:dyDescent="0.25">
      <c r="A47" s="1" t="s">
        <v>100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5" t="s">
        <v>101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8" t="s">
        <v>12</v>
      </c>
      <c r="B49" s="6" t="s">
        <v>221</v>
      </c>
      <c r="C49" s="58" t="s">
        <v>103</v>
      </c>
      <c r="D49" s="58"/>
      <c r="E49" s="58"/>
      <c r="F49" s="48" t="s">
        <v>398</v>
      </c>
      <c r="G49" s="58"/>
      <c r="H49" s="49"/>
      <c r="I49" s="6" t="s">
        <v>105</v>
      </c>
    </row>
    <row r="50" spans="1:9" x14ac:dyDescent="0.25">
      <c r="A50" s="51" t="s">
        <v>106</v>
      </c>
      <c r="B50" s="7" t="s">
        <v>223</v>
      </c>
      <c r="C50" s="60"/>
      <c r="D50" s="60"/>
      <c r="E50" s="60"/>
      <c r="F50" s="51" t="s">
        <v>884</v>
      </c>
      <c r="G50" s="60"/>
      <c r="H50" s="61"/>
      <c r="I50" s="7" t="s">
        <v>108</v>
      </c>
    </row>
    <row r="51" spans="1:9" x14ac:dyDescent="0.25">
      <c r="A51" s="51"/>
      <c r="B51" s="62"/>
      <c r="C51" s="60"/>
      <c r="D51" s="60"/>
      <c r="E51" s="60"/>
      <c r="F51" s="51" t="s">
        <v>258</v>
      </c>
      <c r="G51" s="60"/>
      <c r="H51" s="61"/>
      <c r="I51" s="7"/>
    </row>
    <row r="52" spans="1:9" x14ac:dyDescent="0.25">
      <c r="A52" s="67" t="s">
        <v>110</v>
      </c>
      <c r="B52" s="18"/>
      <c r="C52" s="68" t="s">
        <v>111</v>
      </c>
      <c r="D52" s="68"/>
      <c r="E52" s="68"/>
      <c r="F52" s="48"/>
      <c r="G52" s="58"/>
      <c r="H52" s="49"/>
      <c r="I52" s="6"/>
    </row>
    <row r="53" spans="1:9" x14ac:dyDescent="0.25">
      <c r="A53" s="69"/>
      <c r="B53" s="7"/>
      <c r="C53" s="60" t="s">
        <v>112</v>
      </c>
      <c r="D53" s="60"/>
      <c r="E53" s="60"/>
      <c r="F53" s="51" t="s">
        <v>71</v>
      </c>
      <c r="G53" s="37"/>
      <c r="H53" s="61"/>
      <c r="I53" s="7" t="s">
        <v>71</v>
      </c>
    </row>
    <row r="54" spans="1:9" x14ac:dyDescent="0.25">
      <c r="A54" s="69" t="s">
        <v>113</v>
      </c>
      <c r="B54" s="70">
        <v>43039</v>
      </c>
      <c r="C54" s="60" t="s">
        <v>885</v>
      </c>
      <c r="D54" s="60"/>
      <c r="E54" s="60"/>
      <c r="F54" s="38"/>
      <c r="G54" s="37">
        <f>I54/4793.1</f>
        <v>1.5009075546097514</v>
      </c>
      <c r="H54" s="61"/>
      <c r="I54" s="7">
        <v>7194</v>
      </c>
    </row>
    <row r="55" spans="1:9" x14ac:dyDescent="0.25">
      <c r="A55" s="103"/>
      <c r="B55" s="70"/>
      <c r="C55" s="60"/>
      <c r="D55" s="60"/>
      <c r="E55" s="60"/>
      <c r="F55" s="51"/>
      <c r="G55" s="37"/>
      <c r="H55" s="61"/>
      <c r="I55" s="7"/>
    </row>
    <row r="56" spans="1:9" x14ac:dyDescent="0.25">
      <c r="A56" s="69"/>
      <c r="B56" s="7"/>
      <c r="C56" s="5" t="s">
        <v>118</v>
      </c>
      <c r="D56" s="5"/>
      <c r="E56" s="5"/>
      <c r="F56" s="59"/>
      <c r="G56" s="20">
        <f>SUM(G54:G55)</f>
        <v>1.5009075546097514</v>
      </c>
      <c r="H56" s="71"/>
      <c r="I56" s="44">
        <f>SUM(I54:I55)</f>
        <v>7194</v>
      </c>
    </row>
    <row r="57" spans="1:9" x14ac:dyDescent="0.25">
      <c r="A57" s="6"/>
      <c r="B57" s="6"/>
      <c r="C57" s="48"/>
      <c r="D57" s="58"/>
      <c r="E57" s="49"/>
      <c r="F57" s="48"/>
      <c r="G57" s="10"/>
      <c r="H57" s="49"/>
      <c r="I57" s="6"/>
    </row>
    <row r="58" spans="1:9" x14ac:dyDescent="0.25">
      <c r="A58" s="6" t="s">
        <v>48</v>
      </c>
      <c r="B58" s="72" t="s">
        <v>119</v>
      </c>
      <c r="C58" s="57" t="s">
        <v>120</v>
      </c>
      <c r="D58" s="58"/>
      <c r="E58" s="58"/>
      <c r="F58" s="48" t="s">
        <v>121</v>
      </c>
      <c r="G58" s="60"/>
      <c r="H58" s="49"/>
      <c r="I58" s="49"/>
    </row>
    <row r="59" spans="1:9" x14ac:dyDescent="0.25">
      <c r="A59" s="73"/>
      <c r="B59" s="53" t="s">
        <v>119</v>
      </c>
      <c r="C59" s="15" t="s">
        <v>118</v>
      </c>
      <c r="D59" s="14"/>
      <c r="E59" s="14"/>
      <c r="F59" s="15" t="s">
        <v>71</v>
      </c>
      <c r="G59" s="78">
        <f>SUM(G58:G58)</f>
        <v>0</v>
      </c>
      <c r="H59" s="53"/>
      <c r="I59" s="13">
        <v>0</v>
      </c>
    </row>
    <row r="60" spans="1:9" x14ac:dyDescent="0.25">
      <c r="B60" s="2"/>
      <c r="C60" s="2" t="s">
        <v>71</v>
      </c>
      <c r="E60" s="2"/>
      <c r="F60" s="2"/>
      <c r="G60" s="2"/>
      <c r="H60" s="2"/>
    </row>
    <row r="61" spans="1:9" x14ac:dyDescent="0.25">
      <c r="A61" s="2" t="s">
        <v>576</v>
      </c>
      <c r="C61" s="2" t="s">
        <v>123</v>
      </c>
      <c r="D61" s="2"/>
      <c r="E61" s="2" t="s">
        <v>124</v>
      </c>
      <c r="F61" s="2"/>
      <c r="G61" s="2" t="s">
        <v>71</v>
      </c>
      <c r="H61" s="2" t="s">
        <v>125</v>
      </c>
      <c r="I61" s="2" t="s">
        <v>886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4" zoomScale="110" zoomScaleNormal="110" workbookViewId="0">
      <selection activeCell="B9" sqref="B9"/>
    </sheetView>
  </sheetViews>
  <sheetFormatPr defaultRowHeight="15" x14ac:dyDescent="0.25"/>
  <cols>
    <col min="1" max="1" width="4.85546875" style="3" customWidth="1"/>
    <col min="2" max="2" width="34" style="3" customWidth="1"/>
    <col min="3" max="3" width="11.7109375" style="3" customWidth="1"/>
    <col min="4" max="4" width="11" style="3" customWidth="1"/>
    <col min="5" max="6" width="9.140625" style="3"/>
    <col min="7" max="7" width="11.28515625" style="3" customWidth="1"/>
    <col min="8" max="8" width="9.140625" style="3"/>
    <col min="9" max="9" width="18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887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888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889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890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891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35</v>
      </c>
      <c r="C18" s="12">
        <v>7.56</v>
      </c>
      <c r="D18" s="17">
        <v>-32030.79</v>
      </c>
      <c r="E18" s="14">
        <v>304193.15999999997</v>
      </c>
      <c r="F18" s="15">
        <v>304673.46999999997</v>
      </c>
      <c r="G18" s="17">
        <f t="shared" ref="G18:G24" si="0">E18</f>
        <v>304193.15999999997</v>
      </c>
      <c r="H18" s="13">
        <f>D18+F18-G18</f>
        <v>-31550.479999999981</v>
      </c>
      <c r="I18" s="17">
        <f>H18</f>
        <v>-31550.479999999981</v>
      </c>
    </row>
    <row r="19" spans="1:9" x14ac:dyDescent="0.25">
      <c r="A19" s="73" t="s">
        <v>113</v>
      </c>
      <c r="B19" s="62" t="s">
        <v>37</v>
      </c>
      <c r="C19" s="62">
        <v>2.62</v>
      </c>
      <c r="D19" s="54"/>
      <c r="E19" s="79">
        <f>E18*34.5/100</f>
        <v>104946.64019999999</v>
      </c>
      <c r="F19" s="55">
        <f>F18*34.5/100</f>
        <v>105112.34715</v>
      </c>
      <c r="G19" s="54">
        <f t="shared" si="0"/>
        <v>104946.64019999999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86">
        <f>E18*18/100</f>
        <v>54754.768799999998</v>
      </c>
      <c r="F20" s="105">
        <f>F18*18/100</f>
        <v>54841.224599999987</v>
      </c>
      <c r="G20" s="22">
        <f t="shared" si="0"/>
        <v>54754.768799999998</v>
      </c>
      <c r="H20" s="29"/>
      <c r="I20" s="75"/>
    </row>
    <row r="21" spans="1:9" x14ac:dyDescent="0.25">
      <c r="A21" s="24" t="s">
        <v>40</v>
      </c>
      <c r="B21" s="6" t="s">
        <v>41</v>
      </c>
      <c r="C21" s="6">
        <v>1.22</v>
      </c>
      <c r="D21" s="75"/>
      <c r="E21" s="29">
        <f>E18*16/100</f>
        <v>48670.905599999998</v>
      </c>
      <c r="F21" s="105">
        <f>F18*16/100</f>
        <v>48747.755199999992</v>
      </c>
      <c r="G21" s="75">
        <f t="shared" si="0"/>
        <v>48670.905599999998</v>
      </c>
      <c r="H21" s="37"/>
      <c r="I21" s="75"/>
    </row>
    <row r="22" spans="1:9" x14ac:dyDescent="0.25">
      <c r="A22" s="24" t="s">
        <v>42</v>
      </c>
      <c r="B22" s="6" t="s">
        <v>43</v>
      </c>
      <c r="C22" s="6">
        <v>2.39</v>
      </c>
      <c r="D22" s="75"/>
      <c r="E22" s="86">
        <f>E18*31.5/100</f>
        <v>95820.845399999991</v>
      </c>
      <c r="F22" s="105">
        <f>F18*31.5/100</f>
        <v>95972.143049999999</v>
      </c>
      <c r="G22" s="29">
        <f>E22</f>
        <v>95820.845399999991</v>
      </c>
      <c r="H22" s="30"/>
      <c r="I22" s="75"/>
    </row>
    <row r="23" spans="1:9" x14ac:dyDescent="0.25">
      <c r="A23" s="24" t="s">
        <v>44</v>
      </c>
      <c r="B23" s="6" t="s">
        <v>47</v>
      </c>
      <c r="C23" s="6">
        <v>0.60853000000000002</v>
      </c>
      <c r="D23" s="75"/>
      <c r="E23" s="58">
        <v>24255.73</v>
      </c>
      <c r="F23" s="48">
        <v>20872.13</v>
      </c>
      <c r="G23" s="6">
        <f>E23</f>
        <v>24255.73</v>
      </c>
      <c r="H23" s="25">
        <f>D23+F23-G23</f>
        <v>-3383.5999999999985</v>
      </c>
      <c r="I23" s="72">
        <f>H23</f>
        <v>-3383.5999999999985</v>
      </c>
    </row>
    <row r="24" spans="1:9" x14ac:dyDescent="0.25">
      <c r="A24" s="11" t="s">
        <v>48</v>
      </c>
      <c r="B24" s="11" t="s">
        <v>49</v>
      </c>
      <c r="C24" s="11" t="s">
        <v>50</v>
      </c>
      <c r="D24" s="43">
        <v>-8819.33</v>
      </c>
      <c r="E24" s="41">
        <v>136202.76</v>
      </c>
      <c r="F24" s="42">
        <v>130251.47</v>
      </c>
      <c r="G24" s="43">
        <f t="shared" si="0"/>
        <v>136202.76</v>
      </c>
      <c r="H24" s="223">
        <f>D24+F24-G24</f>
        <v>-14770.62000000001</v>
      </c>
      <c r="I24" s="43">
        <f>H24</f>
        <v>-14770.62000000001</v>
      </c>
    </row>
    <row r="25" spans="1:9" x14ac:dyDescent="0.25">
      <c r="A25" s="12" t="s">
        <v>51</v>
      </c>
      <c r="B25" s="12" t="s">
        <v>459</v>
      </c>
      <c r="C25" s="12">
        <v>1.65</v>
      </c>
      <c r="D25" s="17">
        <v>58836.99</v>
      </c>
      <c r="E25" s="12">
        <v>66393.600000000006</v>
      </c>
      <c r="F25" s="12">
        <v>66521.789999999994</v>
      </c>
      <c r="G25" s="18">
        <f xml:space="preserve"> I52</f>
        <v>11000</v>
      </c>
      <c r="H25" s="21">
        <f>D25+F25-G25</f>
        <v>114358.78</v>
      </c>
      <c r="I25" s="17" t="s">
        <v>71</v>
      </c>
    </row>
    <row r="26" spans="1:9" x14ac:dyDescent="0.25">
      <c r="A26" s="11" t="s">
        <v>55</v>
      </c>
      <c r="B26" s="11" t="s">
        <v>146</v>
      </c>
      <c r="C26" s="41"/>
      <c r="D26" s="43"/>
      <c r="E26" s="41"/>
      <c r="F26" s="11"/>
      <c r="G26" s="42"/>
      <c r="H26" s="43"/>
      <c r="I26" s="43"/>
    </row>
    <row r="27" spans="1:9" x14ac:dyDescent="0.25">
      <c r="A27" s="12"/>
      <c r="B27" s="12" t="s">
        <v>892</v>
      </c>
      <c r="C27" s="14">
        <v>0</v>
      </c>
      <c r="D27" s="17">
        <v>-278.61</v>
      </c>
      <c r="E27" s="14">
        <v>0</v>
      </c>
      <c r="F27" s="12">
        <f>F28</f>
        <v>0</v>
      </c>
      <c r="G27" s="15">
        <f>G28</f>
        <v>0</v>
      </c>
      <c r="H27" s="17">
        <f>D27+F27-G27</f>
        <v>-278.61</v>
      </c>
      <c r="I27" s="17">
        <f>H27</f>
        <v>-278.61</v>
      </c>
    </row>
    <row r="28" spans="1:9" x14ac:dyDescent="0.25">
      <c r="A28" s="9"/>
      <c r="B28" s="9" t="s">
        <v>53</v>
      </c>
      <c r="C28" s="10">
        <v>0</v>
      </c>
      <c r="D28" s="29"/>
      <c r="E28" s="10">
        <v>0</v>
      </c>
      <c r="F28" s="9"/>
      <c r="G28" s="8">
        <f>I56</f>
        <v>0</v>
      </c>
      <c r="H28" s="54"/>
      <c r="I28" s="29"/>
    </row>
    <row r="29" spans="1:9" x14ac:dyDescent="0.25">
      <c r="A29" s="60"/>
      <c r="B29" s="60"/>
      <c r="C29" s="60"/>
      <c r="D29" s="60"/>
      <c r="E29" s="60"/>
      <c r="F29" s="60"/>
      <c r="G29" s="60"/>
      <c r="H29" s="37"/>
      <c r="I29" s="37"/>
    </row>
    <row r="30" spans="1:9" x14ac:dyDescent="0.25">
      <c r="A30" s="1" t="s">
        <v>58</v>
      </c>
      <c r="B30" s="2"/>
      <c r="C30" s="2"/>
      <c r="E30" s="2"/>
      <c r="F30" s="2"/>
      <c r="G30" s="2"/>
      <c r="H30" s="2"/>
      <c r="I30" s="2"/>
    </row>
    <row r="31" spans="1:9" x14ac:dyDescent="0.25">
      <c r="A31" s="25" t="s">
        <v>59</v>
      </c>
      <c r="B31" s="48" t="s">
        <v>724</v>
      </c>
      <c r="C31" s="105" t="s">
        <v>725</v>
      </c>
      <c r="D31" s="48" t="s">
        <v>62</v>
      </c>
      <c r="E31" s="6" t="s">
        <v>507</v>
      </c>
      <c r="F31" s="86" t="s">
        <v>725</v>
      </c>
      <c r="G31" s="58"/>
      <c r="H31" s="105" t="s">
        <v>714</v>
      </c>
      <c r="I31" s="49"/>
    </row>
    <row r="32" spans="1:9" x14ac:dyDescent="0.25">
      <c r="A32" s="18"/>
      <c r="B32" s="51"/>
      <c r="C32" s="55" t="s">
        <v>66</v>
      </c>
      <c r="D32" s="52" t="s">
        <v>23</v>
      </c>
      <c r="E32" s="62" t="s">
        <v>312</v>
      </c>
      <c r="F32" s="74" t="s">
        <v>30</v>
      </c>
      <c r="G32" s="74"/>
      <c r="H32" s="55"/>
      <c r="I32" s="53"/>
    </row>
    <row r="33" spans="1:9" x14ac:dyDescent="0.25">
      <c r="A33" s="62"/>
      <c r="B33" s="62" t="s">
        <v>728</v>
      </c>
      <c r="C33" s="55">
        <v>5302.5</v>
      </c>
      <c r="D33" s="62">
        <v>1953</v>
      </c>
      <c r="E33" s="74">
        <f>D33*15%</f>
        <v>292.95</v>
      </c>
      <c r="F33" s="55">
        <f>C33+(D33-E33)</f>
        <v>6962.55</v>
      </c>
      <c r="G33" s="80"/>
      <c r="H33" s="55">
        <f>F33-G33</f>
        <v>6962.55</v>
      </c>
      <c r="I33" s="53"/>
    </row>
    <row r="34" spans="1:9" x14ac:dyDescent="0.25">
      <c r="A34" s="60"/>
      <c r="B34" s="60"/>
      <c r="C34" s="37"/>
      <c r="D34" s="60"/>
      <c r="E34" s="60"/>
      <c r="F34" s="37"/>
      <c r="G34" s="37"/>
      <c r="H34" s="37"/>
      <c r="I34" s="60"/>
    </row>
    <row r="35" spans="1:9" x14ac:dyDescent="0.25">
      <c r="A35" s="60"/>
      <c r="B35" s="60"/>
      <c r="C35" s="37"/>
      <c r="D35" s="60"/>
      <c r="E35" s="60"/>
      <c r="F35" s="37"/>
      <c r="G35" s="37"/>
      <c r="H35" s="37"/>
      <c r="I35" s="60"/>
    </row>
    <row r="36" spans="1:9" x14ac:dyDescent="0.25">
      <c r="A36" s="5" t="s">
        <v>69</v>
      </c>
      <c r="B36" s="5"/>
      <c r="C36" s="5"/>
      <c r="D36" s="56"/>
      <c r="E36" s="5"/>
      <c r="F36" s="5"/>
      <c r="G36" s="5"/>
      <c r="H36" s="5"/>
      <c r="I36" s="60"/>
    </row>
    <row r="37" spans="1:9" x14ac:dyDescent="0.25">
      <c r="A37" s="1" t="s">
        <v>70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6" t="s">
        <v>71</v>
      </c>
      <c r="B38" s="57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77</v>
      </c>
      <c r="H38" s="58" t="s">
        <v>78</v>
      </c>
      <c r="I38" s="6" t="s">
        <v>19</v>
      </c>
    </row>
    <row r="39" spans="1:9" x14ac:dyDescent="0.25">
      <c r="A39" s="7"/>
      <c r="B39" s="59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60" t="s">
        <v>893</v>
      </c>
      <c r="I39" s="7" t="s">
        <v>86</v>
      </c>
    </row>
    <row r="40" spans="1:9" x14ac:dyDescent="0.25">
      <c r="A40" s="7"/>
      <c r="B40" s="51"/>
      <c r="C40" s="7"/>
      <c r="D40" s="60"/>
      <c r="E40" s="7"/>
      <c r="F40" s="60" t="s">
        <v>87</v>
      </c>
      <c r="G40" s="7" t="s">
        <v>88</v>
      </c>
      <c r="H40" s="60" t="s">
        <v>33</v>
      </c>
      <c r="I40" s="7" t="s">
        <v>239</v>
      </c>
    </row>
    <row r="41" spans="1:9" x14ac:dyDescent="0.25">
      <c r="A41" s="9">
        <v>1</v>
      </c>
      <c r="B41" s="9" t="s">
        <v>90</v>
      </c>
      <c r="C41" s="11" t="s">
        <v>91</v>
      </c>
      <c r="D41" s="49">
        <v>-34940.720000000001</v>
      </c>
      <c r="E41" s="95">
        <v>356478.22</v>
      </c>
      <c r="F41" s="8">
        <v>352048.68</v>
      </c>
      <c r="G41" s="9">
        <f>E41</f>
        <v>356478.22</v>
      </c>
      <c r="H41" s="9">
        <f>D41+F41-G41</f>
        <v>-39370.260000000009</v>
      </c>
      <c r="I41" s="6">
        <f>H41</f>
        <v>-39370.260000000009</v>
      </c>
    </row>
    <row r="42" spans="1:9" x14ac:dyDescent="0.25">
      <c r="A42" s="9"/>
      <c r="B42" s="9" t="s">
        <v>92</v>
      </c>
      <c r="C42" s="11" t="s">
        <v>93</v>
      </c>
      <c r="D42" s="49"/>
      <c r="E42" s="65"/>
      <c r="F42" s="8"/>
      <c r="G42" s="62"/>
      <c r="H42" s="62"/>
      <c r="I42" s="6"/>
    </row>
    <row r="43" spans="1:9" x14ac:dyDescent="0.25">
      <c r="A43" s="9">
        <v>2</v>
      </c>
      <c r="B43" s="9" t="s">
        <v>98</v>
      </c>
      <c r="C43" s="11" t="s">
        <v>203</v>
      </c>
      <c r="D43" s="50">
        <v>-293080.49</v>
      </c>
      <c r="E43" s="10">
        <v>1062012.78</v>
      </c>
      <c r="F43" s="8">
        <v>1075092.78</v>
      </c>
      <c r="G43" s="62">
        <f>E43</f>
        <v>1062012.78</v>
      </c>
      <c r="H43" s="62">
        <f>D43+F43-G43</f>
        <v>-280000.49</v>
      </c>
      <c r="I43" s="9">
        <f>H43</f>
        <v>-280000.49</v>
      </c>
    </row>
    <row r="44" spans="1:9" x14ac:dyDescent="0.25">
      <c r="A44" s="1" t="s">
        <v>100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5" t="s">
        <v>101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8" t="s">
        <v>12</v>
      </c>
      <c r="B46" s="6" t="s">
        <v>221</v>
      </c>
      <c r="C46" s="58" t="s">
        <v>103</v>
      </c>
      <c r="D46" s="58"/>
      <c r="E46" s="58"/>
      <c r="F46" s="48" t="s">
        <v>172</v>
      </c>
      <c r="G46" s="58"/>
      <c r="H46" s="49"/>
      <c r="I46" s="6" t="s">
        <v>105</v>
      </c>
    </row>
    <row r="47" spans="1:9" x14ac:dyDescent="0.25">
      <c r="A47" s="51" t="s">
        <v>106</v>
      </c>
      <c r="B47" s="7" t="s">
        <v>223</v>
      </c>
      <c r="C47" s="60"/>
      <c r="D47" s="60"/>
      <c r="E47" s="60"/>
      <c r="F47" s="51" t="s">
        <v>586</v>
      </c>
      <c r="G47" s="60"/>
      <c r="H47" s="61"/>
      <c r="I47" s="7" t="s">
        <v>108</v>
      </c>
    </row>
    <row r="48" spans="1:9" x14ac:dyDescent="0.25">
      <c r="A48" s="51"/>
      <c r="B48" s="62"/>
      <c r="C48" s="60"/>
      <c r="D48" s="60"/>
      <c r="E48" s="60"/>
      <c r="F48" s="51" t="s">
        <v>205</v>
      </c>
      <c r="G48" s="60"/>
      <c r="H48" s="61"/>
      <c r="I48" s="7"/>
    </row>
    <row r="49" spans="1:9" x14ac:dyDescent="0.25">
      <c r="A49" s="67" t="s">
        <v>110</v>
      </c>
      <c r="B49" s="18"/>
      <c r="C49" s="68" t="s">
        <v>111</v>
      </c>
      <c r="D49" s="68"/>
      <c r="E49" s="68"/>
      <c r="F49" s="48"/>
      <c r="G49" s="58"/>
      <c r="H49" s="49"/>
      <c r="I49" s="6"/>
    </row>
    <row r="50" spans="1:9" x14ac:dyDescent="0.25">
      <c r="A50" s="69"/>
      <c r="B50" s="7"/>
      <c r="C50" s="60" t="s">
        <v>112</v>
      </c>
      <c r="D50" s="60"/>
      <c r="E50" s="60"/>
      <c r="F50" s="51" t="s">
        <v>71</v>
      </c>
      <c r="G50" s="37"/>
      <c r="H50" s="61" t="s">
        <v>71</v>
      </c>
      <c r="I50" s="7"/>
    </row>
    <row r="51" spans="1:9" x14ac:dyDescent="0.25">
      <c r="A51" s="69" t="s">
        <v>113</v>
      </c>
      <c r="B51" s="70">
        <v>42851</v>
      </c>
      <c r="C51" s="60" t="s">
        <v>259</v>
      </c>
      <c r="D51" s="60"/>
      <c r="E51" s="61"/>
      <c r="F51" s="51"/>
      <c r="G51" s="37">
        <f>I51/3353.1</f>
        <v>3.2805463600846978</v>
      </c>
      <c r="H51" s="61"/>
      <c r="I51" s="7">
        <v>11000</v>
      </c>
    </row>
    <row r="52" spans="1:9" x14ac:dyDescent="0.25">
      <c r="A52" s="69"/>
      <c r="B52" s="7"/>
      <c r="C52" s="5" t="s">
        <v>118</v>
      </c>
      <c r="D52" s="5"/>
      <c r="E52" s="5"/>
      <c r="F52" s="59"/>
      <c r="G52" s="20">
        <f>SUM(G51:G51)</f>
        <v>3.2805463600846978</v>
      </c>
      <c r="H52" s="71"/>
      <c r="I52" s="18">
        <f>SUM(I51:I51)</f>
        <v>11000</v>
      </c>
    </row>
    <row r="53" spans="1:9" x14ac:dyDescent="0.25">
      <c r="A53" s="6"/>
      <c r="B53" s="6"/>
      <c r="C53" s="48"/>
      <c r="D53" s="58"/>
      <c r="E53" s="49"/>
      <c r="F53" s="48"/>
      <c r="G53" s="86"/>
      <c r="H53" s="49"/>
      <c r="I53" s="6"/>
    </row>
    <row r="54" spans="1:9" x14ac:dyDescent="0.25">
      <c r="A54" s="6" t="s">
        <v>48</v>
      </c>
      <c r="B54" s="25" t="s">
        <v>119</v>
      </c>
      <c r="C54" s="57" t="s">
        <v>120</v>
      </c>
      <c r="D54" s="58"/>
      <c r="E54" s="49"/>
      <c r="F54" s="48" t="s">
        <v>121</v>
      </c>
      <c r="G54" s="58"/>
      <c r="H54" s="49"/>
      <c r="I54" s="6"/>
    </row>
    <row r="55" spans="1:9" x14ac:dyDescent="0.25">
      <c r="A55" s="69"/>
      <c r="B55" s="70"/>
      <c r="C55" s="60"/>
      <c r="D55" s="60"/>
      <c r="E55" s="61"/>
      <c r="F55" s="51"/>
      <c r="G55" s="37"/>
      <c r="H55" s="61"/>
      <c r="I55" s="7"/>
    </row>
    <row r="56" spans="1:9" x14ac:dyDescent="0.25">
      <c r="A56" s="73"/>
      <c r="B56" s="62" t="s">
        <v>119</v>
      </c>
      <c r="C56" s="15" t="s">
        <v>118</v>
      </c>
      <c r="D56" s="14"/>
      <c r="E56" s="85"/>
      <c r="F56" s="15" t="s">
        <v>71</v>
      </c>
      <c r="G56" s="78">
        <v>0</v>
      </c>
      <c r="H56" s="85"/>
      <c r="I56" s="12">
        <v>0</v>
      </c>
    </row>
    <row r="57" spans="1:9" x14ac:dyDescent="0.25">
      <c r="A57" s="2"/>
      <c r="B57" s="2"/>
      <c r="C57" s="2" t="s">
        <v>71</v>
      </c>
      <c r="E57" s="2"/>
      <c r="F57" s="2"/>
      <c r="G57" s="2"/>
      <c r="H57" s="2"/>
      <c r="I57" s="2"/>
    </row>
    <row r="58" spans="1:9" x14ac:dyDescent="0.25">
      <c r="A58" s="2" t="s">
        <v>122</v>
      </c>
      <c r="B58" s="2"/>
      <c r="C58" s="2" t="s">
        <v>71</v>
      </c>
      <c r="D58" s="2" t="s">
        <v>123</v>
      </c>
      <c r="E58" s="2"/>
      <c r="F58" s="2" t="s">
        <v>124</v>
      </c>
      <c r="G58" s="2"/>
      <c r="H58" s="2" t="s">
        <v>125</v>
      </c>
      <c r="I58" s="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3" zoomScale="110" zoomScaleNormal="110" workbookViewId="0">
      <selection activeCell="A8" sqref="A8"/>
    </sheetView>
  </sheetViews>
  <sheetFormatPr defaultRowHeight="15" x14ac:dyDescent="0.25"/>
  <cols>
    <col min="1" max="1" width="4.85546875" style="3" customWidth="1"/>
    <col min="2" max="2" width="32" style="3" customWidth="1"/>
    <col min="3" max="3" width="12.42578125" style="3" customWidth="1"/>
    <col min="4" max="4" width="11.28515625" style="3" customWidth="1"/>
    <col min="5" max="5" width="11.140625" style="3" customWidth="1"/>
    <col min="6" max="6" width="10.7109375" style="3" customWidth="1"/>
    <col min="7" max="7" width="11.85546875" style="3" customWidth="1"/>
    <col min="8" max="8" width="12.140625" style="3" customWidth="1"/>
    <col min="9" max="9" width="17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243</v>
      </c>
      <c r="B7" s="1"/>
      <c r="C7" s="1"/>
      <c r="D7" s="1"/>
      <c r="E7" s="2"/>
      <c r="F7" s="2"/>
      <c r="G7" s="2"/>
      <c r="H7" s="2"/>
      <c r="I7" s="2"/>
    </row>
    <row r="8" spans="1:9" x14ac:dyDescent="0.25">
      <c r="A8" s="2" t="s">
        <v>244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245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246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1" t="s">
        <v>247</v>
      </c>
      <c r="E11" s="2"/>
      <c r="F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6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15</v>
      </c>
      <c r="I15" s="6" t="s">
        <v>19</v>
      </c>
    </row>
    <row r="16" spans="1:9" x14ac:dyDescent="0.25">
      <c r="A16" s="7" t="s">
        <v>20</v>
      </c>
      <c r="B16" s="7"/>
      <c r="C16" s="7" t="s">
        <v>232</v>
      </c>
      <c r="D16" s="7" t="s">
        <v>22</v>
      </c>
      <c r="E16" s="7" t="s">
        <v>23</v>
      </c>
      <c r="F16" s="7" t="s">
        <v>23</v>
      </c>
      <c r="G16" s="7" t="s">
        <v>24</v>
      </c>
      <c r="H16" s="7" t="s">
        <v>25</v>
      </c>
      <c r="I16" s="7" t="s">
        <v>26</v>
      </c>
    </row>
    <row r="17" spans="1:9" x14ac:dyDescent="0.25">
      <c r="A17" s="7"/>
      <c r="B17" s="7"/>
      <c r="C17" s="7" t="s">
        <v>27</v>
      </c>
      <c r="D17" s="7" t="s">
        <v>28</v>
      </c>
      <c r="E17" s="7"/>
      <c r="F17" s="7"/>
      <c r="G17" s="7" t="s">
        <v>29</v>
      </c>
      <c r="H17" s="7" t="s">
        <v>30</v>
      </c>
      <c r="I17" s="7" t="s">
        <v>31</v>
      </c>
    </row>
    <row r="18" spans="1:9" x14ac:dyDescent="0.25">
      <c r="A18" s="7"/>
      <c r="B18" s="7"/>
      <c r="C18" s="7" t="s">
        <v>32</v>
      </c>
      <c r="D18" s="7" t="s">
        <v>33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34</v>
      </c>
    </row>
    <row r="19" spans="1:9" x14ac:dyDescent="0.25">
      <c r="A19" s="10">
        <v>1</v>
      </c>
      <c r="B19" s="9">
        <v>2</v>
      </c>
      <c r="C19" s="10">
        <v>3</v>
      </c>
      <c r="D19" s="9">
        <v>4</v>
      </c>
      <c r="E19" s="10">
        <v>5</v>
      </c>
      <c r="F19" s="9">
        <v>6</v>
      </c>
      <c r="G19" s="10">
        <v>7</v>
      </c>
      <c r="H19" s="9">
        <v>8</v>
      </c>
      <c r="I19" s="9">
        <v>9</v>
      </c>
    </row>
    <row r="20" spans="1:9" x14ac:dyDescent="0.25">
      <c r="A20" s="15">
        <v>1</v>
      </c>
      <c r="B20" s="12" t="s">
        <v>248</v>
      </c>
      <c r="C20" s="12">
        <v>7.97</v>
      </c>
      <c r="D20" s="16">
        <v>-36516.379999999997</v>
      </c>
      <c r="E20" s="17">
        <v>368434.44</v>
      </c>
      <c r="F20" s="14">
        <v>367978.17</v>
      </c>
      <c r="G20" s="17">
        <f>E20</f>
        <v>368434.44</v>
      </c>
      <c r="H20" s="16">
        <f>D20+F20-G20</f>
        <v>-36972.650000000023</v>
      </c>
      <c r="I20" s="17">
        <f>H20</f>
        <v>-36972.650000000023</v>
      </c>
    </row>
    <row r="21" spans="1:9" x14ac:dyDescent="0.25">
      <c r="A21" s="9" t="s">
        <v>36</v>
      </c>
      <c r="B21" s="12" t="s">
        <v>37</v>
      </c>
      <c r="C21" s="14">
        <v>2.62</v>
      </c>
      <c r="D21" s="16"/>
      <c r="E21" s="108">
        <f>E20*33%</f>
        <v>121583.3652</v>
      </c>
      <c r="F21" s="17">
        <f>F20*33%</f>
        <v>121432.79610000001</v>
      </c>
      <c r="G21" s="17">
        <f t="shared" ref="G21:G27" si="0">E21</f>
        <v>121583.3652</v>
      </c>
      <c r="H21" s="55"/>
      <c r="I21" s="54"/>
    </row>
    <row r="22" spans="1:9" x14ac:dyDescent="0.25">
      <c r="A22" s="24" t="s">
        <v>38</v>
      </c>
      <c r="B22" s="25" t="s">
        <v>39</v>
      </c>
      <c r="C22" s="68">
        <v>1.33</v>
      </c>
      <c r="D22" s="28"/>
      <c r="E22" s="45">
        <f>E20*17%</f>
        <v>62633.854800000008</v>
      </c>
      <c r="F22" s="45">
        <f>F20*17%</f>
        <v>62556.2889</v>
      </c>
      <c r="G22" s="45">
        <f t="shared" si="0"/>
        <v>62633.854800000008</v>
      </c>
      <c r="H22" s="105"/>
      <c r="I22" s="75"/>
    </row>
    <row r="23" spans="1:9" x14ac:dyDescent="0.25">
      <c r="A23" s="24" t="s">
        <v>40</v>
      </c>
      <c r="B23" s="25" t="s">
        <v>41</v>
      </c>
      <c r="C23" s="68">
        <v>1.63</v>
      </c>
      <c r="D23" s="109"/>
      <c r="E23" s="45">
        <f>E20*20%</f>
        <v>73686.888000000006</v>
      </c>
      <c r="F23" s="45">
        <f>F20*20%</f>
        <v>73595.634000000005</v>
      </c>
      <c r="G23" s="45">
        <f t="shared" si="0"/>
        <v>73686.888000000006</v>
      </c>
      <c r="H23" s="110"/>
      <c r="I23" s="75"/>
    </row>
    <row r="24" spans="1:9" x14ac:dyDescent="0.25">
      <c r="A24" s="24" t="s">
        <v>42</v>
      </c>
      <c r="B24" s="25" t="s">
        <v>43</v>
      </c>
      <c r="C24" s="68">
        <v>2.39</v>
      </c>
      <c r="D24" s="28"/>
      <c r="E24" s="45">
        <f>E20*30%</f>
        <v>110530.33199999999</v>
      </c>
      <c r="F24" s="45">
        <f>F20*30%</f>
        <v>110393.45099999999</v>
      </c>
      <c r="G24" s="43">
        <f t="shared" si="0"/>
        <v>110530.33199999999</v>
      </c>
      <c r="H24" s="105"/>
      <c r="I24" s="29"/>
    </row>
    <row r="25" spans="1:9" x14ac:dyDescent="0.25">
      <c r="A25" s="24" t="s">
        <v>44</v>
      </c>
      <c r="B25" s="6" t="s">
        <v>249</v>
      </c>
      <c r="C25" s="58">
        <v>0.44891999999999999</v>
      </c>
      <c r="D25" s="105"/>
      <c r="E25" s="75">
        <v>12977.09</v>
      </c>
      <c r="F25" s="75">
        <v>14176.02</v>
      </c>
      <c r="G25" s="39">
        <f t="shared" si="0"/>
        <v>12977.09</v>
      </c>
      <c r="H25" s="105">
        <f>F25-E25</f>
        <v>1198.9300000000003</v>
      </c>
      <c r="I25" s="29"/>
    </row>
    <row r="26" spans="1:9" x14ac:dyDescent="0.25">
      <c r="A26" s="24" t="s">
        <v>46</v>
      </c>
      <c r="B26" s="6" t="s">
        <v>47</v>
      </c>
      <c r="C26" s="58">
        <v>0.70292299999999996</v>
      </c>
      <c r="D26" s="105"/>
      <c r="E26" s="9">
        <v>36361.360000000001</v>
      </c>
      <c r="F26" s="50">
        <v>32245.29</v>
      </c>
      <c r="G26" s="10">
        <f>E26</f>
        <v>36361.360000000001</v>
      </c>
      <c r="H26" s="9">
        <f>F26-E26</f>
        <v>-4116.07</v>
      </c>
      <c r="I26" s="9">
        <f>H26</f>
        <v>-4116.07</v>
      </c>
    </row>
    <row r="27" spans="1:9" x14ac:dyDescent="0.25">
      <c r="A27" s="11" t="s">
        <v>48</v>
      </c>
      <c r="B27" s="11" t="s">
        <v>49</v>
      </c>
      <c r="C27" s="11" t="s">
        <v>50</v>
      </c>
      <c r="D27" s="42">
        <v>-10885.69</v>
      </c>
      <c r="E27" s="11">
        <v>156480.75</v>
      </c>
      <c r="F27" s="11">
        <v>148258.76999999999</v>
      </c>
      <c r="G27" s="41">
        <f t="shared" si="0"/>
        <v>156480.75</v>
      </c>
      <c r="H27" s="42">
        <f>D27+F27-G27</f>
        <v>-19107.670000000013</v>
      </c>
      <c r="I27" s="43">
        <f>H27</f>
        <v>-19107.670000000013</v>
      </c>
    </row>
    <row r="28" spans="1:9" x14ac:dyDescent="0.25">
      <c r="A28" s="12" t="s">
        <v>51</v>
      </c>
      <c r="B28" s="12" t="s">
        <v>52</v>
      </c>
      <c r="C28" s="14">
        <v>1.82</v>
      </c>
      <c r="D28" s="15">
        <v>384611.72</v>
      </c>
      <c r="E28" s="12">
        <v>84133.8</v>
      </c>
      <c r="F28" s="12">
        <f>F29+F30</f>
        <v>85154.53</v>
      </c>
      <c r="G28" s="12">
        <f>I63</f>
        <v>26140</v>
      </c>
      <c r="H28" s="15">
        <f>D28+F28-G28</f>
        <v>443626.25</v>
      </c>
      <c r="I28" s="17"/>
    </row>
    <row r="29" spans="1:9" x14ac:dyDescent="0.25">
      <c r="A29" s="12"/>
      <c r="B29" s="9" t="s">
        <v>53</v>
      </c>
      <c r="C29" s="5"/>
      <c r="D29" s="59" t="s">
        <v>71</v>
      </c>
      <c r="E29" s="18"/>
      <c r="F29" s="18">
        <v>84187.02</v>
      </c>
      <c r="G29" s="5">
        <f>I63</f>
        <v>26140</v>
      </c>
      <c r="H29" s="59"/>
      <c r="I29" s="44"/>
    </row>
    <row r="30" spans="1:9" x14ac:dyDescent="0.25">
      <c r="A30" s="12"/>
      <c r="B30" s="9" t="s">
        <v>54</v>
      </c>
      <c r="C30" s="42"/>
      <c r="D30" s="42"/>
      <c r="E30" s="11"/>
      <c r="F30" s="11">
        <v>967.51</v>
      </c>
      <c r="G30" s="41"/>
      <c r="H30" s="42"/>
      <c r="I30" s="43"/>
    </row>
    <row r="31" spans="1:9" x14ac:dyDescent="0.25">
      <c r="A31" s="11" t="s">
        <v>55</v>
      </c>
      <c r="B31" s="11" t="s">
        <v>146</v>
      </c>
      <c r="C31" s="5"/>
      <c r="D31" s="59" t="s">
        <v>71</v>
      </c>
      <c r="E31" s="18"/>
      <c r="F31" s="18"/>
      <c r="G31" s="5" t="s">
        <v>147</v>
      </c>
      <c r="H31" s="59" t="s">
        <v>71</v>
      </c>
      <c r="I31" s="44" t="str">
        <f>H31</f>
        <v xml:space="preserve"> </v>
      </c>
    </row>
    <row r="32" spans="1:9" x14ac:dyDescent="0.25">
      <c r="A32" s="12"/>
      <c r="B32" s="12" t="s">
        <v>250</v>
      </c>
      <c r="C32" s="43">
        <v>0</v>
      </c>
      <c r="D32" s="42">
        <v>162066.23999999999</v>
      </c>
      <c r="E32" s="11">
        <f>E33</f>
        <v>0</v>
      </c>
      <c r="F32" s="11">
        <f>F33</f>
        <v>0.16</v>
      </c>
      <c r="G32" s="41">
        <f>G33+G34</f>
        <v>0</v>
      </c>
      <c r="H32" s="42">
        <f>D32+F32-G32</f>
        <v>162066.4</v>
      </c>
      <c r="I32" s="43"/>
    </row>
    <row r="33" spans="1:9" x14ac:dyDescent="0.25">
      <c r="A33" s="9"/>
      <c r="B33" s="9" t="s">
        <v>53</v>
      </c>
      <c r="C33" s="39">
        <v>0</v>
      </c>
      <c r="D33" s="8">
        <v>0</v>
      </c>
      <c r="E33" s="11">
        <v>0</v>
      </c>
      <c r="F33" s="11">
        <v>0.16</v>
      </c>
      <c r="G33" s="10">
        <f>I67</f>
        <v>0</v>
      </c>
      <c r="H33" s="8"/>
      <c r="I33" s="29"/>
    </row>
    <row r="34" spans="1:9" x14ac:dyDescent="0.25">
      <c r="A34" s="9"/>
      <c r="B34" s="9" t="s">
        <v>54</v>
      </c>
      <c r="C34" s="10">
        <v>0</v>
      </c>
      <c r="D34" s="8">
        <v>0</v>
      </c>
      <c r="E34" s="9">
        <v>0</v>
      </c>
      <c r="F34" s="9">
        <v>0</v>
      </c>
      <c r="G34" s="10">
        <v>0</v>
      </c>
      <c r="H34" s="8"/>
      <c r="I34" s="54"/>
    </row>
    <row r="35" spans="1:9" x14ac:dyDescent="0.25">
      <c r="A35" s="1" t="s">
        <v>58</v>
      </c>
      <c r="B35" s="2"/>
      <c r="C35" s="2"/>
      <c r="E35" s="2"/>
      <c r="F35" s="2"/>
      <c r="G35" s="2"/>
      <c r="H35" s="2"/>
      <c r="I35" s="2"/>
    </row>
    <row r="36" spans="1:9" x14ac:dyDescent="0.25">
      <c r="A36" s="25" t="s">
        <v>59</v>
      </c>
      <c r="B36" s="58"/>
      <c r="C36" s="48" t="s">
        <v>151</v>
      </c>
      <c r="D36" s="6" t="s">
        <v>152</v>
      </c>
      <c r="E36" s="49" t="s">
        <v>153</v>
      </c>
      <c r="F36" s="58" t="s">
        <v>154</v>
      </c>
      <c r="G36" s="6" t="s">
        <v>15</v>
      </c>
      <c r="H36" s="58"/>
      <c r="I36" s="6" t="s">
        <v>15</v>
      </c>
    </row>
    <row r="37" spans="1:9" x14ac:dyDescent="0.25">
      <c r="A37" s="7"/>
      <c r="B37" s="60"/>
      <c r="C37" s="51" t="s">
        <v>28</v>
      </c>
      <c r="D37" s="7" t="s">
        <v>29</v>
      </c>
      <c r="E37" s="61" t="s">
        <v>155</v>
      </c>
      <c r="F37" s="60" t="s">
        <v>156</v>
      </c>
      <c r="G37" s="7" t="s">
        <v>157</v>
      </c>
      <c r="H37" s="60" t="s">
        <v>71</v>
      </c>
      <c r="I37" s="7" t="s">
        <v>30</v>
      </c>
    </row>
    <row r="38" spans="1:9" x14ac:dyDescent="0.25">
      <c r="A38" s="62"/>
      <c r="B38" s="74"/>
      <c r="C38" s="52"/>
      <c r="D38" s="111"/>
      <c r="E38" s="53"/>
      <c r="F38" s="74"/>
      <c r="G38" s="62"/>
      <c r="H38" s="74"/>
      <c r="I38" s="62"/>
    </row>
    <row r="39" spans="1:9" x14ac:dyDescent="0.25">
      <c r="A39" s="62"/>
      <c r="B39" s="9" t="s">
        <v>251</v>
      </c>
      <c r="C39" s="52"/>
      <c r="D39" s="111"/>
      <c r="E39" s="74"/>
      <c r="F39" s="9"/>
      <c r="G39" s="62"/>
      <c r="H39" s="9"/>
      <c r="I39" s="53"/>
    </row>
    <row r="40" spans="1:9" x14ac:dyDescent="0.25">
      <c r="A40" s="9"/>
      <c r="B40" s="62" t="s">
        <v>68</v>
      </c>
      <c r="C40" s="52">
        <v>11049.41</v>
      </c>
      <c r="D40" s="62">
        <v>6453</v>
      </c>
      <c r="E40" s="79">
        <f>D40*15%</f>
        <v>967.94999999999993</v>
      </c>
      <c r="F40" s="62">
        <v>0</v>
      </c>
      <c r="G40" s="54">
        <f>C40+(D40-E40)</f>
        <v>16534.46</v>
      </c>
      <c r="H40" s="54"/>
      <c r="I40" s="80">
        <f>G40</f>
        <v>16534.46</v>
      </c>
    </row>
    <row r="41" spans="1:9" x14ac:dyDescent="0.25">
      <c r="A41" s="1" t="s">
        <v>252</v>
      </c>
      <c r="B41" s="1"/>
      <c r="C41" s="1"/>
      <c r="D41" s="47"/>
      <c r="E41" s="1"/>
      <c r="F41" s="1"/>
      <c r="G41" s="1"/>
      <c r="H41" s="1"/>
      <c r="I41" s="1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253</v>
      </c>
      <c r="H42" s="6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7" t="s">
        <v>85</v>
      </c>
      <c r="I43" s="7" t="s">
        <v>86</v>
      </c>
    </row>
    <row r="44" spans="1:9" x14ac:dyDescent="0.25">
      <c r="A44" s="7"/>
      <c r="B44" s="51"/>
      <c r="C44" s="7"/>
      <c r="D44" s="60"/>
      <c r="E44" s="7"/>
      <c r="F44" s="60" t="s">
        <v>87</v>
      </c>
      <c r="G44" s="7" t="s">
        <v>88</v>
      </c>
      <c r="H44" s="7"/>
      <c r="I44" s="7" t="s">
        <v>30</v>
      </c>
    </row>
    <row r="45" spans="1:9" x14ac:dyDescent="0.25">
      <c r="A45" s="9"/>
      <c r="B45" s="8"/>
      <c r="C45" s="8"/>
      <c r="D45" s="9"/>
      <c r="E45" s="50"/>
      <c r="F45" s="50"/>
      <c r="G45" s="10"/>
      <c r="H45" s="9"/>
      <c r="I45" s="9"/>
    </row>
    <row r="46" spans="1:9" x14ac:dyDescent="0.25">
      <c r="A46" s="7">
        <v>1</v>
      </c>
      <c r="B46" s="7" t="s">
        <v>90</v>
      </c>
      <c r="C46" s="5" t="s">
        <v>91</v>
      </c>
      <c r="D46" s="7">
        <v>-11650.27</v>
      </c>
      <c r="E46" s="112">
        <v>184275.61</v>
      </c>
      <c r="F46" s="7">
        <v>177970.01</v>
      </c>
      <c r="G46" s="112">
        <f>E46</f>
        <v>184275.61</v>
      </c>
      <c r="H46" s="7">
        <f>D46+F46-G46</f>
        <v>-17955.869999999966</v>
      </c>
      <c r="I46" s="7">
        <f>H46</f>
        <v>-17955.869999999966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9"/>
      <c r="G47" s="65"/>
      <c r="H47" s="9"/>
      <c r="I47" s="9"/>
    </row>
    <row r="48" spans="1:9" x14ac:dyDescent="0.25">
      <c r="A48" s="7">
        <v>2</v>
      </c>
      <c r="B48" s="7" t="s">
        <v>94</v>
      </c>
      <c r="C48" s="1" t="s">
        <v>95</v>
      </c>
      <c r="D48" s="7">
        <v>-69289.48</v>
      </c>
      <c r="E48" s="2">
        <v>307177.75</v>
      </c>
      <c r="F48" s="7">
        <v>289031.26</v>
      </c>
      <c r="G48" s="2">
        <f>E48</f>
        <v>307177.75</v>
      </c>
      <c r="H48" s="7">
        <f>D48+F48-G48</f>
        <v>-87435.969999999972</v>
      </c>
      <c r="I48" s="7">
        <f>H48</f>
        <v>-87435.969999999972</v>
      </c>
    </row>
    <row r="49" spans="1:9" x14ac:dyDescent="0.25">
      <c r="A49" s="9"/>
      <c r="B49" s="9" t="s">
        <v>96</v>
      </c>
      <c r="C49" s="41"/>
      <c r="D49" s="9"/>
      <c r="E49" s="10"/>
      <c r="F49" s="9"/>
      <c r="G49" s="10"/>
      <c r="H49" s="6" t="s">
        <v>71</v>
      </c>
      <c r="I49" s="9"/>
    </row>
    <row r="50" spans="1:9" x14ac:dyDescent="0.25">
      <c r="A50" s="9"/>
      <c r="B50" s="9" t="s">
        <v>254</v>
      </c>
      <c r="C50" s="41" t="s">
        <v>93</v>
      </c>
      <c r="D50" s="9"/>
      <c r="E50" s="10"/>
      <c r="F50" s="9"/>
      <c r="G50" s="10"/>
      <c r="H50" s="6"/>
      <c r="I50" s="9"/>
    </row>
    <row r="51" spans="1:9" x14ac:dyDescent="0.25">
      <c r="A51" s="9">
        <v>3</v>
      </c>
      <c r="B51" s="9" t="s">
        <v>98</v>
      </c>
      <c r="C51" s="41" t="s">
        <v>99</v>
      </c>
      <c r="D51" s="9">
        <v>-228979.96</v>
      </c>
      <c r="E51" s="10">
        <v>779138.04</v>
      </c>
      <c r="F51" s="9">
        <v>802208.8</v>
      </c>
      <c r="G51" s="10">
        <f>E51</f>
        <v>779138.04</v>
      </c>
      <c r="H51" s="9">
        <f>D51+F51-G51</f>
        <v>-205909.19999999995</v>
      </c>
      <c r="I51" s="9">
        <f>H51</f>
        <v>-205909.19999999995</v>
      </c>
    </row>
    <row r="52" spans="1:9" x14ac:dyDescent="0.25">
      <c r="A52" s="1" t="s">
        <v>255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5" t="s">
        <v>256</v>
      </c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48" t="s">
        <v>12</v>
      </c>
      <c r="B54" s="6" t="s">
        <v>102</v>
      </c>
      <c r="C54" s="58" t="s">
        <v>103</v>
      </c>
      <c r="D54" s="58"/>
      <c r="E54" s="58"/>
      <c r="F54" s="48" t="s">
        <v>222</v>
      </c>
      <c r="G54" s="58"/>
      <c r="H54" s="49"/>
      <c r="I54" s="6" t="s">
        <v>105</v>
      </c>
    </row>
    <row r="55" spans="1:9" x14ac:dyDescent="0.25">
      <c r="A55" s="51" t="s">
        <v>106</v>
      </c>
      <c r="B55" s="7"/>
      <c r="C55" s="60"/>
      <c r="D55" s="60"/>
      <c r="E55" s="60"/>
      <c r="F55" s="51" t="s">
        <v>224</v>
      </c>
      <c r="G55" s="60"/>
      <c r="H55" s="61"/>
      <c r="I55" s="7" t="s">
        <v>108</v>
      </c>
    </row>
    <row r="56" spans="1:9" x14ac:dyDescent="0.25">
      <c r="A56" s="51"/>
      <c r="B56" s="7"/>
      <c r="C56" s="60"/>
      <c r="D56" s="60"/>
      <c r="E56" s="60"/>
      <c r="F56" s="51" t="s">
        <v>257</v>
      </c>
      <c r="G56" s="60"/>
      <c r="H56" s="61"/>
      <c r="I56" s="7"/>
    </row>
    <row r="57" spans="1:9" x14ac:dyDescent="0.25">
      <c r="A57" s="52"/>
      <c r="B57" s="62"/>
      <c r="C57" s="74"/>
      <c r="D57" s="74"/>
      <c r="E57" s="74"/>
      <c r="F57" s="52" t="s">
        <v>258</v>
      </c>
      <c r="G57" s="74"/>
      <c r="H57" s="53"/>
      <c r="I57" s="62"/>
    </row>
    <row r="58" spans="1:9" x14ac:dyDescent="0.25">
      <c r="A58" s="51"/>
      <c r="B58" s="7"/>
      <c r="C58" s="60"/>
      <c r="D58" s="60"/>
      <c r="E58" s="60"/>
      <c r="F58" s="51"/>
      <c r="G58" s="60"/>
      <c r="H58" s="61"/>
      <c r="I58" s="7"/>
    </row>
    <row r="59" spans="1:9" x14ac:dyDescent="0.25">
      <c r="A59" s="67" t="s">
        <v>110</v>
      </c>
      <c r="B59" s="18"/>
      <c r="C59" s="68" t="s">
        <v>111</v>
      </c>
      <c r="D59" s="68"/>
      <c r="E59" s="68"/>
      <c r="F59" s="48"/>
      <c r="G59" s="58"/>
      <c r="H59" s="49"/>
      <c r="I59" s="7"/>
    </row>
    <row r="60" spans="1:9" x14ac:dyDescent="0.25">
      <c r="A60" s="69"/>
      <c r="B60" s="7"/>
      <c r="C60" s="60" t="s">
        <v>112</v>
      </c>
      <c r="D60" s="60"/>
      <c r="E60" s="60"/>
      <c r="F60" s="51" t="s">
        <v>71</v>
      </c>
      <c r="G60" s="37"/>
      <c r="H60" s="61" t="s">
        <v>71</v>
      </c>
      <c r="I60" s="7" t="s">
        <v>71</v>
      </c>
    </row>
    <row r="61" spans="1:9" x14ac:dyDescent="0.25">
      <c r="A61" s="69" t="s">
        <v>113</v>
      </c>
      <c r="B61" s="70">
        <v>42851</v>
      </c>
      <c r="C61" s="60" t="s">
        <v>259</v>
      </c>
      <c r="D61" s="60"/>
      <c r="E61" s="60"/>
      <c r="F61" s="51"/>
      <c r="G61" s="37">
        <f>I61/3896.6</f>
        <v>2.7203202792177796</v>
      </c>
      <c r="H61" s="61"/>
      <c r="I61" s="7">
        <v>10600</v>
      </c>
    </row>
    <row r="62" spans="1:9" x14ac:dyDescent="0.25">
      <c r="A62" s="69" t="s">
        <v>38</v>
      </c>
      <c r="B62" s="113">
        <v>42972</v>
      </c>
      <c r="C62" s="60" t="s">
        <v>260</v>
      </c>
      <c r="D62" s="60"/>
      <c r="E62" s="60"/>
      <c r="F62" s="51"/>
      <c r="G62" s="37">
        <f>I62/3896.6</f>
        <v>3.9880921829287073</v>
      </c>
      <c r="H62" s="61"/>
      <c r="I62" s="7">
        <v>15540</v>
      </c>
    </row>
    <row r="63" spans="1:9" x14ac:dyDescent="0.25">
      <c r="A63" s="73"/>
      <c r="B63" s="61"/>
      <c r="C63" s="5" t="s">
        <v>118</v>
      </c>
      <c r="D63" s="5"/>
      <c r="E63" s="5"/>
      <c r="F63" s="59"/>
      <c r="G63" s="20">
        <f>SUM(G61:G62)</f>
        <v>6.7084124621464873</v>
      </c>
      <c r="H63" s="71"/>
      <c r="I63" s="18">
        <f>SUM(I61:I62)</f>
        <v>26140</v>
      </c>
    </row>
    <row r="64" spans="1:9" x14ac:dyDescent="0.25">
      <c r="A64" s="6"/>
      <c r="B64" s="6"/>
      <c r="C64" s="48"/>
      <c r="D64" s="58"/>
      <c r="E64" s="49"/>
      <c r="F64" s="48"/>
      <c r="G64" s="58"/>
      <c r="H64" s="49"/>
      <c r="I64" s="6"/>
    </row>
    <row r="65" spans="1:9" x14ac:dyDescent="0.25">
      <c r="A65" s="6" t="s">
        <v>48</v>
      </c>
      <c r="B65" s="25" t="s">
        <v>119</v>
      </c>
      <c r="C65" s="57" t="s">
        <v>120</v>
      </c>
      <c r="D65" s="58"/>
      <c r="E65" s="49"/>
      <c r="F65" s="48" t="s">
        <v>121</v>
      </c>
      <c r="G65" s="58"/>
      <c r="H65" s="49"/>
      <c r="I65" s="6"/>
    </row>
    <row r="66" spans="1:9" x14ac:dyDescent="0.25">
      <c r="A66" s="69" t="s">
        <v>182</v>
      </c>
      <c r="B66" s="7"/>
      <c r="C66" s="51"/>
      <c r="D66" s="60"/>
      <c r="E66" s="61"/>
      <c r="F66" s="51"/>
      <c r="G66" s="37"/>
      <c r="H66" s="61"/>
      <c r="I66" s="7"/>
    </row>
    <row r="67" spans="1:9" x14ac:dyDescent="0.25">
      <c r="A67" s="73"/>
      <c r="B67" s="62" t="s">
        <v>119</v>
      </c>
      <c r="C67" s="15" t="s">
        <v>118</v>
      </c>
      <c r="D67" s="14"/>
      <c r="E67" s="85"/>
      <c r="F67" s="15" t="s">
        <v>71</v>
      </c>
      <c r="G67" s="78">
        <f>SUM(G66:G66)</f>
        <v>0</v>
      </c>
      <c r="H67" s="85"/>
      <c r="I67" s="12">
        <f>SUM(I66:I66)</f>
        <v>0</v>
      </c>
    </row>
    <row r="68" spans="1:9" x14ac:dyDescent="0.25">
      <c r="A68" s="2" t="s">
        <v>261</v>
      </c>
      <c r="B68" s="2"/>
      <c r="C68" s="114" t="s">
        <v>123</v>
      </c>
      <c r="E68" s="2" t="s">
        <v>124</v>
      </c>
      <c r="G68" s="2" t="s">
        <v>262</v>
      </c>
      <c r="H68" s="2"/>
      <c r="I68" s="2" t="s">
        <v>263</v>
      </c>
    </row>
    <row r="69" spans="1:9" x14ac:dyDescent="0.25">
      <c r="A69" s="2"/>
      <c r="B69" s="2"/>
    </row>
  </sheetData>
  <pageMargins left="0.7" right="0.7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6" zoomScale="110" zoomScaleNormal="110" workbookViewId="0">
      <selection activeCell="G57" sqref="G57"/>
    </sheetView>
  </sheetViews>
  <sheetFormatPr defaultRowHeight="15" x14ac:dyDescent="0.25"/>
  <cols>
    <col min="1" max="1" width="5" style="3" customWidth="1"/>
    <col min="2" max="2" width="27" style="3" customWidth="1"/>
    <col min="3" max="3" width="14" style="3" customWidth="1"/>
    <col min="4" max="4" width="12.140625" style="3" customWidth="1"/>
    <col min="5" max="5" width="12.28515625" style="3" customWidth="1"/>
    <col min="6" max="6" width="12.7109375" style="3" customWidth="1"/>
    <col min="7" max="7" width="12.85546875" style="3" customWidth="1"/>
    <col min="8" max="8" width="14.140625" style="3" customWidth="1"/>
    <col min="9" max="9" width="21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894</v>
      </c>
      <c r="B7" s="2"/>
      <c r="C7" s="2"/>
      <c r="D7" s="2"/>
      <c r="E7" s="1"/>
      <c r="F7" s="1"/>
      <c r="G7" s="2"/>
      <c r="H7" s="2"/>
      <c r="I7" s="2"/>
    </row>
    <row r="8" spans="1:9" x14ac:dyDescent="0.25">
      <c r="A8" s="2" t="s">
        <v>895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896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897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618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8">
        <v>7</v>
      </c>
      <c r="H18" s="9">
        <v>8</v>
      </c>
      <c r="I18" s="9">
        <v>9</v>
      </c>
    </row>
    <row r="19" spans="1:9" x14ac:dyDescent="0.25">
      <c r="A19" s="15">
        <v>1</v>
      </c>
      <c r="B19" s="12" t="s">
        <v>898</v>
      </c>
      <c r="C19" s="12">
        <v>7.56</v>
      </c>
      <c r="D19" s="17">
        <v>-24029.96</v>
      </c>
      <c r="E19" s="14">
        <v>295801.56</v>
      </c>
      <c r="F19" s="15">
        <v>303492.53000000003</v>
      </c>
      <c r="G19" s="17">
        <f t="shared" ref="G19:G25" si="0">E19</f>
        <v>295801.56</v>
      </c>
      <c r="H19" s="13">
        <f>D19+F19-G19</f>
        <v>-16338.989999999991</v>
      </c>
      <c r="I19" s="17">
        <f>H19</f>
        <v>-16338.989999999991</v>
      </c>
    </row>
    <row r="20" spans="1:9" x14ac:dyDescent="0.25">
      <c r="A20" s="73" t="s">
        <v>113</v>
      </c>
      <c r="B20" s="62" t="s">
        <v>37</v>
      </c>
      <c r="C20" s="62">
        <v>2.62</v>
      </c>
      <c r="D20" s="54"/>
      <c r="E20" s="79">
        <f>E19*34.5/100</f>
        <v>102051.53820000001</v>
      </c>
      <c r="F20" s="55">
        <f>F19*34.5/100</f>
        <v>104704.92285</v>
      </c>
      <c r="G20" s="54">
        <f t="shared" si="0"/>
        <v>102051.53820000001</v>
      </c>
      <c r="H20" s="80"/>
      <c r="I20" s="54"/>
    </row>
    <row r="21" spans="1:9" x14ac:dyDescent="0.25">
      <c r="A21" s="24" t="s">
        <v>38</v>
      </c>
      <c r="B21" s="6" t="s">
        <v>39</v>
      </c>
      <c r="C21" s="6">
        <v>1.33</v>
      </c>
      <c r="D21" s="75"/>
      <c r="E21" s="86">
        <f>E19*18/100</f>
        <v>53244.2808</v>
      </c>
      <c r="F21" s="105">
        <f>F19*18/100</f>
        <v>54628.655400000011</v>
      </c>
      <c r="G21" s="22">
        <f t="shared" si="0"/>
        <v>53244.2808</v>
      </c>
      <c r="H21" s="29"/>
      <c r="I21" s="75"/>
    </row>
    <row r="22" spans="1:9" x14ac:dyDescent="0.25">
      <c r="A22" s="24" t="s">
        <v>40</v>
      </c>
      <c r="B22" s="6" t="s">
        <v>41</v>
      </c>
      <c r="C22" s="6">
        <v>1.22</v>
      </c>
      <c r="D22" s="75"/>
      <c r="E22" s="75">
        <f>E19*16/100</f>
        <v>47328.249600000003</v>
      </c>
      <c r="F22" s="105">
        <f>F19*16/100</f>
        <v>48558.804800000005</v>
      </c>
      <c r="G22" s="29">
        <f t="shared" si="0"/>
        <v>47328.249600000003</v>
      </c>
      <c r="H22" s="37"/>
      <c r="I22" s="75"/>
    </row>
    <row r="23" spans="1:9" x14ac:dyDescent="0.25">
      <c r="A23" s="24" t="s">
        <v>42</v>
      </c>
      <c r="B23" s="6" t="s">
        <v>43</v>
      </c>
      <c r="C23" s="6">
        <v>2.39</v>
      </c>
      <c r="D23" s="75"/>
      <c r="E23" s="75">
        <f>E19*31.5/100</f>
        <v>93177.491399999999</v>
      </c>
      <c r="F23" s="105">
        <f>F19*31.5/100</f>
        <v>95600.146950000009</v>
      </c>
      <c r="G23" s="22">
        <f t="shared" si="0"/>
        <v>93177.491399999999</v>
      </c>
      <c r="H23" s="30"/>
      <c r="I23" s="75"/>
    </row>
    <row r="24" spans="1:9" x14ac:dyDescent="0.25">
      <c r="A24" s="24" t="s">
        <v>44</v>
      </c>
      <c r="B24" s="6" t="s">
        <v>47</v>
      </c>
      <c r="C24" s="6">
        <v>0.61290999999999995</v>
      </c>
      <c r="D24" s="6">
        <v>-143.74</v>
      </c>
      <c r="E24" s="58">
        <v>23662.21</v>
      </c>
      <c r="F24" s="48">
        <v>20885.05</v>
      </c>
      <c r="G24" s="9">
        <f>E24</f>
        <v>23662.21</v>
      </c>
      <c r="H24" s="25">
        <f>D24+F24-G24</f>
        <v>-2920.9000000000015</v>
      </c>
      <c r="I24" s="72">
        <f>H24</f>
        <v>-2920.9000000000015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3">
        <v>-7455.99</v>
      </c>
      <c r="E25" s="11">
        <v>132445.68</v>
      </c>
      <c r="F25" s="42">
        <v>130505.89</v>
      </c>
      <c r="G25" s="43">
        <f t="shared" si="0"/>
        <v>132445.68</v>
      </c>
      <c r="H25" s="223">
        <f>D25+F25-G25</f>
        <v>-9395.7799999999988</v>
      </c>
      <c r="I25" s="43">
        <f>H25</f>
        <v>-9395.7799999999988</v>
      </c>
    </row>
    <row r="26" spans="1:9" x14ac:dyDescent="0.25">
      <c r="A26" s="12" t="s">
        <v>51</v>
      </c>
      <c r="B26" s="12" t="s">
        <v>52</v>
      </c>
      <c r="C26" s="12">
        <v>1.65</v>
      </c>
      <c r="D26" s="17">
        <v>9031.73</v>
      </c>
      <c r="E26" s="12">
        <v>64562.16</v>
      </c>
      <c r="F26" s="12">
        <v>67324.490000000005</v>
      </c>
      <c r="G26" s="18">
        <f>I57</f>
        <v>12000</v>
      </c>
      <c r="H26" s="21">
        <f>D26+F26-G26</f>
        <v>64356.22</v>
      </c>
      <c r="I26" s="17"/>
    </row>
    <row r="27" spans="1:9" x14ac:dyDescent="0.25">
      <c r="A27" s="12"/>
      <c r="B27" s="9" t="s">
        <v>53</v>
      </c>
      <c r="C27" s="14"/>
      <c r="D27" s="16"/>
      <c r="E27" s="12"/>
      <c r="F27" s="12">
        <v>67324.490000000005</v>
      </c>
      <c r="G27" s="42"/>
      <c r="H27" s="43"/>
      <c r="I27" s="17"/>
    </row>
    <row r="28" spans="1:9" x14ac:dyDescent="0.25">
      <c r="A28" s="12"/>
      <c r="B28" s="9" t="s">
        <v>54</v>
      </c>
      <c r="C28" s="14"/>
      <c r="D28" s="16"/>
      <c r="E28" s="12"/>
      <c r="F28" s="12">
        <v>0</v>
      </c>
      <c r="G28" s="42"/>
      <c r="H28" s="43"/>
      <c r="I28" s="17"/>
    </row>
    <row r="29" spans="1:9" x14ac:dyDescent="0.25">
      <c r="A29" s="12" t="s">
        <v>55</v>
      </c>
      <c r="B29" s="12" t="s">
        <v>875</v>
      </c>
      <c r="C29" s="14">
        <v>0</v>
      </c>
      <c r="D29" s="17">
        <v>0.46</v>
      </c>
      <c r="E29" s="12">
        <v>0</v>
      </c>
      <c r="F29" s="12">
        <f>F30</f>
        <v>8.44</v>
      </c>
      <c r="G29" s="15">
        <f>G30</f>
        <v>0</v>
      </c>
      <c r="H29" s="17">
        <f>D29+F29</f>
        <v>8.9</v>
      </c>
      <c r="I29" s="17"/>
    </row>
    <row r="30" spans="1:9" x14ac:dyDescent="0.25">
      <c r="A30" s="9"/>
      <c r="B30" s="9" t="s">
        <v>53</v>
      </c>
      <c r="C30" s="10">
        <v>0</v>
      </c>
      <c r="D30" s="55">
        <v>0</v>
      </c>
      <c r="E30" s="9">
        <v>0</v>
      </c>
      <c r="F30" s="9">
        <v>8.44</v>
      </c>
      <c r="G30" s="8">
        <f>I61</f>
        <v>0</v>
      </c>
      <c r="H30" s="54"/>
      <c r="I30" s="29"/>
    </row>
    <row r="31" spans="1:9" x14ac:dyDescent="0.25">
      <c r="A31" s="9"/>
      <c r="B31" s="11"/>
      <c r="C31" s="10"/>
      <c r="D31" s="29"/>
      <c r="E31" s="10"/>
      <c r="F31" s="9"/>
      <c r="G31" s="10"/>
      <c r="H31" s="29"/>
      <c r="I31" s="35"/>
    </row>
    <row r="32" spans="1:9" x14ac:dyDescent="0.25">
      <c r="A32" s="1" t="s">
        <v>58</v>
      </c>
      <c r="B32" s="1"/>
      <c r="C32" s="1"/>
      <c r="D32" s="47"/>
      <c r="E32" s="1"/>
      <c r="F32" s="1"/>
      <c r="G32" s="60"/>
      <c r="H32" s="37"/>
      <c r="I32" s="37"/>
    </row>
    <row r="33" spans="1:9" x14ac:dyDescent="0.25">
      <c r="A33" s="1"/>
      <c r="B33" s="1"/>
      <c r="C33" s="1"/>
      <c r="D33" s="47"/>
      <c r="E33" s="1"/>
      <c r="F33" s="1"/>
      <c r="G33" s="60"/>
      <c r="H33" s="37"/>
      <c r="I33" s="37"/>
    </row>
    <row r="34" spans="1:9" x14ac:dyDescent="0.25">
      <c r="A34" s="1"/>
      <c r="B34" s="1"/>
      <c r="C34" s="1"/>
      <c r="D34" s="47"/>
      <c r="E34" s="1"/>
      <c r="F34" s="1"/>
      <c r="G34" s="60"/>
      <c r="H34" s="37"/>
      <c r="I34" s="37"/>
    </row>
    <row r="35" spans="1:9" x14ac:dyDescent="0.25">
      <c r="G35" s="2"/>
      <c r="H35" s="2"/>
      <c r="I35" s="2"/>
    </row>
    <row r="36" spans="1:9" x14ac:dyDescent="0.25">
      <c r="A36" s="57" t="s">
        <v>59</v>
      </c>
      <c r="B36" s="48" t="s">
        <v>60</v>
      </c>
      <c r="C36" s="9" t="s">
        <v>61</v>
      </c>
      <c r="D36" s="8" t="s">
        <v>62</v>
      </c>
      <c r="E36" s="8" t="s">
        <v>63</v>
      </c>
      <c r="F36" s="9" t="s">
        <v>61</v>
      </c>
      <c r="G36" s="50"/>
      <c r="H36" s="8" t="s">
        <v>199</v>
      </c>
      <c r="I36" s="50"/>
    </row>
    <row r="37" spans="1:9" x14ac:dyDescent="0.25">
      <c r="A37" s="59"/>
      <c r="B37" s="51"/>
      <c r="C37" s="62" t="s">
        <v>66</v>
      </c>
      <c r="D37" s="8" t="s">
        <v>23</v>
      </c>
      <c r="E37" s="8" t="s">
        <v>67</v>
      </c>
      <c r="F37" s="6" t="s">
        <v>30</v>
      </c>
      <c r="G37" s="49"/>
      <c r="H37" s="74"/>
      <c r="I37" s="53"/>
    </row>
    <row r="38" spans="1:9" x14ac:dyDescent="0.25">
      <c r="A38" s="52"/>
      <c r="B38" s="52" t="s">
        <v>68</v>
      </c>
      <c r="C38" s="54">
        <v>5302.5</v>
      </c>
      <c r="D38" s="40">
        <v>1953</v>
      </c>
      <c r="E38" s="40">
        <f>D38*15%</f>
        <v>292.95</v>
      </c>
      <c r="F38" s="40">
        <f>C38+(D38-E38)</f>
        <v>6962.55</v>
      </c>
      <c r="G38" s="35"/>
      <c r="H38" s="79">
        <f>F38-G38</f>
        <v>6962.55</v>
      </c>
      <c r="I38" s="53"/>
    </row>
    <row r="39" spans="1:9" x14ac:dyDescent="0.25">
      <c r="A39" s="60"/>
      <c r="B39" s="60"/>
      <c r="C39" s="60"/>
      <c r="D39" s="118"/>
      <c r="E39" s="37"/>
      <c r="F39" s="37"/>
      <c r="G39" s="37"/>
      <c r="H39" s="37"/>
      <c r="I39" s="60"/>
    </row>
    <row r="40" spans="1:9" x14ac:dyDescent="0.25">
      <c r="A40" s="5" t="s">
        <v>69</v>
      </c>
      <c r="B40" s="5"/>
      <c r="C40" s="5"/>
      <c r="D40" s="56"/>
      <c r="E40" s="5"/>
      <c r="F40" s="5"/>
      <c r="G40" s="5"/>
      <c r="H40" s="5"/>
      <c r="I40" s="5"/>
    </row>
    <row r="41" spans="1:9" x14ac:dyDescent="0.25">
      <c r="A41" s="1" t="s">
        <v>70</v>
      </c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 t="s">
        <v>71</v>
      </c>
      <c r="B42" s="57" t="s">
        <v>72</v>
      </c>
      <c r="C42" s="6" t="s">
        <v>73</v>
      </c>
      <c r="D42" s="48" t="s">
        <v>74</v>
      </c>
      <c r="E42" s="6" t="s">
        <v>75</v>
      </c>
      <c r="F42" s="58" t="s">
        <v>76</v>
      </c>
      <c r="G42" s="6" t="s">
        <v>77</v>
      </c>
      <c r="H42" s="58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51" t="s">
        <v>81</v>
      </c>
      <c r="E43" s="7" t="s">
        <v>82</v>
      </c>
      <c r="F43" s="60" t="s">
        <v>83</v>
      </c>
      <c r="G43" s="7" t="s">
        <v>84</v>
      </c>
      <c r="H43" s="60" t="s">
        <v>85</v>
      </c>
      <c r="I43" s="7" t="s">
        <v>86</v>
      </c>
    </row>
    <row r="44" spans="1:9" x14ac:dyDescent="0.25">
      <c r="A44" s="7"/>
      <c r="B44" s="51"/>
      <c r="C44" s="7"/>
      <c r="D44" s="51"/>
      <c r="E44" s="7"/>
      <c r="F44" s="60" t="s">
        <v>87</v>
      </c>
      <c r="G44" s="7" t="s">
        <v>88</v>
      </c>
      <c r="H44" s="60"/>
      <c r="I44" s="7" t="s">
        <v>30</v>
      </c>
    </row>
    <row r="45" spans="1:9" x14ac:dyDescent="0.25">
      <c r="A45" s="7"/>
      <c r="B45" s="51"/>
      <c r="C45" s="7"/>
      <c r="D45" s="52"/>
      <c r="E45" s="62"/>
      <c r="F45" s="74"/>
      <c r="G45" s="111"/>
      <c r="H45" s="74"/>
      <c r="I45" s="62" t="s">
        <v>899</v>
      </c>
    </row>
    <row r="46" spans="1:9" x14ac:dyDescent="0.25">
      <c r="A46" s="9">
        <v>1</v>
      </c>
      <c r="B46" s="9" t="s">
        <v>90</v>
      </c>
      <c r="C46" s="42" t="s">
        <v>91</v>
      </c>
      <c r="D46" s="7">
        <v>-119862.61</v>
      </c>
      <c r="E46" s="94">
        <v>449018.78</v>
      </c>
      <c r="F46" s="51">
        <v>453503.14</v>
      </c>
      <c r="G46" s="7">
        <f>E46</f>
        <v>449018.78</v>
      </c>
      <c r="H46" s="7">
        <f>D46+F46-G46</f>
        <v>-115378.25</v>
      </c>
      <c r="I46" s="61">
        <f>H46</f>
        <v>-115378.25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8"/>
      <c r="G47" s="9"/>
      <c r="H47" s="9"/>
      <c r="I47" s="50"/>
    </row>
    <row r="48" spans="1:9" x14ac:dyDescent="0.25">
      <c r="A48" s="9">
        <v>2</v>
      </c>
      <c r="B48" s="9" t="s">
        <v>98</v>
      </c>
      <c r="C48" s="41" t="s">
        <v>203</v>
      </c>
      <c r="D48" s="9">
        <v>-405610.64</v>
      </c>
      <c r="E48" s="10">
        <v>1144319.1499999999</v>
      </c>
      <c r="F48" s="8">
        <v>1147471.55</v>
      </c>
      <c r="G48" s="62">
        <f>E48</f>
        <v>1144319.1499999999</v>
      </c>
      <c r="H48" s="62">
        <f>D48+F48-G48</f>
        <v>-402458.23999999987</v>
      </c>
      <c r="I48" s="50">
        <f>H48</f>
        <v>-402458.23999999987</v>
      </c>
    </row>
    <row r="49" spans="1:9" x14ac:dyDescent="0.25">
      <c r="A49" s="1" t="s">
        <v>100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101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900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901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205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49"/>
      <c r="I54" s="6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/>
      <c r="H55" s="61" t="s">
        <v>71</v>
      </c>
      <c r="I55" s="7" t="s">
        <v>71</v>
      </c>
    </row>
    <row r="56" spans="1:9" x14ac:dyDescent="0.25">
      <c r="A56" s="69" t="s">
        <v>113</v>
      </c>
      <c r="B56" s="70">
        <v>42851</v>
      </c>
      <c r="C56" s="60" t="s">
        <v>259</v>
      </c>
      <c r="D56" s="60"/>
      <c r="E56" s="60"/>
      <c r="F56" s="51"/>
      <c r="G56" s="37">
        <f>I56/3372.7</f>
        <v>3.5579802532095948</v>
      </c>
      <c r="H56" s="61"/>
      <c r="I56" s="7">
        <v>12000</v>
      </c>
    </row>
    <row r="57" spans="1:9" x14ac:dyDescent="0.25">
      <c r="A57" s="69"/>
      <c r="B57" s="7"/>
      <c r="C57" s="5" t="s">
        <v>118</v>
      </c>
      <c r="D57" s="5"/>
      <c r="E57" s="5"/>
      <c r="F57" s="59"/>
      <c r="G57" s="20">
        <f>SUM(G56:G56)</f>
        <v>3.5579802532095948</v>
      </c>
      <c r="H57" s="71"/>
      <c r="I57" s="18">
        <f>SUM(I56:I56)</f>
        <v>12000</v>
      </c>
    </row>
    <row r="58" spans="1:9" x14ac:dyDescent="0.25">
      <c r="A58" s="6"/>
      <c r="B58" s="6"/>
      <c r="C58" s="48"/>
      <c r="D58" s="58"/>
      <c r="E58" s="49"/>
      <c r="F58" s="48"/>
      <c r="G58" s="58"/>
      <c r="H58" s="49"/>
      <c r="I58" s="6"/>
    </row>
    <row r="59" spans="1:9" x14ac:dyDescent="0.25">
      <c r="A59" s="6" t="s">
        <v>48</v>
      </c>
      <c r="B59" s="25" t="s">
        <v>119</v>
      </c>
      <c r="C59" s="57" t="s">
        <v>120</v>
      </c>
      <c r="D59" s="58"/>
      <c r="E59" s="49"/>
      <c r="F59" s="48" t="s">
        <v>121</v>
      </c>
      <c r="G59" s="58"/>
      <c r="H59" s="49"/>
      <c r="I59" s="6"/>
    </row>
    <row r="60" spans="1:9" x14ac:dyDescent="0.25">
      <c r="A60" s="69"/>
      <c r="B60" s="70"/>
      <c r="C60" s="60"/>
      <c r="D60" s="60"/>
      <c r="E60" s="60"/>
      <c r="F60" s="51"/>
      <c r="G60" s="37"/>
      <c r="H60" s="61"/>
      <c r="I60" s="7"/>
    </row>
    <row r="61" spans="1:9" x14ac:dyDescent="0.25">
      <c r="A61" s="73"/>
      <c r="B61" s="62" t="s">
        <v>119</v>
      </c>
      <c r="C61" s="15" t="s">
        <v>118</v>
      </c>
      <c r="D61" s="74"/>
      <c r="E61" s="53"/>
      <c r="F61" s="52" t="s">
        <v>71</v>
      </c>
      <c r="G61" s="78">
        <v>0</v>
      </c>
      <c r="H61" s="85"/>
      <c r="I61" s="12">
        <v>0</v>
      </c>
    </row>
    <row r="62" spans="1:9" x14ac:dyDescent="0.25">
      <c r="A62" s="2"/>
      <c r="B62" s="2"/>
      <c r="C62" s="2" t="s">
        <v>71</v>
      </c>
      <c r="E62" s="2"/>
      <c r="F62" s="2"/>
      <c r="G62" s="2"/>
      <c r="H62" s="2"/>
      <c r="I62" s="2"/>
    </row>
    <row r="63" spans="1:9" x14ac:dyDescent="0.25">
      <c r="A63" s="2" t="s">
        <v>209</v>
      </c>
      <c r="B63" s="2"/>
      <c r="C63" s="2"/>
      <c r="E63" s="2" t="s">
        <v>123</v>
      </c>
      <c r="F63" s="2"/>
      <c r="G63" s="2" t="s">
        <v>124</v>
      </c>
      <c r="H63" s="2" t="s">
        <v>902</v>
      </c>
      <c r="I63" s="2" t="s">
        <v>705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4" zoomScale="110" zoomScaleNormal="110" workbookViewId="0">
      <selection activeCell="H23" sqref="H23:I24"/>
    </sheetView>
  </sheetViews>
  <sheetFormatPr defaultRowHeight="15" x14ac:dyDescent="0.25"/>
  <cols>
    <col min="1" max="1" width="4" style="3" customWidth="1"/>
    <col min="2" max="2" width="31.28515625" style="3" customWidth="1"/>
    <col min="3" max="3" width="14" style="3" customWidth="1"/>
    <col min="4" max="4" width="12.28515625" style="3" customWidth="1"/>
    <col min="5" max="5" width="10.7109375" style="3" customWidth="1"/>
    <col min="6" max="6" width="11.5703125" style="3" customWidth="1"/>
    <col min="7" max="7" width="10.7109375" style="3" customWidth="1"/>
    <col min="8" max="8" width="11.28515625" style="3" customWidth="1"/>
    <col min="9" max="9" width="20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903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904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905</v>
      </c>
      <c r="B8" s="2"/>
      <c r="C8" s="2"/>
      <c r="D8" s="2"/>
      <c r="E8" s="1"/>
      <c r="F8" s="1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906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323</v>
      </c>
      <c r="C18" s="12">
        <v>7.56</v>
      </c>
      <c r="D18" s="17">
        <v>-4952.92</v>
      </c>
      <c r="E18" s="14">
        <v>301653.36</v>
      </c>
      <c r="F18" s="15">
        <v>298698.58</v>
      </c>
      <c r="G18" s="17">
        <f t="shared" ref="G18:G25" si="0">E18</f>
        <v>301653.36</v>
      </c>
      <c r="H18" s="13">
        <f>D18+F18-G18</f>
        <v>-7907.6999999999534</v>
      </c>
      <c r="I18" s="17">
        <f>H18</f>
        <v>-7907.6999999999534</v>
      </c>
    </row>
    <row r="19" spans="1:9" x14ac:dyDescent="0.25">
      <c r="A19" s="231" t="s">
        <v>113</v>
      </c>
      <c r="B19" s="62" t="s">
        <v>37</v>
      </c>
      <c r="C19" s="62">
        <v>2.62</v>
      </c>
      <c r="D19" s="80"/>
      <c r="E19" s="79">
        <f>E18*34.5/100</f>
        <v>104070.40919999999</v>
      </c>
      <c r="F19" s="55">
        <f>F18*34.5/100</f>
        <v>103051.0101</v>
      </c>
      <c r="G19" s="54">
        <f t="shared" si="0"/>
        <v>104070.40919999999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30"/>
      <c r="E20" s="86">
        <f>E18*18/100</f>
        <v>54297.604799999994</v>
      </c>
      <c r="F20" s="105">
        <f>F18*18/100</f>
        <v>53765.744400000003</v>
      </c>
      <c r="G20" s="22">
        <f t="shared" si="0"/>
        <v>54297.604799999994</v>
      </c>
      <c r="H20" s="30"/>
      <c r="I20" s="75"/>
    </row>
    <row r="21" spans="1:9" x14ac:dyDescent="0.25">
      <c r="A21" s="24" t="s">
        <v>40</v>
      </c>
      <c r="B21" s="6" t="s">
        <v>41</v>
      </c>
      <c r="C21" s="6">
        <v>1.22</v>
      </c>
      <c r="D21" s="29"/>
      <c r="E21" s="86">
        <f>E18*16/100</f>
        <v>48264.537599999996</v>
      </c>
      <c r="F21" s="105">
        <f>F18*16/100</f>
        <v>47791.772800000006</v>
      </c>
      <c r="G21" s="29">
        <f t="shared" si="0"/>
        <v>48264.537599999996</v>
      </c>
      <c r="H21" s="29"/>
      <c r="I21" s="75"/>
    </row>
    <row r="22" spans="1:9" x14ac:dyDescent="0.25">
      <c r="A22" s="36" t="s">
        <v>42</v>
      </c>
      <c r="B22" s="9" t="s">
        <v>43</v>
      </c>
      <c r="C22" s="9">
        <v>2.39</v>
      </c>
      <c r="D22" s="35"/>
      <c r="E22" s="39">
        <f>E18*31.5/100</f>
        <v>95020.808399999994</v>
      </c>
      <c r="F22" s="40">
        <f>F18*31.5/100</f>
        <v>94090.052700000015</v>
      </c>
      <c r="G22" s="29">
        <f t="shared" si="0"/>
        <v>95020.808399999994</v>
      </c>
      <c r="H22" s="35"/>
      <c r="I22" s="29"/>
    </row>
    <row r="23" spans="1:9" x14ac:dyDescent="0.25">
      <c r="A23" s="36" t="s">
        <v>44</v>
      </c>
      <c r="B23" s="9" t="s">
        <v>47</v>
      </c>
      <c r="C23" s="9">
        <v>0.66625000000000001</v>
      </c>
      <c r="D23" s="6">
        <v>-55.9</v>
      </c>
      <c r="E23" s="58">
        <v>25532.400000000001</v>
      </c>
      <c r="F23" s="48">
        <v>21526.02</v>
      </c>
      <c r="G23" s="6">
        <f>E23</f>
        <v>25532.400000000001</v>
      </c>
      <c r="H23" s="25">
        <f>D23+F23-G23</f>
        <v>-4062.2800000000025</v>
      </c>
      <c r="I23" s="72">
        <f>H23</f>
        <v>-4062.2800000000025</v>
      </c>
    </row>
    <row r="24" spans="1:9" x14ac:dyDescent="0.25">
      <c r="A24" s="36" t="s">
        <v>356</v>
      </c>
      <c r="B24" s="9" t="s">
        <v>907</v>
      </c>
      <c r="C24" s="9">
        <v>0.52788000000000002</v>
      </c>
      <c r="D24" s="35"/>
      <c r="E24" s="39">
        <v>5499.77</v>
      </c>
      <c r="F24" s="40">
        <v>3225.14</v>
      </c>
      <c r="G24" s="29">
        <f>E24</f>
        <v>5499.77</v>
      </c>
      <c r="H24" s="32">
        <f>F24-E24</f>
        <v>-2274.6300000000006</v>
      </c>
      <c r="I24" s="43">
        <f>H24</f>
        <v>-2274.6300000000006</v>
      </c>
    </row>
    <row r="25" spans="1:9" x14ac:dyDescent="0.25">
      <c r="A25" s="11" t="s">
        <v>48</v>
      </c>
      <c r="B25" s="11" t="s">
        <v>49</v>
      </c>
      <c r="C25" s="11" t="s">
        <v>50</v>
      </c>
      <c r="D25" s="223">
        <v>-4862.9399999999996</v>
      </c>
      <c r="E25" s="11">
        <v>135065.85</v>
      </c>
      <c r="F25" s="42">
        <v>122895.37</v>
      </c>
      <c r="G25" s="43">
        <f t="shared" si="0"/>
        <v>135065.85</v>
      </c>
      <c r="H25" s="223">
        <f>D25+F25-G25</f>
        <v>-17033.420000000013</v>
      </c>
      <c r="I25" s="43">
        <f>H25</f>
        <v>-17033.420000000013</v>
      </c>
    </row>
    <row r="26" spans="1:9" x14ac:dyDescent="0.25">
      <c r="A26" s="12" t="s">
        <v>51</v>
      </c>
      <c r="B26" s="12" t="s">
        <v>459</v>
      </c>
      <c r="C26" s="12">
        <v>1.65</v>
      </c>
      <c r="D26" s="34">
        <v>5355.13</v>
      </c>
      <c r="E26" s="11">
        <v>249917.02</v>
      </c>
      <c r="F26" s="11">
        <v>237355.22</v>
      </c>
      <c r="G26" s="11">
        <f>I60</f>
        <v>286080.65000000002</v>
      </c>
      <c r="H26" s="43">
        <f>D26+F26-G26</f>
        <v>-43370.300000000017</v>
      </c>
      <c r="I26" s="17">
        <f>H26</f>
        <v>-43370.300000000017</v>
      </c>
    </row>
    <row r="27" spans="1:9" x14ac:dyDescent="0.25">
      <c r="A27" s="12"/>
      <c r="B27" s="12" t="s">
        <v>908</v>
      </c>
      <c r="C27" s="14"/>
      <c r="D27" s="16"/>
      <c r="E27" s="14"/>
      <c r="F27" s="12"/>
      <c r="G27" s="15"/>
      <c r="H27" s="17"/>
      <c r="I27" s="17"/>
    </row>
    <row r="28" spans="1:9" x14ac:dyDescent="0.25">
      <c r="A28" s="11" t="s">
        <v>55</v>
      </c>
      <c r="B28" s="11" t="s">
        <v>909</v>
      </c>
      <c r="C28" s="41"/>
      <c r="D28" s="43">
        <v>9093.07</v>
      </c>
      <c r="E28" s="41">
        <f>E29</f>
        <v>0</v>
      </c>
      <c r="F28" s="11">
        <f>F29</f>
        <v>175.26</v>
      </c>
      <c r="G28" s="42">
        <f>I64</f>
        <v>0</v>
      </c>
      <c r="H28" s="43">
        <f>D28+F28-G28</f>
        <v>9268.33</v>
      </c>
      <c r="I28" s="43"/>
    </row>
    <row r="29" spans="1:9" x14ac:dyDescent="0.25">
      <c r="A29" s="9"/>
      <c r="B29" s="9" t="s">
        <v>910</v>
      </c>
      <c r="C29" s="10"/>
      <c r="D29" s="54"/>
      <c r="E29" s="10">
        <v>0</v>
      </c>
      <c r="F29" s="9">
        <v>175.26</v>
      </c>
      <c r="G29" s="8">
        <f>I64</f>
        <v>0</v>
      </c>
      <c r="H29" s="54"/>
      <c r="I29" s="29"/>
    </row>
    <row r="30" spans="1:9" x14ac:dyDescent="0.25">
      <c r="A30" s="1" t="s">
        <v>58</v>
      </c>
      <c r="B30" s="2"/>
      <c r="C30" s="2"/>
      <c r="E30" s="2"/>
      <c r="F30" s="2"/>
      <c r="G30" s="2"/>
      <c r="H30" s="2"/>
      <c r="I30" s="2"/>
    </row>
    <row r="32" spans="1:9" x14ac:dyDescent="0.25">
      <c r="A32" s="57" t="s">
        <v>59</v>
      </c>
      <c r="B32" s="48" t="s">
        <v>60</v>
      </c>
      <c r="C32" s="9" t="s">
        <v>61</v>
      </c>
      <c r="D32" s="9" t="s">
        <v>62</v>
      </c>
      <c r="E32" s="9" t="s">
        <v>507</v>
      </c>
      <c r="F32" s="9" t="s">
        <v>61</v>
      </c>
      <c r="G32" s="9"/>
      <c r="H32" s="8" t="s">
        <v>199</v>
      </c>
      <c r="I32" s="50"/>
    </row>
    <row r="33" spans="1:9" x14ac:dyDescent="0.25">
      <c r="A33" s="59"/>
      <c r="B33" s="51"/>
      <c r="C33" s="62" t="s">
        <v>66</v>
      </c>
      <c r="D33" s="53" t="s">
        <v>23</v>
      </c>
      <c r="E33" s="9" t="s">
        <v>312</v>
      </c>
      <c r="F33" s="9" t="s">
        <v>30</v>
      </c>
      <c r="G33" s="50"/>
      <c r="H33" s="74"/>
      <c r="I33" s="53"/>
    </row>
    <row r="34" spans="1:9" x14ac:dyDescent="0.25">
      <c r="A34" s="52"/>
      <c r="B34" s="52" t="s">
        <v>68</v>
      </c>
      <c r="C34" s="29">
        <v>10900.5</v>
      </c>
      <c r="D34" s="53">
        <v>5553</v>
      </c>
      <c r="E34" s="29">
        <f>D34*15%</f>
        <v>832.94999999999993</v>
      </c>
      <c r="F34" s="29">
        <f>C34+(D34-E34)</f>
        <v>15620.55</v>
      </c>
      <c r="G34" s="35"/>
      <c r="H34" s="79">
        <f>F34-G34</f>
        <v>15620.55</v>
      </c>
      <c r="I34" s="53"/>
    </row>
    <row r="35" spans="1:9" x14ac:dyDescent="0.25">
      <c r="A35" s="60"/>
      <c r="B35" s="60"/>
      <c r="C35" s="37"/>
      <c r="D35" s="60"/>
      <c r="E35" s="37"/>
      <c r="F35" s="37"/>
      <c r="G35" s="37"/>
      <c r="H35" s="37"/>
      <c r="I35" s="60"/>
    </row>
    <row r="36" spans="1:9" x14ac:dyDescent="0.25">
      <c r="A36" s="5" t="s">
        <v>69</v>
      </c>
      <c r="B36" s="5"/>
      <c r="C36" s="5"/>
      <c r="D36" s="56"/>
      <c r="E36" s="5"/>
      <c r="F36" s="5"/>
      <c r="G36" s="5"/>
      <c r="H36" s="5"/>
      <c r="I36" s="5"/>
    </row>
    <row r="37" spans="1:9" x14ac:dyDescent="0.25">
      <c r="A37" s="1" t="s">
        <v>70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6" t="s">
        <v>71</v>
      </c>
      <c r="B38" s="57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77</v>
      </c>
      <c r="H38" s="58" t="s">
        <v>78</v>
      </c>
      <c r="I38" s="6" t="s">
        <v>19</v>
      </c>
    </row>
    <row r="39" spans="1:9" x14ac:dyDescent="0.25">
      <c r="A39" s="7"/>
      <c r="B39" s="59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60" t="s">
        <v>911</v>
      </c>
      <c r="I39" s="7" t="s">
        <v>86</v>
      </c>
    </row>
    <row r="40" spans="1:9" x14ac:dyDescent="0.25">
      <c r="A40" s="7"/>
      <c r="B40" s="51"/>
      <c r="C40" s="7"/>
      <c r="D40" s="60"/>
      <c r="E40" s="7"/>
      <c r="F40" s="60" t="s">
        <v>87</v>
      </c>
      <c r="G40" s="7" t="s">
        <v>88</v>
      </c>
      <c r="H40" s="60" t="s">
        <v>33</v>
      </c>
      <c r="I40" s="7" t="s">
        <v>30</v>
      </c>
    </row>
    <row r="41" spans="1:9" x14ac:dyDescent="0.25">
      <c r="A41" s="7"/>
      <c r="B41" s="51"/>
      <c r="C41" s="7"/>
      <c r="D41" s="60"/>
      <c r="E41" s="7"/>
      <c r="F41" s="60"/>
      <c r="G41" s="111"/>
      <c r="H41" s="60"/>
      <c r="I41" s="7" t="s">
        <v>899</v>
      </c>
    </row>
    <row r="42" spans="1:9" x14ac:dyDescent="0.25">
      <c r="A42" s="9">
        <v>1</v>
      </c>
      <c r="B42" s="9" t="s">
        <v>90</v>
      </c>
      <c r="C42" s="42" t="s">
        <v>91</v>
      </c>
      <c r="D42" s="9">
        <v>-45896.37</v>
      </c>
      <c r="E42" s="95">
        <v>468072.47</v>
      </c>
      <c r="F42" s="8">
        <v>433374.46</v>
      </c>
      <c r="G42" s="9">
        <f>E42</f>
        <v>468072.47</v>
      </c>
      <c r="H42" s="9">
        <f>D42+F42-G42</f>
        <v>-80594.379999999946</v>
      </c>
      <c r="I42" s="50">
        <f>H42</f>
        <v>-80594.379999999946</v>
      </c>
    </row>
    <row r="43" spans="1:9" x14ac:dyDescent="0.25">
      <c r="A43" s="9"/>
      <c r="B43" s="9" t="s">
        <v>700</v>
      </c>
      <c r="C43" s="41" t="s">
        <v>93</v>
      </c>
      <c r="D43" s="9"/>
      <c r="E43" s="65"/>
      <c r="F43" s="8"/>
      <c r="G43" s="62"/>
      <c r="H43" s="62"/>
      <c r="I43" s="50"/>
    </row>
    <row r="44" spans="1:9" x14ac:dyDescent="0.25">
      <c r="A44" s="9">
        <v>2</v>
      </c>
      <c r="B44" s="9" t="s">
        <v>98</v>
      </c>
      <c r="C44" s="41" t="s">
        <v>203</v>
      </c>
      <c r="D44" s="9">
        <v>-326297.78999999998</v>
      </c>
      <c r="E44" s="10">
        <v>1006948.05</v>
      </c>
      <c r="F44" s="8">
        <v>986226.42</v>
      </c>
      <c r="G44" s="62">
        <f>E44</f>
        <v>1006948.05</v>
      </c>
      <c r="H44" s="62">
        <f>D44+F44-G44</f>
        <v>-347019.41999999993</v>
      </c>
      <c r="I44" s="50">
        <f>H44</f>
        <v>-347019.41999999993</v>
      </c>
    </row>
    <row r="45" spans="1:9" x14ac:dyDescent="0.25">
      <c r="A45" s="1" t="s">
        <v>100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5" t="s">
        <v>101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8" t="s">
        <v>12</v>
      </c>
      <c r="B47" s="6" t="s">
        <v>102</v>
      </c>
      <c r="C47" s="58" t="s">
        <v>103</v>
      </c>
      <c r="D47" s="58"/>
      <c r="E47" s="58"/>
      <c r="F47" s="48" t="s">
        <v>900</v>
      </c>
      <c r="G47" s="58"/>
      <c r="H47" s="49"/>
      <c r="I47" s="6" t="s">
        <v>105</v>
      </c>
    </row>
    <row r="48" spans="1:9" x14ac:dyDescent="0.25">
      <c r="A48" s="51" t="s">
        <v>106</v>
      </c>
      <c r="B48" s="7"/>
      <c r="C48" s="60"/>
      <c r="D48" s="60"/>
      <c r="E48" s="60"/>
      <c r="F48" s="51" t="s">
        <v>901</v>
      </c>
      <c r="G48" s="60"/>
      <c r="H48" s="61"/>
      <c r="I48" s="7" t="s">
        <v>108</v>
      </c>
    </row>
    <row r="49" spans="1:9" x14ac:dyDescent="0.25">
      <c r="A49" s="51"/>
      <c r="B49" s="62"/>
      <c r="C49" s="60"/>
      <c r="D49" s="60"/>
      <c r="E49" s="60"/>
      <c r="F49" s="51" t="s">
        <v>205</v>
      </c>
      <c r="G49" s="60"/>
      <c r="H49" s="61"/>
      <c r="I49" s="7"/>
    </row>
    <row r="50" spans="1:9" x14ac:dyDescent="0.25">
      <c r="A50" s="67" t="s">
        <v>110</v>
      </c>
      <c r="B50" s="59"/>
      <c r="C50" s="57" t="s">
        <v>111</v>
      </c>
      <c r="D50" s="68"/>
      <c r="E50" s="72"/>
      <c r="F50" s="48"/>
      <c r="G50" s="58"/>
      <c r="H50" s="49"/>
      <c r="I50" s="6"/>
    </row>
    <row r="51" spans="1:9" x14ac:dyDescent="0.25">
      <c r="A51" s="69"/>
      <c r="B51" s="51"/>
      <c r="C51" s="51" t="s">
        <v>112</v>
      </c>
      <c r="D51" s="60"/>
      <c r="E51" s="61"/>
      <c r="F51" s="51" t="s">
        <v>71</v>
      </c>
      <c r="G51" s="37"/>
      <c r="H51" s="61" t="s">
        <v>71</v>
      </c>
      <c r="I51" s="7"/>
    </row>
    <row r="52" spans="1:9" x14ac:dyDescent="0.25">
      <c r="A52" s="69" t="s">
        <v>113</v>
      </c>
      <c r="B52" s="195">
        <v>42825</v>
      </c>
      <c r="C52" s="51" t="s">
        <v>912</v>
      </c>
      <c r="D52" s="60"/>
      <c r="E52" s="61"/>
      <c r="F52" s="51"/>
      <c r="G52" s="37">
        <f>I52/3325.1</f>
        <v>3.8000421039968724</v>
      </c>
      <c r="H52" s="61"/>
      <c r="I52" s="7">
        <v>12635.52</v>
      </c>
    </row>
    <row r="53" spans="1:9" x14ac:dyDescent="0.25">
      <c r="A53" s="69" t="s">
        <v>38</v>
      </c>
      <c r="B53" s="83">
        <v>42851</v>
      </c>
      <c r="C53" s="51" t="s">
        <v>259</v>
      </c>
      <c r="D53" s="60"/>
      <c r="E53" s="61"/>
      <c r="F53" s="38"/>
      <c r="G53" s="37">
        <f t="shared" ref="G53:G59" si="1">I53/3325.1</f>
        <v>4.691588222910589</v>
      </c>
      <c r="H53" s="61"/>
      <c r="I53" s="7">
        <v>15600</v>
      </c>
    </row>
    <row r="54" spans="1:9" x14ac:dyDescent="0.25">
      <c r="A54" s="69" t="s">
        <v>40</v>
      </c>
      <c r="B54" s="83">
        <v>42922</v>
      </c>
      <c r="C54" s="51" t="s">
        <v>913</v>
      </c>
      <c r="D54" s="60"/>
      <c r="E54" s="61"/>
      <c r="F54" s="38"/>
      <c r="G54" s="37">
        <f t="shared" si="1"/>
        <v>53.640489007849389</v>
      </c>
      <c r="H54" s="61"/>
      <c r="I54" s="7">
        <v>178359.99</v>
      </c>
    </row>
    <row r="55" spans="1:9" x14ac:dyDescent="0.25">
      <c r="A55" s="69" t="s">
        <v>42</v>
      </c>
      <c r="B55" s="83">
        <v>42942</v>
      </c>
      <c r="C55" s="51" t="s">
        <v>914</v>
      </c>
      <c r="D55" s="60"/>
      <c r="E55" s="61"/>
      <c r="F55" s="38"/>
      <c r="G55" s="37">
        <f t="shared" si="1"/>
        <v>7.5203753270578328</v>
      </c>
      <c r="H55" s="61"/>
      <c r="I55" s="7">
        <v>25006</v>
      </c>
    </row>
    <row r="56" spans="1:9" x14ac:dyDescent="0.25">
      <c r="A56" s="69" t="s">
        <v>44</v>
      </c>
      <c r="B56" s="83">
        <v>43008</v>
      </c>
      <c r="C56" s="51" t="s">
        <v>807</v>
      </c>
      <c r="D56" s="60"/>
      <c r="E56" s="61"/>
      <c r="F56" s="38"/>
      <c r="G56" s="37">
        <f t="shared" si="1"/>
        <v>11.826173648912814</v>
      </c>
      <c r="H56" s="61"/>
      <c r="I56" s="7">
        <v>39323.21</v>
      </c>
    </row>
    <row r="57" spans="1:9" x14ac:dyDescent="0.25">
      <c r="A57" s="69" t="s">
        <v>46</v>
      </c>
      <c r="B57" s="83">
        <v>43042</v>
      </c>
      <c r="C57" s="51" t="s">
        <v>116</v>
      </c>
      <c r="D57" s="60"/>
      <c r="E57" s="61"/>
      <c r="F57" s="38"/>
      <c r="G57" s="37">
        <f t="shared" si="1"/>
        <v>0.66163423656431386</v>
      </c>
      <c r="H57" s="61"/>
      <c r="I57" s="7">
        <v>2200</v>
      </c>
    </row>
    <row r="58" spans="1:9" x14ac:dyDescent="0.25">
      <c r="A58" s="69" t="s">
        <v>356</v>
      </c>
      <c r="B58" s="83">
        <v>43069</v>
      </c>
      <c r="C58" s="51" t="s">
        <v>915</v>
      </c>
      <c r="D58" s="60"/>
      <c r="E58" s="61"/>
      <c r="F58" s="38"/>
      <c r="G58" s="37">
        <f t="shared" si="1"/>
        <v>3.107696009142582</v>
      </c>
      <c r="H58" s="61"/>
      <c r="I58" s="7">
        <v>10333.4</v>
      </c>
    </row>
    <row r="59" spans="1:9" x14ac:dyDescent="0.25">
      <c r="A59" s="69" t="s">
        <v>358</v>
      </c>
      <c r="B59" s="83">
        <v>43069</v>
      </c>
      <c r="C59" s="51" t="s">
        <v>795</v>
      </c>
      <c r="D59" s="60"/>
      <c r="E59" s="61"/>
      <c r="F59" s="38"/>
      <c r="G59" s="37">
        <f t="shared" si="1"/>
        <v>0.78870710655318643</v>
      </c>
      <c r="H59" s="61"/>
      <c r="I59" s="7">
        <v>2622.53</v>
      </c>
    </row>
    <row r="60" spans="1:9" x14ac:dyDescent="0.25">
      <c r="A60" s="69"/>
      <c r="B60" s="51"/>
      <c r="C60" s="15" t="s">
        <v>118</v>
      </c>
      <c r="D60" s="14"/>
      <c r="E60" s="85"/>
      <c r="F60" s="59"/>
      <c r="G60" s="20">
        <f>SUM(G52:G59)</f>
        <v>86.036705662987586</v>
      </c>
      <c r="H60" s="71"/>
      <c r="I60" s="18">
        <f>SUM(I52:I59)</f>
        <v>286080.65000000002</v>
      </c>
    </row>
    <row r="61" spans="1:9" x14ac:dyDescent="0.25">
      <c r="A61" s="6"/>
      <c r="B61" s="6"/>
      <c r="C61" s="48"/>
      <c r="D61" s="58"/>
      <c r="E61" s="49"/>
      <c r="F61" s="48"/>
      <c r="G61" s="58"/>
      <c r="H61" s="49"/>
      <c r="I61" s="6"/>
    </row>
    <row r="62" spans="1:9" x14ac:dyDescent="0.25">
      <c r="A62" s="6" t="s">
        <v>48</v>
      </c>
      <c r="B62" s="57" t="s">
        <v>119</v>
      </c>
      <c r="C62" s="57" t="s">
        <v>120</v>
      </c>
      <c r="D62" s="58"/>
      <c r="E62" s="49"/>
      <c r="F62" s="48" t="s">
        <v>121</v>
      </c>
      <c r="G62" s="232"/>
      <c r="H62" s="49"/>
      <c r="I62" s="6"/>
    </row>
    <row r="63" spans="1:9" x14ac:dyDescent="0.25">
      <c r="A63" s="69" t="s">
        <v>182</v>
      </c>
      <c r="B63" s="83"/>
      <c r="C63" s="51"/>
      <c r="D63" s="60"/>
      <c r="E63" s="61"/>
      <c r="F63" s="38"/>
      <c r="G63" s="125"/>
      <c r="H63" s="61"/>
      <c r="I63" s="7"/>
    </row>
    <row r="64" spans="1:9" x14ac:dyDescent="0.25">
      <c r="A64" s="62"/>
      <c r="B64" s="15"/>
      <c r="C64" s="15" t="s">
        <v>118</v>
      </c>
      <c r="D64" s="14"/>
      <c r="E64" s="85"/>
      <c r="F64" s="16"/>
      <c r="G64" s="136">
        <f>SUM(G63:G63)</f>
        <v>0</v>
      </c>
      <c r="H64" s="85"/>
      <c r="I64" s="12">
        <f>SUM(I63:I63)</f>
        <v>0</v>
      </c>
    </row>
    <row r="65" spans="1:9" x14ac:dyDescent="0.25">
      <c r="A65" s="2"/>
      <c r="B65" s="2"/>
      <c r="C65" s="2" t="s">
        <v>71</v>
      </c>
      <c r="E65" s="2"/>
      <c r="F65" s="2"/>
      <c r="G65" s="2"/>
      <c r="H65" s="2"/>
      <c r="I65" s="2"/>
    </row>
    <row r="66" spans="1:9" x14ac:dyDescent="0.25">
      <c r="A66" s="2" t="s">
        <v>916</v>
      </c>
      <c r="B66" s="2"/>
      <c r="C66" s="2" t="s">
        <v>451</v>
      </c>
      <c r="D66" s="2" t="s">
        <v>123</v>
      </c>
      <c r="E66" s="2"/>
      <c r="F66" s="2" t="s">
        <v>124</v>
      </c>
      <c r="G66" s="2" t="s">
        <v>71</v>
      </c>
      <c r="H66" s="2" t="s">
        <v>125</v>
      </c>
      <c r="I66" s="2" t="s">
        <v>126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="110" zoomScaleNormal="110" workbookViewId="0">
      <selection activeCell="B9" sqref="B9"/>
    </sheetView>
  </sheetViews>
  <sheetFormatPr defaultRowHeight="15" x14ac:dyDescent="0.25"/>
  <cols>
    <col min="1" max="1" width="5.5703125" style="3" customWidth="1"/>
    <col min="2" max="2" width="29.5703125" style="3" customWidth="1"/>
    <col min="3" max="3" width="12.28515625" style="3" customWidth="1"/>
    <col min="4" max="4" width="11.28515625" style="3" customWidth="1"/>
    <col min="5" max="7" width="9.140625" style="3"/>
    <col min="8" max="8" width="13" style="3" customWidth="1"/>
    <col min="9" max="9" width="19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917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918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919</v>
      </c>
      <c r="B8" s="2"/>
      <c r="C8" s="2"/>
      <c r="D8" s="2"/>
      <c r="E8" s="1"/>
      <c r="F8" s="1"/>
      <c r="G8" s="2"/>
      <c r="H8" s="2"/>
      <c r="I8" s="2"/>
    </row>
    <row r="9" spans="1:9" x14ac:dyDescent="0.25">
      <c r="A9" s="2" t="s">
        <v>920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518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519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921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 t="s">
        <v>110</v>
      </c>
      <c r="B18" s="12" t="s">
        <v>323</v>
      </c>
      <c r="C18" s="11">
        <v>7.56</v>
      </c>
      <c r="D18" s="17">
        <v>-35106.839999999997</v>
      </c>
      <c r="E18" s="14">
        <v>296687.69</v>
      </c>
      <c r="F18" s="15">
        <v>289737.65000000002</v>
      </c>
      <c r="G18" s="17">
        <f t="shared" ref="G18:G24" si="0">E18</f>
        <v>296687.69</v>
      </c>
      <c r="H18" s="13">
        <f>D18+F18-G18</f>
        <v>-42056.879999999976</v>
      </c>
      <c r="I18" s="17">
        <f>H18</f>
        <v>-42056.879999999976</v>
      </c>
    </row>
    <row r="19" spans="1:9" x14ac:dyDescent="0.25">
      <c r="A19" s="73" t="s">
        <v>113</v>
      </c>
      <c r="B19" s="62" t="s">
        <v>37</v>
      </c>
      <c r="C19" s="62">
        <v>2.62</v>
      </c>
      <c r="D19" s="54"/>
      <c r="E19" s="79">
        <f>E18*34.5/100</f>
        <v>102357.25305</v>
      </c>
      <c r="F19" s="55">
        <f>F18*34.5/100</f>
        <v>99959.489250000013</v>
      </c>
      <c r="G19" s="54">
        <f t="shared" si="0"/>
        <v>102357.25305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86">
        <f>E18*18/100</f>
        <v>53403.784200000002</v>
      </c>
      <c r="F20" s="105">
        <f>F18*18/100</f>
        <v>52152.777000000002</v>
      </c>
      <c r="G20" s="22">
        <f t="shared" si="0"/>
        <v>53403.784200000002</v>
      </c>
      <c r="H20" s="30"/>
      <c r="I20" s="75"/>
    </row>
    <row r="21" spans="1:9" x14ac:dyDescent="0.25">
      <c r="A21" s="24" t="s">
        <v>40</v>
      </c>
      <c r="B21" s="6" t="s">
        <v>41</v>
      </c>
      <c r="C21" s="6">
        <v>1.22</v>
      </c>
      <c r="D21" s="75"/>
      <c r="E21" s="86">
        <f>E18*16%</f>
        <v>47470.030400000003</v>
      </c>
      <c r="F21" s="105">
        <f>F18*16/100</f>
        <v>46358.024000000005</v>
      </c>
      <c r="G21" s="29">
        <f t="shared" si="0"/>
        <v>47470.030400000003</v>
      </c>
      <c r="H21" s="35"/>
      <c r="I21" s="75"/>
    </row>
    <row r="22" spans="1:9" x14ac:dyDescent="0.25">
      <c r="A22" s="24" t="s">
        <v>42</v>
      </c>
      <c r="B22" s="6" t="s">
        <v>43</v>
      </c>
      <c r="C22" s="6">
        <v>2.39</v>
      </c>
      <c r="D22" s="75"/>
      <c r="E22" s="86">
        <f>E18*31.5/100</f>
        <v>93456.622349999991</v>
      </c>
      <c r="F22" s="105">
        <f>F18*31.5/100</f>
        <v>91267.359750000018</v>
      </c>
      <c r="G22" s="22">
        <f t="shared" si="0"/>
        <v>93456.622349999991</v>
      </c>
      <c r="H22" s="23"/>
      <c r="I22" s="75"/>
    </row>
    <row r="23" spans="1:9" x14ac:dyDescent="0.25">
      <c r="A23" s="24" t="s">
        <v>44</v>
      </c>
      <c r="B23" s="6" t="s">
        <v>47</v>
      </c>
      <c r="C23" s="6">
        <v>0.68869999999999998</v>
      </c>
      <c r="D23" s="6">
        <v>-741.64</v>
      </c>
      <c r="E23" s="58">
        <v>24915.62</v>
      </c>
      <c r="F23" s="48">
        <v>21416.31</v>
      </c>
      <c r="G23" s="9">
        <f>E23</f>
        <v>24915.62</v>
      </c>
      <c r="H23" s="11">
        <f>D23+F23-G23</f>
        <v>-4240.9499999999971</v>
      </c>
      <c r="I23" s="72">
        <f>H23</f>
        <v>-4240.9499999999971</v>
      </c>
    </row>
    <row r="24" spans="1:9" x14ac:dyDescent="0.25">
      <c r="A24" s="11" t="s">
        <v>48</v>
      </c>
      <c r="B24" s="11" t="s">
        <v>49</v>
      </c>
      <c r="C24" s="11" t="s">
        <v>50</v>
      </c>
      <c r="D24" s="43">
        <v>-16817.419999999998</v>
      </c>
      <c r="E24" s="41">
        <v>132941.1</v>
      </c>
      <c r="F24" s="42">
        <v>123806.64</v>
      </c>
      <c r="G24" s="43">
        <f t="shared" si="0"/>
        <v>132941.1</v>
      </c>
      <c r="H24" s="223">
        <f>D24+F24-G24</f>
        <v>-25951.880000000005</v>
      </c>
      <c r="I24" s="43">
        <f>H24</f>
        <v>-25951.880000000005</v>
      </c>
    </row>
    <row r="25" spans="1:9" x14ac:dyDescent="0.25">
      <c r="A25" s="18" t="s">
        <v>51</v>
      </c>
      <c r="B25" s="18" t="s">
        <v>195</v>
      </c>
      <c r="C25" s="18">
        <v>1.65</v>
      </c>
      <c r="D25" s="43">
        <v>58226.43</v>
      </c>
      <c r="E25" s="18">
        <v>64705.54</v>
      </c>
      <c r="F25" s="71">
        <f>F26+F27</f>
        <v>64557.43</v>
      </c>
      <c r="G25" s="18">
        <f>I56</f>
        <v>37110.050000000003</v>
      </c>
      <c r="H25" s="21">
        <f>D25+F25-G25</f>
        <v>85673.81</v>
      </c>
      <c r="I25" s="17"/>
    </row>
    <row r="26" spans="1:9" x14ac:dyDescent="0.25">
      <c r="A26" s="11"/>
      <c r="B26" s="9" t="s">
        <v>53</v>
      </c>
      <c r="C26" s="11"/>
      <c r="D26" s="13"/>
      <c r="E26" s="11"/>
      <c r="F26" s="46">
        <v>63234.66</v>
      </c>
      <c r="G26" s="42">
        <f>I56</f>
        <v>37110.050000000003</v>
      </c>
      <c r="H26" s="43"/>
      <c r="I26" s="13"/>
    </row>
    <row r="27" spans="1:9" x14ac:dyDescent="0.25">
      <c r="A27" s="12"/>
      <c r="B27" s="9" t="s">
        <v>54</v>
      </c>
      <c r="C27" s="12"/>
      <c r="D27" s="13"/>
      <c r="E27" s="12"/>
      <c r="F27" s="85">
        <v>1322.77</v>
      </c>
      <c r="G27" s="11"/>
      <c r="H27" s="43"/>
      <c r="I27" s="13"/>
    </row>
    <row r="28" spans="1:9" x14ac:dyDescent="0.25">
      <c r="A28" s="11" t="s">
        <v>55</v>
      </c>
      <c r="B28" s="11" t="s">
        <v>146</v>
      </c>
      <c r="C28" s="11"/>
      <c r="D28" s="32"/>
      <c r="E28" s="11"/>
      <c r="F28" s="46"/>
      <c r="G28" s="42"/>
      <c r="H28" s="43"/>
      <c r="I28" s="32"/>
    </row>
    <row r="29" spans="1:9" x14ac:dyDescent="0.25">
      <c r="A29" s="12"/>
      <c r="B29" s="12" t="s">
        <v>922</v>
      </c>
      <c r="C29" s="12">
        <v>0</v>
      </c>
      <c r="D29" s="13">
        <v>-3056.76</v>
      </c>
      <c r="E29" s="12">
        <v>0</v>
      </c>
      <c r="F29" s="85">
        <v>0</v>
      </c>
      <c r="G29" s="15">
        <v>0</v>
      </c>
      <c r="H29" s="17">
        <f>D29+F29</f>
        <v>-3056.76</v>
      </c>
      <c r="I29" s="13">
        <f>H29</f>
        <v>-3056.76</v>
      </c>
    </row>
    <row r="30" spans="1:9" x14ac:dyDescent="0.25">
      <c r="A30" s="9"/>
      <c r="B30" s="9" t="s">
        <v>53</v>
      </c>
      <c r="C30" s="9">
        <v>0</v>
      </c>
      <c r="D30" s="35"/>
      <c r="E30" s="9">
        <v>0</v>
      </c>
      <c r="F30" s="50"/>
      <c r="G30" s="8">
        <v>0</v>
      </c>
      <c r="H30" s="54"/>
      <c r="I30" s="35"/>
    </row>
    <row r="31" spans="1:9" x14ac:dyDescent="0.25">
      <c r="A31" s="1" t="s">
        <v>58</v>
      </c>
      <c r="B31" s="1"/>
      <c r="C31" s="1"/>
      <c r="D31" s="47"/>
      <c r="E31" s="1"/>
      <c r="F31" s="1"/>
      <c r="G31" s="60"/>
      <c r="H31" s="37"/>
      <c r="I31" s="37"/>
    </row>
    <row r="32" spans="1:9" x14ac:dyDescent="0.25">
      <c r="A32" s="1"/>
      <c r="B32" s="1"/>
      <c r="C32" s="1"/>
      <c r="D32" s="47"/>
      <c r="E32" s="1"/>
      <c r="F32" s="1"/>
      <c r="G32" s="60"/>
      <c r="H32" s="37"/>
      <c r="I32" s="37"/>
    </row>
    <row r="33" spans="1:9" x14ac:dyDescent="0.25">
      <c r="A33" s="48" t="s">
        <v>59</v>
      </c>
      <c r="B33" s="48" t="s">
        <v>60</v>
      </c>
      <c r="C33" s="9" t="s">
        <v>61</v>
      </c>
      <c r="D33" s="9" t="s">
        <v>62</v>
      </c>
      <c r="E33" s="10" t="s">
        <v>507</v>
      </c>
      <c r="F33" s="9" t="s">
        <v>61</v>
      </c>
      <c r="G33" s="9"/>
      <c r="H33" s="8" t="s">
        <v>199</v>
      </c>
      <c r="I33" s="50"/>
    </row>
    <row r="34" spans="1:9" x14ac:dyDescent="0.25">
      <c r="A34" s="51"/>
      <c r="B34" s="51"/>
      <c r="C34" s="62" t="s">
        <v>66</v>
      </c>
      <c r="D34" s="53" t="s">
        <v>23</v>
      </c>
      <c r="E34" s="8" t="s">
        <v>312</v>
      </c>
      <c r="F34" s="62" t="s">
        <v>30</v>
      </c>
      <c r="G34" s="9"/>
      <c r="H34" s="74"/>
      <c r="I34" s="53"/>
    </row>
    <row r="35" spans="1:9" x14ac:dyDescent="0.25">
      <c r="A35" s="52"/>
      <c r="B35" s="52" t="s">
        <v>68</v>
      </c>
      <c r="C35" s="54">
        <v>10900.5</v>
      </c>
      <c r="D35" s="53">
        <v>5553</v>
      </c>
      <c r="E35" s="40">
        <f>D35*15%</f>
        <v>832.94999999999993</v>
      </c>
      <c r="F35" s="29">
        <f>C35+(D35-E35)</f>
        <v>15620.55</v>
      </c>
      <c r="G35" s="29"/>
      <c r="H35" s="79">
        <f>F35-G35</f>
        <v>15620.55</v>
      </c>
      <c r="I35" s="53"/>
    </row>
    <row r="36" spans="1:9" x14ac:dyDescent="0.25">
      <c r="A36" s="60"/>
      <c r="B36" s="60"/>
      <c r="C36" s="60"/>
      <c r="D36" s="118"/>
      <c r="E36" s="37"/>
      <c r="F36" s="37"/>
      <c r="G36" s="37"/>
      <c r="H36" s="37"/>
      <c r="I36" s="60"/>
    </row>
    <row r="37" spans="1:9" x14ac:dyDescent="0.25">
      <c r="A37" s="5" t="s">
        <v>69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1" t="s">
        <v>70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4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51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52"/>
      <c r="E41" s="62"/>
      <c r="F41" s="74" t="s">
        <v>87</v>
      </c>
      <c r="G41" s="62" t="s">
        <v>88</v>
      </c>
      <c r="H41" s="74"/>
      <c r="I41" s="62" t="s">
        <v>239</v>
      </c>
    </row>
    <row r="42" spans="1:9" x14ac:dyDescent="0.25">
      <c r="A42" s="9">
        <v>1</v>
      </c>
      <c r="B42" s="9" t="s">
        <v>90</v>
      </c>
      <c r="C42" s="42" t="s">
        <v>91</v>
      </c>
      <c r="D42" s="7">
        <v>-76090.720000000001</v>
      </c>
      <c r="E42" s="81">
        <v>393489.61</v>
      </c>
      <c r="F42" s="52">
        <v>383395.88</v>
      </c>
      <c r="G42" s="62">
        <f>E42</f>
        <v>393489.61</v>
      </c>
      <c r="H42" s="62">
        <f>D42+F42-G42</f>
        <v>-86184.449999999953</v>
      </c>
      <c r="I42" s="61">
        <f>H42</f>
        <v>-86184.449999999953</v>
      </c>
    </row>
    <row r="43" spans="1:9" x14ac:dyDescent="0.25">
      <c r="A43" s="9"/>
      <c r="B43" s="9" t="s">
        <v>923</v>
      </c>
      <c r="C43" s="41" t="s">
        <v>93</v>
      </c>
      <c r="D43" s="9"/>
      <c r="E43" s="65"/>
      <c r="F43" s="8"/>
      <c r="G43" s="62"/>
      <c r="H43" s="62"/>
      <c r="I43" s="9"/>
    </row>
    <row r="44" spans="1:9" x14ac:dyDescent="0.25">
      <c r="A44" s="9">
        <v>2</v>
      </c>
      <c r="B44" s="9" t="s">
        <v>98</v>
      </c>
      <c r="C44" s="41" t="s">
        <v>203</v>
      </c>
      <c r="D44" s="9">
        <v>-381861.42</v>
      </c>
      <c r="E44" s="10">
        <v>1148600.67</v>
      </c>
      <c r="F44" s="8">
        <v>1111697.0900000001</v>
      </c>
      <c r="G44" s="62">
        <f>E44</f>
        <v>1148600.67</v>
      </c>
      <c r="H44" s="62">
        <f>D44+F44-G44</f>
        <v>-418764.99999999977</v>
      </c>
      <c r="I44" s="50">
        <f>H44</f>
        <v>-418764.99999999977</v>
      </c>
    </row>
    <row r="45" spans="1:9" x14ac:dyDescent="0.25">
      <c r="A45" s="1" t="s">
        <v>100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5" t="s">
        <v>101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8" t="s">
        <v>12</v>
      </c>
      <c r="B47" s="6" t="s">
        <v>102</v>
      </c>
      <c r="C47" s="58" t="s">
        <v>103</v>
      </c>
      <c r="D47" s="58"/>
      <c r="E47" s="58"/>
      <c r="F47" s="48" t="s">
        <v>398</v>
      </c>
      <c r="G47" s="58"/>
      <c r="H47" s="49"/>
      <c r="I47" s="6" t="s">
        <v>105</v>
      </c>
    </row>
    <row r="48" spans="1:9" x14ac:dyDescent="0.25">
      <c r="A48" s="51" t="s">
        <v>106</v>
      </c>
      <c r="B48" s="7"/>
      <c r="C48" s="60"/>
      <c r="D48" s="60"/>
      <c r="E48" s="60"/>
      <c r="F48" s="51" t="s">
        <v>884</v>
      </c>
      <c r="G48" s="60"/>
      <c r="H48" s="61"/>
      <c r="I48" s="7" t="s">
        <v>108</v>
      </c>
    </row>
    <row r="49" spans="1:9" x14ac:dyDescent="0.25">
      <c r="A49" s="51"/>
      <c r="B49" s="62"/>
      <c r="C49" s="60"/>
      <c r="D49" s="60"/>
      <c r="E49" s="60"/>
      <c r="F49" s="51" t="s">
        <v>258</v>
      </c>
      <c r="G49" s="60"/>
      <c r="H49" s="61"/>
      <c r="I49" s="7"/>
    </row>
    <row r="50" spans="1:9" x14ac:dyDescent="0.25">
      <c r="A50" s="67" t="s">
        <v>110</v>
      </c>
      <c r="B50" s="18"/>
      <c r="C50" s="68" t="s">
        <v>111</v>
      </c>
      <c r="D50" s="68"/>
      <c r="E50" s="68"/>
      <c r="F50" s="48"/>
      <c r="G50" s="58"/>
      <c r="H50" s="49"/>
      <c r="I50" s="6"/>
    </row>
    <row r="51" spans="1:9" x14ac:dyDescent="0.25">
      <c r="A51" s="69"/>
      <c r="B51" s="7"/>
      <c r="C51" s="60" t="s">
        <v>112</v>
      </c>
      <c r="D51" s="60"/>
      <c r="E51" s="60"/>
      <c r="F51" s="51" t="s">
        <v>71</v>
      </c>
      <c r="G51" s="37"/>
      <c r="H51" s="61" t="s">
        <v>71</v>
      </c>
      <c r="I51" s="7" t="s">
        <v>71</v>
      </c>
    </row>
    <row r="52" spans="1:9" x14ac:dyDescent="0.25">
      <c r="A52" s="69" t="s">
        <v>924</v>
      </c>
      <c r="B52" s="70">
        <v>42851</v>
      </c>
      <c r="C52" s="60" t="s">
        <v>259</v>
      </c>
      <c r="D52" s="60"/>
      <c r="E52" s="60"/>
      <c r="F52" s="51"/>
      <c r="G52" s="37">
        <f>I52/3381.4</f>
        <v>5.2640917962973912</v>
      </c>
      <c r="H52" s="61"/>
      <c r="I52" s="7">
        <v>17800</v>
      </c>
    </row>
    <row r="53" spans="1:9" x14ac:dyDescent="0.25">
      <c r="A53" s="69" t="s">
        <v>38</v>
      </c>
      <c r="B53" s="70">
        <v>43039</v>
      </c>
      <c r="C53" s="60" t="s">
        <v>925</v>
      </c>
      <c r="D53" s="60"/>
      <c r="E53" s="60"/>
      <c r="F53" s="51"/>
      <c r="G53" s="37">
        <f>I53/3381.4</f>
        <v>1.2123913172058911</v>
      </c>
      <c r="H53" s="61"/>
      <c r="I53" s="7">
        <v>4099.58</v>
      </c>
    </row>
    <row r="54" spans="1:9" x14ac:dyDescent="0.25">
      <c r="A54" s="69" t="s">
        <v>40</v>
      </c>
      <c r="B54" s="70">
        <v>43039</v>
      </c>
      <c r="C54" s="60" t="s">
        <v>926</v>
      </c>
      <c r="D54" s="60"/>
      <c r="E54" s="60"/>
      <c r="F54" s="51"/>
      <c r="G54" s="37">
        <f>I54/3381.4</f>
        <v>4.4982758620689651</v>
      </c>
      <c r="H54" s="61"/>
      <c r="I54" s="7">
        <v>15210.47</v>
      </c>
    </row>
    <row r="55" spans="1:9" x14ac:dyDescent="0.25">
      <c r="A55" s="69"/>
      <c r="B55" s="70"/>
      <c r="C55" s="60"/>
      <c r="D55" s="60"/>
      <c r="E55" s="60"/>
      <c r="F55" s="51"/>
      <c r="G55" s="37"/>
      <c r="H55" s="61"/>
      <c r="I55" s="7"/>
    </row>
    <row r="56" spans="1:9" x14ac:dyDescent="0.25">
      <c r="A56" s="69"/>
      <c r="B56" s="7"/>
      <c r="C56" s="5" t="s">
        <v>118</v>
      </c>
      <c r="D56" s="5"/>
      <c r="E56" s="5"/>
      <c r="F56" s="59"/>
      <c r="G56" s="20">
        <f>SUM(G52:G55)</f>
        <v>10.974758975572247</v>
      </c>
      <c r="H56" s="71"/>
      <c r="I56" s="18">
        <f>SUM(I52:I55)</f>
        <v>37110.050000000003</v>
      </c>
    </row>
    <row r="57" spans="1:9" x14ac:dyDescent="0.25">
      <c r="A57" s="6"/>
      <c r="B57" s="6"/>
      <c r="C57" s="48"/>
      <c r="D57" s="58"/>
      <c r="E57" s="49"/>
      <c r="F57" s="48"/>
      <c r="G57" s="58"/>
      <c r="H57" s="49"/>
      <c r="I57" s="6"/>
    </row>
    <row r="58" spans="1:9" x14ac:dyDescent="0.25">
      <c r="A58" s="6" t="s">
        <v>48</v>
      </c>
      <c r="B58" s="25" t="s">
        <v>119</v>
      </c>
      <c r="C58" s="57" t="s">
        <v>120</v>
      </c>
      <c r="D58" s="58"/>
      <c r="E58" s="49"/>
      <c r="F58" s="48" t="s">
        <v>121</v>
      </c>
      <c r="G58" s="58"/>
      <c r="H58" s="49"/>
      <c r="I58" s="6"/>
    </row>
    <row r="59" spans="1:9" x14ac:dyDescent="0.25">
      <c r="A59" s="73"/>
      <c r="B59" s="62" t="s">
        <v>119</v>
      </c>
      <c r="C59" s="52" t="s">
        <v>118</v>
      </c>
      <c r="D59" s="74"/>
      <c r="E59" s="53"/>
      <c r="F59" s="52" t="s">
        <v>71</v>
      </c>
      <c r="G59" s="74"/>
      <c r="H59" s="53"/>
      <c r="I59" s="62">
        <v>0</v>
      </c>
    </row>
    <row r="60" spans="1:9" x14ac:dyDescent="0.25">
      <c r="A60" s="2"/>
      <c r="B60" s="2"/>
      <c r="C60" s="2" t="s">
        <v>71</v>
      </c>
      <c r="E60" s="2"/>
      <c r="F60" s="2"/>
      <c r="G60" s="2"/>
      <c r="H60" s="2"/>
      <c r="I60" s="2"/>
    </row>
    <row r="61" spans="1:9" x14ac:dyDescent="0.25">
      <c r="A61" s="2" t="s">
        <v>927</v>
      </c>
      <c r="B61" s="2"/>
      <c r="C61" s="2" t="s">
        <v>123</v>
      </c>
      <c r="D61" s="2"/>
      <c r="E61" s="2" t="s">
        <v>124</v>
      </c>
      <c r="H61" s="2" t="s">
        <v>125</v>
      </c>
      <c r="I61" s="2" t="s">
        <v>126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13" zoomScale="120" zoomScaleNormal="120" workbookViewId="0">
      <selection activeCell="H35" sqref="H35"/>
    </sheetView>
  </sheetViews>
  <sheetFormatPr defaultRowHeight="15" x14ac:dyDescent="0.25"/>
  <cols>
    <col min="1" max="1" width="5" style="3" customWidth="1"/>
    <col min="2" max="2" width="30.5703125" style="3" customWidth="1"/>
    <col min="3" max="3" width="13.85546875" style="3" customWidth="1"/>
    <col min="4" max="4" width="9.140625" style="3"/>
    <col min="5" max="5" width="14.7109375" style="3" customWidth="1"/>
    <col min="6" max="7" width="9.140625" style="3"/>
    <col min="8" max="8" width="13" style="3" customWidth="1"/>
    <col min="9" max="9" width="20.4257812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118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4"/>
      <c r="J2" s="11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2"/>
      <c r="J3" s="118"/>
    </row>
    <row r="4" spans="1:10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  <c r="J4" s="118"/>
    </row>
    <row r="5" spans="1:10" x14ac:dyDescent="0.25">
      <c r="A5" s="2"/>
      <c r="B5" s="1"/>
      <c r="C5" s="1"/>
      <c r="D5" s="1"/>
      <c r="E5" s="1"/>
      <c r="F5" s="1"/>
      <c r="G5" s="1"/>
      <c r="H5" s="1"/>
      <c r="I5" s="2"/>
      <c r="J5" s="118"/>
    </row>
    <row r="6" spans="1:10" x14ac:dyDescent="0.25">
      <c r="A6" s="1" t="s">
        <v>4</v>
      </c>
      <c r="B6" s="2"/>
      <c r="C6" s="2"/>
      <c r="D6" s="2"/>
      <c r="E6" s="2"/>
      <c r="F6" s="2"/>
      <c r="G6" s="2"/>
      <c r="H6" s="2"/>
      <c r="I6" s="2"/>
      <c r="J6" s="118"/>
    </row>
    <row r="7" spans="1:10" x14ac:dyDescent="0.25">
      <c r="A7" s="1" t="s">
        <v>928</v>
      </c>
      <c r="B7" s="1"/>
      <c r="C7" s="1"/>
      <c r="D7" s="1"/>
      <c r="E7" s="1"/>
      <c r="F7" s="1"/>
      <c r="G7" s="2"/>
      <c r="H7" s="2"/>
      <c r="I7" s="2"/>
      <c r="J7" s="118"/>
    </row>
    <row r="8" spans="1:10" x14ac:dyDescent="0.25">
      <c r="A8" s="2" t="s">
        <v>929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930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2" t="s">
        <v>931</v>
      </c>
      <c r="B10" s="2"/>
      <c r="C10" s="2"/>
      <c r="D10" s="2"/>
      <c r="E10" s="2"/>
      <c r="F10" s="2"/>
      <c r="G10" s="2"/>
      <c r="H10" s="2"/>
      <c r="I10" s="2"/>
      <c r="J10" s="118"/>
    </row>
    <row r="11" spans="1:10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  <c r="J11" s="118"/>
    </row>
    <row r="12" spans="1:10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  <c r="J12" s="118"/>
    </row>
    <row r="13" spans="1:10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  <c r="J13" s="118"/>
    </row>
    <row r="14" spans="1:10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  <c r="J14" s="118"/>
    </row>
    <row r="15" spans="1:10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548</v>
      </c>
      <c r="J15" s="118"/>
    </row>
    <row r="16" spans="1:10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549</v>
      </c>
      <c r="J16" s="118"/>
    </row>
    <row r="17" spans="1:10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550</v>
      </c>
      <c r="J17" s="118"/>
    </row>
    <row r="18" spans="1:10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58">
        <v>7</v>
      </c>
      <c r="H18" s="9">
        <v>8</v>
      </c>
      <c r="I18" s="6">
        <v>9</v>
      </c>
      <c r="J18" s="118"/>
    </row>
    <row r="19" spans="1:10" x14ac:dyDescent="0.25">
      <c r="A19" s="57">
        <v>1</v>
      </c>
      <c r="B19" s="25" t="s">
        <v>191</v>
      </c>
      <c r="C19" s="25"/>
      <c r="D19" s="25"/>
      <c r="E19" s="27" t="s">
        <v>71</v>
      </c>
      <c r="F19" s="57" t="s">
        <v>71</v>
      </c>
      <c r="G19" s="45" t="str">
        <f t="shared" ref="G19:G27" si="0">E19</f>
        <v xml:space="preserve"> </v>
      </c>
      <c r="H19" s="72" t="s">
        <v>71</v>
      </c>
      <c r="I19" s="45" t="s">
        <v>71</v>
      </c>
      <c r="J19" s="118"/>
    </row>
    <row r="20" spans="1:10" x14ac:dyDescent="0.25">
      <c r="A20" s="15"/>
      <c r="B20" s="12" t="s">
        <v>192</v>
      </c>
      <c r="C20" s="12">
        <v>7.56</v>
      </c>
      <c r="D20" s="17">
        <v>-39302.04</v>
      </c>
      <c r="E20" s="14">
        <v>293298.24</v>
      </c>
      <c r="F20" s="15">
        <v>292637.13</v>
      </c>
      <c r="G20" s="17">
        <f t="shared" si="0"/>
        <v>293298.24</v>
      </c>
      <c r="H20" s="13">
        <f>D20+F20-G20</f>
        <v>-39963.149999999994</v>
      </c>
      <c r="I20" s="17">
        <f>H20</f>
        <v>-39963.149999999994</v>
      </c>
      <c r="J20" s="118"/>
    </row>
    <row r="21" spans="1:10" x14ac:dyDescent="0.25">
      <c r="A21" s="73" t="s">
        <v>113</v>
      </c>
      <c r="B21" s="62" t="s">
        <v>37</v>
      </c>
      <c r="C21" s="62">
        <v>2.62</v>
      </c>
      <c r="D21" s="54"/>
      <c r="E21" s="79">
        <f>E20*34.5/100</f>
        <v>101187.89279999999</v>
      </c>
      <c r="F21" s="55">
        <f>F20*34.5/100</f>
        <v>100959.80984999999</v>
      </c>
      <c r="G21" s="54">
        <f t="shared" si="0"/>
        <v>101187.89279999999</v>
      </c>
      <c r="H21" s="80"/>
      <c r="I21" s="54"/>
      <c r="J21" s="118"/>
    </row>
    <row r="22" spans="1:10" x14ac:dyDescent="0.25">
      <c r="A22" s="36" t="s">
        <v>38</v>
      </c>
      <c r="B22" s="9" t="s">
        <v>39</v>
      </c>
      <c r="C22" s="9">
        <v>1.33</v>
      </c>
      <c r="D22" s="75"/>
      <c r="E22" s="39">
        <f>E20*18/100</f>
        <v>52793.683199999999</v>
      </c>
      <c r="F22" s="40">
        <f>F20*18/100</f>
        <v>52674.683400000002</v>
      </c>
      <c r="G22" s="29">
        <f t="shared" si="0"/>
        <v>52793.683199999999</v>
      </c>
      <c r="H22" s="35"/>
      <c r="I22" s="29"/>
      <c r="J22" s="118"/>
    </row>
    <row r="23" spans="1:10" x14ac:dyDescent="0.25">
      <c r="A23" s="24" t="s">
        <v>40</v>
      </c>
      <c r="B23" s="6" t="s">
        <v>41</v>
      </c>
      <c r="C23" s="6">
        <v>1.22</v>
      </c>
      <c r="D23" s="75"/>
      <c r="E23" s="35">
        <f>E20*16/100</f>
        <v>46927.718399999998</v>
      </c>
      <c r="F23" s="40">
        <f>F20*16/100</f>
        <v>46821.940800000004</v>
      </c>
      <c r="G23" s="29">
        <f t="shared" si="0"/>
        <v>46927.718399999998</v>
      </c>
      <c r="H23" s="29"/>
      <c r="I23" s="75"/>
      <c r="J23" s="118"/>
    </row>
    <row r="24" spans="1:10" x14ac:dyDescent="0.25">
      <c r="A24" s="36" t="s">
        <v>42</v>
      </c>
      <c r="B24" s="9" t="s">
        <v>43</v>
      </c>
      <c r="C24" s="9">
        <v>2.39</v>
      </c>
      <c r="D24" s="29"/>
      <c r="E24" s="39">
        <f>E20*31.5/100</f>
        <v>92388.945600000006</v>
      </c>
      <c r="F24" s="40">
        <f>F20*31.5/100</f>
        <v>92180.695950000008</v>
      </c>
      <c r="G24" s="29">
        <f t="shared" si="0"/>
        <v>92388.945600000006</v>
      </c>
      <c r="H24" s="35"/>
      <c r="I24" s="75"/>
      <c r="J24" s="118"/>
    </row>
    <row r="25" spans="1:10" x14ac:dyDescent="0.25">
      <c r="A25" s="36" t="s">
        <v>44</v>
      </c>
      <c r="B25" s="9" t="s">
        <v>45</v>
      </c>
      <c r="C25" s="9">
        <v>0.53317000000000003</v>
      </c>
      <c r="D25" s="29"/>
      <c r="E25" s="39">
        <v>12181.17</v>
      </c>
      <c r="F25" s="40">
        <v>13351.24</v>
      </c>
      <c r="G25" s="29">
        <f t="shared" si="0"/>
        <v>12181.17</v>
      </c>
      <c r="H25" s="43">
        <f>F25-E25</f>
        <v>1170.0699999999997</v>
      </c>
      <c r="I25" s="43"/>
      <c r="J25" s="118"/>
    </row>
    <row r="26" spans="1:10" x14ac:dyDescent="0.25">
      <c r="A26" s="36" t="s">
        <v>46</v>
      </c>
      <c r="B26" s="9" t="s">
        <v>47</v>
      </c>
      <c r="C26" s="9">
        <v>0.68459000000000003</v>
      </c>
      <c r="D26" s="9">
        <v>-1766.51</v>
      </c>
      <c r="E26" s="10">
        <v>25856.400000000001</v>
      </c>
      <c r="F26" s="8">
        <v>22843.040000000001</v>
      </c>
      <c r="G26" s="9">
        <f>E26</f>
        <v>25856.400000000001</v>
      </c>
      <c r="H26" s="11">
        <f>D26+F26-G26</f>
        <v>-4779.869999999999</v>
      </c>
      <c r="I26" s="46">
        <f>H26</f>
        <v>-4779.869999999999</v>
      </c>
      <c r="J26" s="118"/>
    </row>
    <row r="27" spans="1:10" x14ac:dyDescent="0.25">
      <c r="A27" s="11" t="s">
        <v>48</v>
      </c>
      <c r="B27" s="11" t="s">
        <v>49</v>
      </c>
      <c r="C27" s="11" t="s">
        <v>50</v>
      </c>
      <c r="D27" s="43">
        <v>-6869.8</v>
      </c>
      <c r="E27" s="41">
        <v>131324.46</v>
      </c>
      <c r="F27" s="42">
        <v>125248.23</v>
      </c>
      <c r="G27" s="43">
        <f t="shared" si="0"/>
        <v>131324.46</v>
      </c>
      <c r="H27" s="233">
        <f>D27+F27-G27</f>
        <v>-12946.029999999999</v>
      </c>
      <c r="I27" s="43">
        <f>H27</f>
        <v>-12946.029999999999</v>
      </c>
      <c r="J27" s="118"/>
    </row>
    <row r="28" spans="1:10" x14ac:dyDescent="0.25">
      <c r="A28" s="25" t="s">
        <v>51</v>
      </c>
      <c r="B28" s="12" t="s">
        <v>52</v>
      </c>
      <c r="C28" s="12">
        <v>1.65</v>
      </c>
      <c r="D28" s="17">
        <v>-5674.23</v>
      </c>
      <c r="E28" s="12">
        <v>64015.56</v>
      </c>
      <c r="F28" s="12">
        <f>F29+F30</f>
        <v>64182.85</v>
      </c>
      <c r="G28" s="18">
        <f>I58</f>
        <v>24858.39</v>
      </c>
      <c r="H28" s="21">
        <f>D28+F28-G28</f>
        <v>33650.229999999996</v>
      </c>
      <c r="I28" s="17" t="s">
        <v>71</v>
      </c>
      <c r="J28" s="118"/>
    </row>
    <row r="29" spans="1:10" x14ac:dyDescent="0.25">
      <c r="A29" s="25"/>
      <c r="B29" s="9" t="s">
        <v>53</v>
      </c>
      <c r="C29" s="14"/>
      <c r="D29" s="17"/>
      <c r="E29" s="14"/>
      <c r="F29" s="12">
        <v>64182.85</v>
      </c>
      <c r="G29" s="42">
        <f>I58</f>
        <v>24858.39</v>
      </c>
      <c r="H29" s="43"/>
      <c r="I29" s="111"/>
      <c r="J29" s="118"/>
    </row>
    <row r="30" spans="1:10" x14ac:dyDescent="0.25">
      <c r="A30" s="25"/>
      <c r="B30" s="9" t="s">
        <v>54</v>
      </c>
      <c r="C30" s="14"/>
      <c r="D30" s="17"/>
      <c r="E30" s="14"/>
      <c r="F30" s="12">
        <v>0</v>
      </c>
      <c r="G30" s="42"/>
      <c r="H30" s="43"/>
      <c r="I30" s="111"/>
      <c r="J30" s="118"/>
    </row>
    <row r="31" spans="1:10" x14ac:dyDescent="0.25">
      <c r="A31" s="25"/>
      <c r="B31" s="9" t="s">
        <v>531</v>
      </c>
      <c r="C31" s="14"/>
      <c r="D31" s="17"/>
      <c r="E31" s="14"/>
      <c r="F31" s="12">
        <v>102.99</v>
      </c>
      <c r="G31" s="59"/>
      <c r="H31" s="21">
        <v>102.99</v>
      </c>
      <c r="I31" s="111"/>
      <c r="J31" s="118"/>
    </row>
    <row r="32" spans="1:10" x14ac:dyDescent="0.25">
      <c r="A32" s="11" t="s">
        <v>55</v>
      </c>
      <c r="B32" s="11" t="s">
        <v>146</v>
      </c>
      <c r="C32" s="41"/>
      <c r="D32" s="43"/>
      <c r="E32" s="41"/>
      <c r="F32" s="11"/>
      <c r="G32" s="42"/>
      <c r="H32" s="43"/>
      <c r="I32" s="43"/>
      <c r="J32" s="118"/>
    </row>
    <row r="33" spans="1:10" x14ac:dyDescent="0.25">
      <c r="A33" s="12"/>
      <c r="B33" s="12" t="s">
        <v>922</v>
      </c>
      <c r="C33" s="85"/>
      <c r="D33" s="17">
        <v>58492.13</v>
      </c>
      <c r="E33" s="41">
        <v>0</v>
      </c>
      <c r="F33" s="11">
        <f>F34</f>
        <v>17.13</v>
      </c>
      <c r="G33" s="15">
        <v>0</v>
      </c>
      <c r="H33" s="17">
        <f>D33+F33-G33</f>
        <v>58509.259999999995</v>
      </c>
      <c r="I33" s="17"/>
      <c r="J33" s="118"/>
    </row>
    <row r="34" spans="1:10" x14ac:dyDescent="0.25">
      <c r="A34" s="9"/>
      <c r="B34" s="9" t="s">
        <v>53</v>
      </c>
      <c r="C34" s="10"/>
      <c r="D34" s="17"/>
      <c r="E34" s="41">
        <f>E33</f>
        <v>0</v>
      </c>
      <c r="F34" s="11">
        <v>17.13</v>
      </c>
      <c r="G34" s="11">
        <f>I62</f>
        <v>0</v>
      </c>
      <c r="H34" s="17"/>
      <c r="I34" s="29"/>
      <c r="J34" s="118"/>
    </row>
    <row r="35" spans="1:10" x14ac:dyDescent="0.25">
      <c r="A35" s="60"/>
      <c r="B35" s="60"/>
      <c r="C35" s="60"/>
      <c r="D35" s="37"/>
      <c r="E35" s="60"/>
      <c r="F35" s="60"/>
      <c r="G35" s="60"/>
      <c r="H35" s="37"/>
      <c r="I35" s="37"/>
      <c r="J35" s="118"/>
    </row>
    <row r="36" spans="1:10" x14ac:dyDescent="0.25">
      <c r="A36" s="1" t="s">
        <v>58</v>
      </c>
      <c r="B36" s="1"/>
      <c r="C36" s="1"/>
      <c r="D36" s="47"/>
      <c r="E36" s="1"/>
      <c r="F36" s="1"/>
      <c r="G36" s="1"/>
      <c r="H36" s="37"/>
      <c r="I36" s="37"/>
      <c r="J36" s="118"/>
    </row>
    <row r="37" spans="1:10" x14ac:dyDescent="0.25">
      <c r="A37" s="1"/>
      <c r="B37" s="1"/>
      <c r="C37" s="1"/>
      <c r="D37" s="47"/>
      <c r="E37" s="1"/>
      <c r="F37" s="1"/>
      <c r="G37" s="1"/>
      <c r="H37" s="37"/>
      <c r="I37" s="37"/>
    </row>
    <row r="38" spans="1:10" x14ac:dyDescent="0.25">
      <c r="A38" s="25" t="s">
        <v>59</v>
      </c>
      <c r="B38" s="48" t="s">
        <v>932</v>
      </c>
      <c r="C38" s="29" t="s">
        <v>725</v>
      </c>
      <c r="D38" s="49" t="s">
        <v>62</v>
      </c>
      <c r="E38" s="50" t="s">
        <v>726</v>
      </c>
      <c r="F38" s="105" t="s">
        <v>742</v>
      </c>
      <c r="G38" s="105"/>
      <c r="H38" s="6"/>
      <c r="I38" s="75" t="s">
        <v>725</v>
      </c>
    </row>
    <row r="39" spans="1:10" x14ac:dyDescent="0.25">
      <c r="A39" s="18"/>
      <c r="B39" s="51"/>
      <c r="C39" s="75" t="s">
        <v>66</v>
      </c>
      <c r="D39" s="49" t="s">
        <v>933</v>
      </c>
      <c r="E39" s="234">
        <v>0.15</v>
      </c>
      <c r="F39" s="9" t="s">
        <v>157</v>
      </c>
      <c r="G39" s="58"/>
      <c r="H39" s="75"/>
      <c r="I39" s="6" t="s">
        <v>157</v>
      </c>
    </row>
    <row r="40" spans="1:10" x14ac:dyDescent="0.25">
      <c r="A40" s="62"/>
      <c r="B40" s="52" t="s">
        <v>934</v>
      </c>
      <c r="C40" s="29">
        <v>5302.5</v>
      </c>
      <c r="D40" s="50">
        <v>1953</v>
      </c>
      <c r="E40" s="74">
        <f>D40*15%</f>
        <v>292.95</v>
      </c>
      <c r="F40" s="29">
        <f>C40+(D40-E40)</f>
        <v>6962.55</v>
      </c>
      <c r="G40" s="39"/>
      <c r="H40" s="29"/>
      <c r="I40" s="29">
        <f>F40-G40</f>
        <v>6962.55</v>
      </c>
    </row>
    <row r="41" spans="1:10" x14ac:dyDescent="0.25">
      <c r="A41" s="5" t="s">
        <v>69</v>
      </c>
      <c r="B41" s="5"/>
      <c r="C41" s="5"/>
      <c r="D41" s="56"/>
      <c r="E41" s="5"/>
      <c r="F41" s="5"/>
      <c r="G41" s="5"/>
      <c r="H41" s="5"/>
      <c r="I41" s="5"/>
    </row>
    <row r="42" spans="1:10" x14ac:dyDescent="0.25">
      <c r="A42" s="1" t="s">
        <v>70</v>
      </c>
      <c r="B42" s="1"/>
      <c r="C42" s="1"/>
      <c r="D42" s="1"/>
      <c r="E42" s="1"/>
      <c r="F42" s="1"/>
      <c r="G42" s="1"/>
      <c r="H42" s="1"/>
      <c r="I42" s="1"/>
    </row>
    <row r="43" spans="1:10" x14ac:dyDescent="0.25">
      <c r="A43" s="6" t="s">
        <v>71</v>
      </c>
      <c r="B43" s="57" t="s">
        <v>72</v>
      </c>
      <c r="C43" s="6" t="s">
        <v>73</v>
      </c>
      <c r="D43" s="58" t="s">
        <v>74</v>
      </c>
      <c r="E43" s="6" t="s">
        <v>75</v>
      </c>
      <c r="F43" s="58" t="s">
        <v>76</v>
      </c>
      <c r="G43" s="6" t="s">
        <v>77</v>
      </c>
      <c r="H43" s="58" t="s">
        <v>78</v>
      </c>
      <c r="I43" s="6" t="s">
        <v>19</v>
      </c>
    </row>
    <row r="44" spans="1:10" x14ac:dyDescent="0.25">
      <c r="A44" s="7"/>
      <c r="B44" s="59" t="s">
        <v>79</v>
      </c>
      <c r="C44" s="7" t="s">
        <v>80</v>
      </c>
      <c r="D44" s="60" t="s">
        <v>81</v>
      </c>
      <c r="E44" s="7" t="s">
        <v>82</v>
      </c>
      <c r="F44" s="60" t="s">
        <v>83</v>
      </c>
      <c r="G44" s="7" t="s">
        <v>84</v>
      </c>
      <c r="H44" s="60" t="s">
        <v>85</v>
      </c>
      <c r="I44" s="7" t="s">
        <v>86</v>
      </c>
    </row>
    <row r="45" spans="1:10" x14ac:dyDescent="0.25">
      <c r="A45" s="7"/>
      <c r="B45" s="51"/>
      <c r="C45" s="7"/>
      <c r="D45" s="60"/>
      <c r="E45" s="7"/>
      <c r="F45" s="60" t="s">
        <v>87</v>
      </c>
      <c r="G45" s="7" t="s">
        <v>88</v>
      </c>
      <c r="H45" s="60"/>
      <c r="I45" s="7" t="s">
        <v>239</v>
      </c>
    </row>
    <row r="46" spans="1:10" x14ac:dyDescent="0.25">
      <c r="A46" s="9">
        <v>1</v>
      </c>
      <c r="B46" s="9" t="s">
        <v>935</v>
      </c>
      <c r="C46" s="42" t="s">
        <v>91</v>
      </c>
      <c r="D46" s="9">
        <v>-120675.53</v>
      </c>
      <c r="E46" s="95">
        <v>422374.7</v>
      </c>
      <c r="F46" s="8">
        <v>403485.88</v>
      </c>
      <c r="G46" s="9">
        <f>E46</f>
        <v>422374.7</v>
      </c>
      <c r="H46" s="9">
        <f>D46+F46-G46</f>
        <v>-139564.35000000003</v>
      </c>
      <c r="I46" s="9">
        <f>H46</f>
        <v>-139564.35000000003</v>
      </c>
    </row>
    <row r="47" spans="1:10" x14ac:dyDescent="0.25">
      <c r="A47" s="9"/>
      <c r="B47" s="9" t="s">
        <v>936</v>
      </c>
      <c r="C47" s="41" t="s">
        <v>93</v>
      </c>
      <c r="D47" s="7"/>
      <c r="E47" s="65"/>
      <c r="F47" s="8"/>
      <c r="G47" s="62"/>
      <c r="H47" s="62"/>
      <c r="I47" s="61"/>
    </row>
    <row r="48" spans="1:10" x14ac:dyDescent="0.25">
      <c r="A48" s="9">
        <v>2</v>
      </c>
      <c r="B48" s="9" t="s">
        <v>98</v>
      </c>
      <c r="C48" s="41" t="s">
        <v>99</v>
      </c>
      <c r="D48" s="9">
        <v>-350159.17</v>
      </c>
      <c r="E48" s="10">
        <v>946187.11</v>
      </c>
      <c r="F48" s="8">
        <v>964128.9</v>
      </c>
      <c r="G48" s="62">
        <f>E48</f>
        <v>946187.11</v>
      </c>
      <c r="H48" s="62">
        <f>D48+F48-G48</f>
        <v>-332217.38</v>
      </c>
      <c r="I48" s="50">
        <f>H48</f>
        <v>-332217.38</v>
      </c>
    </row>
    <row r="49" spans="1:9" x14ac:dyDescent="0.25">
      <c r="A49" s="1" t="s">
        <v>100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101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900</v>
      </c>
      <c r="G51" s="58"/>
      <c r="H51" s="49"/>
      <c r="I51" s="6" t="s">
        <v>105</v>
      </c>
    </row>
    <row r="52" spans="1:9" x14ac:dyDescent="0.25">
      <c r="A52" s="51" t="s">
        <v>106</v>
      </c>
      <c r="B52" s="7" t="s">
        <v>71</v>
      </c>
      <c r="C52" s="60"/>
      <c r="D52" s="60"/>
      <c r="E52" s="60"/>
      <c r="F52" s="51" t="s">
        <v>204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835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624</v>
      </c>
      <c r="D54" s="68"/>
      <c r="E54" s="68"/>
      <c r="F54" s="48"/>
      <c r="G54" s="58"/>
      <c r="H54" s="49"/>
      <c r="I54" s="6"/>
    </row>
    <row r="55" spans="1:9" x14ac:dyDescent="0.25">
      <c r="A55" s="69" t="s">
        <v>113</v>
      </c>
      <c r="B55" s="70">
        <v>42851</v>
      </c>
      <c r="C55" s="60" t="s">
        <v>259</v>
      </c>
      <c r="D55" s="60"/>
      <c r="E55" s="60"/>
      <c r="F55" s="51"/>
      <c r="G55" s="37">
        <f>I55/3291.5</f>
        <v>4.4964301989974178</v>
      </c>
      <c r="H55" s="61"/>
      <c r="I55" s="7">
        <v>14800</v>
      </c>
    </row>
    <row r="56" spans="1:9" x14ac:dyDescent="0.25">
      <c r="A56" s="69" t="s">
        <v>38</v>
      </c>
      <c r="B56" s="70">
        <v>42825</v>
      </c>
      <c r="C56" s="60" t="s">
        <v>937</v>
      </c>
      <c r="D56" s="60"/>
      <c r="E56" s="60"/>
      <c r="F56" s="51"/>
      <c r="G56" s="37">
        <f>I56/3291.5</f>
        <v>1.3756493999696187</v>
      </c>
      <c r="H56" s="61"/>
      <c r="I56" s="7">
        <v>4527.95</v>
      </c>
    </row>
    <row r="57" spans="1:9" x14ac:dyDescent="0.25">
      <c r="A57" s="69" t="s">
        <v>40</v>
      </c>
      <c r="B57" s="70">
        <v>43069</v>
      </c>
      <c r="C57" s="60" t="s">
        <v>938</v>
      </c>
      <c r="D57" s="60"/>
      <c r="E57" s="60"/>
      <c r="F57" s="51"/>
      <c r="G57" s="37">
        <f>I57/3291.5</f>
        <v>1.680218745252924</v>
      </c>
      <c r="H57" s="61"/>
      <c r="I57" s="7">
        <v>5530.44</v>
      </c>
    </row>
    <row r="58" spans="1:9" x14ac:dyDescent="0.25">
      <c r="A58" s="69"/>
      <c r="B58" s="7"/>
      <c r="C58" s="5" t="s">
        <v>118</v>
      </c>
      <c r="D58" s="5"/>
      <c r="E58" s="5"/>
      <c r="F58" s="59"/>
      <c r="G58" s="20">
        <f>SUM(G55:G57)</f>
        <v>7.5522983442199605</v>
      </c>
      <c r="H58" s="71"/>
      <c r="I58" s="18">
        <f>SUM(I55:I57)</f>
        <v>24858.39</v>
      </c>
    </row>
    <row r="59" spans="1:9" x14ac:dyDescent="0.25">
      <c r="A59" s="6"/>
      <c r="B59" s="6"/>
      <c r="C59" s="48"/>
      <c r="D59" s="58"/>
      <c r="E59" s="49"/>
      <c r="F59" s="48"/>
      <c r="G59" s="58"/>
      <c r="H59" s="49"/>
      <c r="I59" s="6"/>
    </row>
    <row r="60" spans="1:9" x14ac:dyDescent="0.25">
      <c r="A60" s="6" t="s">
        <v>48</v>
      </c>
      <c r="B60" s="25" t="s">
        <v>119</v>
      </c>
      <c r="C60" s="57" t="s">
        <v>120</v>
      </c>
      <c r="D60" s="58"/>
      <c r="E60" s="49"/>
      <c r="F60" s="48" t="s">
        <v>121</v>
      </c>
      <c r="G60" s="58"/>
      <c r="H60" s="49"/>
      <c r="I60" s="6"/>
    </row>
    <row r="61" spans="1:9" x14ac:dyDescent="0.25">
      <c r="A61" s="69"/>
      <c r="B61" s="70"/>
      <c r="C61" s="60"/>
      <c r="D61" s="60"/>
      <c r="E61" s="61"/>
      <c r="F61" s="51"/>
      <c r="G61" s="37"/>
      <c r="H61" s="61"/>
      <c r="I61" s="7"/>
    </row>
    <row r="62" spans="1:9" x14ac:dyDescent="0.25">
      <c r="A62" s="73"/>
      <c r="B62" s="87"/>
      <c r="C62" s="14" t="s">
        <v>118</v>
      </c>
      <c r="D62" s="14"/>
      <c r="E62" s="85"/>
      <c r="F62" s="15" t="s">
        <v>71</v>
      </c>
      <c r="G62" s="78">
        <f>SUM(G61:G61)</f>
        <v>0</v>
      </c>
      <c r="H62" s="85"/>
      <c r="I62" s="12">
        <f>SUM(I61:I61)</f>
        <v>0</v>
      </c>
    </row>
    <row r="63" spans="1:9" x14ac:dyDescent="0.25">
      <c r="A63" s="2"/>
      <c r="B63" s="2"/>
      <c r="C63" s="2" t="s">
        <v>71</v>
      </c>
      <c r="E63" s="2"/>
      <c r="F63" s="2"/>
      <c r="G63" s="2"/>
      <c r="H63" s="2"/>
      <c r="I63" s="2"/>
    </row>
    <row r="64" spans="1:9" x14ac:dyDescent="0.25">
      <c r="A64" s="2" t="s">
        <v>227</v>
      </c>
      <c r="B64" s="2"/>
      <c r="C64" s="2"/>
      <c r="D64" s="2" t="s">
        <v>123</v>
      </c>
      <c r="E64" s="2"/>
      <c r="F64" s="2" t="s">
        <v>124</v>
      </c>
      <c r="H64" s="2" t="s">
        <v>125</v>
      </c>
      <c r="I64" s="2" t="s">
        <v>126</v>
      </c>
    </row>
  </sheetData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110" zoomScaleNormal="110" workbookViewId="0">
      <selection activeCell="A8" sqref="A8"/>
    </sheetView>
  </sheetViews>
  <sheetFormatPr defaultRowHeight="15" x14ac:dyDescent="0.25"/>
  <cols>
    <col min="1" max="1" width="3.7109375" style="3" customWidth="1"/>
    <col min="2" max="2" width="35.85546875" style="3" customWidth="1"/>
    <col min="3" max="3" width="13.42578125" style="3" customWidth="1"/>
    <col min="4" max="7" width="9.140625" style="3"/>
    <col min="8" max="8" width="12.42578125" style="3" customWidth="1"/>
    <col min="9" max="9" width="19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939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940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941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942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549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550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 t="s">
        <v>110</v>
      </c>
      <c r="B18" s="12" t="s">
        <v>323</v>
      </c>
      <c r="C18" s="12">
        <v>7.97</v>
      </c>
      <c r="D18" s="17">
        <v>-9628.06</v>
      </c>
      <c r="E18" s="14">
        <v>211353.51</v>
      </c>
      <c r="F18" s="15">
        <v>204873.36</v>
      </c>
      <c r="G18" s="17">
        <f>E18</f>
        <v>211353.51</v>
      </c>
      <c r="H18" s="13">
        <f>D18+F18-G18</f>
        <v>-16108.210000000021</v>
      </c>
      <c r="I18" s="17">
        <f>H18+H23</f>
        <v>-16202.230000000021</v>
      </c>
    </row>
    <row r="19" spans="1:9" x14ac:dyDescent="0.25">
      <c r="A19" s="7" t="s">
        <v>36</v>
      </c>
      <c r="B19" s="62" t="s">
        <v>37</v>
      </c>
      <c r="C19" s="62">
        <v>2.62</v>
      </c>
      <c r="D19" s="54"/>
      <c r="E19" s="79">
        <f>E18*33/100</f>
        <v>69746.658299999996</v>
      </c>
      <c r="F19" s="55">
        <f>F18*33%</f>
        <v>67608.208799999993</v>
      </c>
      <c r="G19" s="54">
        <f t="shared" ref="G19:G25" si="0">E19</f>
        <v>69746.658299999996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86">
        <f>E18*17/100</f>
        <v>35930.096700000002</v>
      </c>
      <c r="F20" s="105">
        <f>F18*17/100</f>
        <v>34828.4712</v>
      </c>
      <c r="G20" s="22">
        <f t="shared" si="0"/>
        <v>35930.096700000002</v>
      </c>
      <c r="H20" s="30"/>
      <c r="I20" s="75"/>
    </row>
    <row r="21" spans="1:9" x14ac:dyDescent="0.25">
      <c r="A21" s="36" t="s">
        <v>40</v>
      </c>
      <c r="B21" s="9" t="s">
        <v>41</v>
      </c>
      <c r="C21" s="9">
        <v>1.63</v>
      </c>
      <c r="D21" s="29"/>
      <c r="E21" s="39">
        <f>E18*20/100</f>
        <v>42270.702000000005</v>
      </c>
      <c r="F21" s="40">
        <f>F18*20/100</f>
        <v>40974.671999999999</v>
      </c>
      <c r="G21" s="29">
        <f t="shared" si="0"/>
        <v>42270.702000000005</v>
      </c>
      <c r="H21" s="39"/>
      <c r="I21" s="29"/>
    </row>
    <row r="22" spans="1:9" x14ac:dyDescent="0.25">
      <c r="A22" s="36" t="s">
        <v>42</v>
      </c>
      <c r="B22" s="9" t="s">
        <v>43</v>
      </c>
      <c r="C22" s="9">
        <v>2.39</v>
      </c>
      <c r="D22" s="29"/>
      <c r="E22" s="39">
        <f>E18*30/100</f>
        <v>63406.053000000007</v>
      </c>
      <c r="F22" s="40">
        <f>F18*30/100</f>
        <v>61462.008000000002</v>
      </c>
      <c r="G22" s="29">
        <f t="shared" si="0"/>
        <v>63406.053000000007</v>
      </c>
      <c r="H22" s="35"/>
      <c r="I22" s="29"/>
    </row>
    <row r="23" spans="1:9" x14ac:dyDescent="0.25">
      <c r="A23" s="77" t="s">
        <v>44</v>
      </c>
      <c r="B23" s="62" t="s">
        <v>45</v>
      </c>
      <c r="C23" s="53">
        <v>0.16539999999999999</v>
      </c>
      <c r="D23" s="54"/>
      <c r="E23" s="79">
        <v>548.28</v>
      </c>
      <c r="F23" s="55">
        <v>454.26</v>
      </c>
      <c r="G23" s="54">
        <f>E23</f>
        <v>548.28</v>
      </c>
      <c r="H23" s="13">
        <f>F23-E23</f>
        <v>-94.019999999999982</v>
      </c>
      <c r="I23" s="17">
        <f>H23</f>
        <v>-94.019999999999982</v>
      </c>
    </row>
    <row r="24" spans="1:9" x14ac:dyDescent="0.25">
      <c r="A24" s="77" t="s">
        <v>46</v>
      </c>
      <c r="B24" s="62" t="s">
        <v>274</v>
      </c>
      <c r="C24" s="53">
        <v>0.68228</v>
      </c>
      <c r="D24" s="9">
        <v>-543.02</v>
      </c>
      <c r="E24" s="10">
        <v>28475.29</v>
      </c>
      <c r="F24" s="8">
        <v>26119.360000000001</v>
      </c>
      <c r="G24" s="9">
        <f>E24</f>
        <v>28475.29</v>
      </c>
      <c r="H24" s="11">
        <f>D24+F24-G24</f>
        <v>-2898.9500000000007</v>
      </c>
      <c r="I24" s="46">
        <f>H24</f>
        <v>-2898.9500000000007</v>
      </c>
    </row>
    <row r="25" spans="1:9" x14ac:dyDescent="0.25">
      <c r="A25" s="11" t="s">
        <v>48</v>
      </c>
      <c r="B25" s="12" t="s">
        <v>49</v>
      </c>
      <c r="C25" s="11" t="s">
        <v>50</v>
      </c>
      <c r="D25" s="43">
        <v>-8140.68</v>
      </c>
      <c r="E25" s="41">
        <v>89764.9</v>
      </c>
      <c r="F25" s="42">
        <v>83773.47</v>
      </c>
      <c r="G25" s="43">
        <f t="shared" si="0"/>
        <v>89764.9</v>
      </c>
      <c r="H25" s="223">
        <f>D25+F25-G25</f>
        <v>-14132.109999999986</v>
      </c>
      <c r="I25" s="43">
        <f>H25</f>
        <v>-14132.109999999986</v>
      </c>
    </row>
    <row r="26" spans="1:9" x14ac:dyDescent="0.25">
      <c r="A26" s="12" t="s">
        <v>51</v>
      </c>
      <c r="B26" s="12" t="s">
        <v>943</v>
      </c>
      <c r="C26" s="12">
        <v>1.82</v>
      </c>
      <c r="D26" s="21">
        <v>17658.599999999999</v>
      </c>
      <c r="E26" s="25">
        <v>48264.05</v>
      </c>
      <c r="F26" s="44">
        <f>F27+F28+F29</f>
        <v>59362.89</v>
      </c>
      <c r="G26" s="18">
        <f>G27</f>
        <v>64735.95</v>
      </c>
      <c r="H26" s="21">
        <f>D26+F26-G26</f>
        <v>12285.539999999994</v>
      </c>
      <c r="I26" s="17"/>
    </row>
    <row r="27" spans="1:9" x14ac:dyDescent="0.25">
      <c r="A27" s="12"/>
      <c r="B27" s="9" t="s">
        <v>53</v>
      </c>
      <c r="C27" s="14"/>
      <c r="D27" s="43"/>
      <c r="E27" s="11"/>
      <c r="F27" s="11">
        <v>47207.18</v>
      </c>
      <c r="G27" s="42">
        <f>I60</f>
        <v>64735.95</v>
      </c>
      <c r="H27" s="43"/>
      <c r="I27" s="17"/>
    </row>
    <row r="28" spans="1:9" x14ac:dyDescent="0.25">
      <c r="A28" s="12"/>
      <c r="B28" s="9" t="s">
        <v>54</v>
      </c>
      <c r="C28" s="14"/>
      <c r="D28" s="21"/>
      <c r="E28" s="18"/>
      <c r="F28" s="18">
        <v>0</v>
      </c>
      <c r="G28" s="59"/>
      <c r="H28" s="21"/>
      <c r="I28" s="17"/>
    </row>
    <row r="29" spans="1:9" x14ac:dyDescent="0.25">
      <c r="A29" s="12"/>
      <c r="B29" s="11" t="s">
        <v>944</v>
      </c>
      <c r="C29" s="14"/>
      <c r="D29" s="34"/>
      <c r="E29" s="11"/>
      <c r="F29" s="43">
        <v>12155.71</v>
      </c>
      <c r="G29" s="42"/>
      <c r="H29" s="43"/>
      <c r="I29" s="17"/>
    </row>
    <row r="30" spans="1:9" x14ac:dyDescent="0.25">
      <c r="A30" s="12"/>
      <c r="B30" s="11" t="s">
        <v>945</v>
      </c>
      <c r="C30" s="14"/>
      <c r="D30" s="21"/>
      <c r="E30" s="11"/>
      <c r="F30" s="18"/>
      <c r="G30" s="59"/>
      <c r="H30" s="21"/>
      <c r="I30" s="17"/>
    </row>
    <row r="31" spans="1:9" x14ac:dyDescent="0.25">
      <c r="A31" s="11" t="s">
        <v>55</v>
      </c>
      <c r="B31" s="12" t="s">
        <v>909</v>
      </c>
      <c r="C31" s="85">
        <v>0</v>
      </c>
      <c r="D31" s="43">
        <v>12155.71</v>
      </c>
      <c r="E31" s="41">
        <v>0</v>
      </c>
      <c r="F31" s="11">
        <f>F32+F33</f>
        <v>-12155.71</v>
      </c>
      <c r="G31" s="42">
        <f>G32</f>
        <v>0</v>
      </c>
      <c r="H31" s="43">
        <f>D31+F31</f>
        <v>0</v>
      </c>
      <c r="I31" s="54"/>
    </row>
    <row r="32" spans="1:9" x14ac:dyDescent="0.25">
      <c r="A32" s="9"/>
      <c r="B32" s="9" t="s">
        <v>53</v>
      </c>
      <c r="C32" s="10">
        <v>0</v>
      </c>
      <c r="D32" s="54">
        <v>0</v>
      </c>
      <c r="E32" s="10">
        <v>0</v>
      </c>
      <c r="F32" s="9">
        <v>0.34</v>
      </c>
      <c r="G32" s="8">
        <f>I64</f>
        <v>0</v>
      </c>
      <c r="H32" s="54"/>
      <c r="I32" s="29"/>
    </row>
    <row r="33" spans="1:9" x14ac:dyDescent="0.25">
      <c r="A33" s="9"/>
      <c r="B33" s="11" t="s">
        <v>944</v>
      </c>
      <c r="C33" s="10" t="s">
        <v>71</v>
      </c>
      <c r="D33" s="29"/>
      <c r="E33" s="10">
        <v>0</v>
      </c>
      <c r="F33" s="11">
        <v>-12156.05</v>
      </c>
      <c r="G33" s="10"/>
      <c r="H33" s="29"/>
      <c r="I33" s="54"/>
    </row>
    <row r="34" spans="1:9" x14ac:dyDescent="0.25">
      <c r="A34" s="8"/>
      <c r="B34" s="11" t="s">
        <v>945</v>
      </c>
      <c r="C34" s="10"/>
      <c r="D34" s="29"/>
      <c r="E34" s="10"/>
      <c r="F34" s="9"/>
      <c r="G34" s="10"/>
      <c r="H34" s="29"/>
      <c r="I34" s="35"/>
    </row>
    <row r="35" spans="1:9" x14ac:dyDescent="0.25">
      <c r="A35" s="1" t="s">
        <v>58</v>
      </c>
      <c r="B35" s="60"/>
      <c r="C35" s="60"/>
      <c r="D35" s="60"/>
      <c r="E35" s="60"/>
      <c r="F35" s="60"/>
      <c r="G35" s="60"/>
      <c r="H35" s="37"/>
      <c r="I35" s="37"/>
    </row>
    <row r="36" spans="1:9" x14ac:dyDescent="0.25">
      <c r="A36" s="68" t="s">
        <v>196</v>
      </c>
      <c r="B36" s="57" t="s">
        <v>60</v>
      </c>
      <c r="C36" s="9" t="s">
        <v>64</v>
      </c>
      <c r="D36" s="6" t="s">
        <v>62</v>
      </c>
      <c r="E36" s="50" t="s">
        <v>63</v>
      </c>
      <c r="F36" s="6" t="s">
        <v>61</v>
      </c>
      <c r="G36" s="9"/>
      <c r="H36" s="8" t="s">
        <v>199</v>
      </c>
      <c r="I36" s="50"/>
    </row>
    <row r="37" spans="1:9" x14ac:dyDescent="0.25">
      <c r="A37" s="60"/>
      <c r="B37" s="59"/>
      <c r="C37" s="9" t="s">
        <v>66</v>
      </c>
      <c r="D37" s="9" t="s">
        <v>23</v>
      </c>
      <c r="E37" s="10" t="s">
        <v>312</v>
      </c>
      <c r="F37" s="189" t="s">
        <v>30</v>
      </c>
      <c r="G37" s="189"/>
      <c r="H37" s="74"/>
      <c r="I37" s="53"/>
    </row>
    <row r="38" spans="1:9" x14ac:dyDescent="0.25">
      <c r="A38" s="74"/>
      <c r="B38" s="15" t="s">
        <v>68</v>
      </c>
      <c r="C38" s="40">
        <v>9307.5</v>
      </c>
      <c r="D38" s="62">
        <v>5553</v>
      </c>
      <c r="E38" s="39">
        <f>D38*15%</f>
        <v>832.94999999999993</v>
      </c>
      <c r="F38" s="190">
        <f>C38+(D38-E38)</f>
        <v>14027.55</v>
      </c>
      <c r="G38" s="190"/>
      <c r="H38" s="79">
        <f>F38-G38</f>
        <v>14027.55</v>
      </c>
      <c r="I38" s="53"/>
    </row>
    <row r="39" spans="1:9" x14ac:dyDescent="0.25">
      <c r="A39" s="5" t="s">
        <v>69</v>
      </c>
      <c r="B39" s="5"/>
      <c r="C39" s="5"/>
      <c r="D39" s="56"/>
      <c r="E39" s="5"/>
      <c r="F39" s="5"/>
      <c r="G39" s="5"/>
      <c r="H39" s="5"/>
      <c r="I39" s="5"/>
    </row>
    <row r="40" spans="1:9" x14ac:dyDescent="0.25">
      <c r="A40" s="1" t="s">
        <v>70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 t="s">
        <v>71</v>
      </c>
      <c r="B41" s="57" t="s">
        <v>72</v>
      </c>
      <c r="C41" s="6" t="s">
        <v>73</v>
      </c>
      <c r="D41" s="58" t="s">
        <v>74</v>
      </c>
      <c r="E41" s="6" t="s">
        <v>75</v>
      </c>
      <c r="F41" s="58" t="s">
        <v>76</v>
      </c>
      <c r="G41" s="6" t="s">
        <v>77</v>
      </c>
      <c r="H41" s="58" t="s">
        <v>78</v>
      </c>
      <c r="I41" s="6" t="s">
        <v>19</v>
      </c>
    </row>
    <row r="42" spans="1:9" x14ac:dyDescent="0.25">
      <c r="A42" s="7"/>
      <c r="B42" s="59" t="s">
        <v>79</v>
      </c>
      <c r="C42" s="7" t="s">
        <v>80</v>
      </c>
      <c r="D42" s="60" t="s">
        <v>81</v>
      </c>
      <c r="E42" s="7" t="s">
        <v>82</v>
      </c>
      <c r="F42" s="60" t="s">
        <v>83</v>
      </c>
      <c r="G42" s="7" t="s">
        <v>84</v>
      </c>
      <c r="H42" s="60" t="s">
        <v>85</v>
      </c>
      <c r="I42" s="7" t="s">
        <v>86</v>
      </c>
    </row>
    <row r="43" spans="1:9" x14ac:dyDescent="0.25">
      <c r="A43" s="7"/>
      <c r="B43" s="59"/>
      <c r="C43" s="7"/>
      <c r="D43" s="60"/>
      <c r="E43" s="7"/>
      <c r="F43" s="60" t="s">
        <v>87</v>
      </c>
      <c r="G43" s="7" t="s">
        <v>88</v>
      </c>
      <c r="H43" s="60"/>
      <c r="I43" s="7" t="s">
        <v>239</v>
      </c>
    </row>
    <row r="44" spans="1:9" x14ac:dyDescent="0.25">
      <c r="A44" s="9">
        <v>1</v>
      </c>
      <c r="B44" s="9" t="s">
        <v>90</v>
      </c>
      <c r="C44" s="42" t="s">
        <v>91</v>
      </c>
      <c r="D44" s="6">
        <v>-11764.54</v>
      </c>
      <c r="E44" s="95">
        <v>152936.32000000001</v>
      </c>
      <c r="F44" s="8">
        <v>146892.49</v>
      </c>
      <c r="G44" s="9">
        <f>E44</f>
        <v>152936.32000000001</v>
      </c>
      <c r="H44" s="9">
        <f>D44+F44-G44</f>
        <v>-17808.370000000024</v>
      </c>
      <c r="I44" s="49">
        <f>H44</f>
        <v>-17808.370000000024</v>
      </c>
    </row>
    <row r="45" spans="1:9" x14ac:dyDescent="0.25">
      <c r="A45" s="9"/>
      <c r="B45" s="9" t="s">
        <v>92</v>
      </c>
      <c r="C45" s="41" t="s">
        <v>946</v>
      </c>
      <c r="D45" s="6"/>
      <c r="E45" s="65"/>
      <c r="F45" s="8"/>
      <c r="G45" s="62"/>
      <c r="H45" s="62"/>
      <c r="I45" s="49"/>
    </row>
    <row r="46" spans="1:9" x14ac:dyDescent="0.25">
      <c r="A46" s="9">
        <v>2</v>
      </c>
      <c r="B46" s="9" t="s">
        <v>168</v>
      </c>
      <c r="C46" s="41" t="s">
        <v>95</v>
      </c>
      <c r="D46" s="9">
        <v>-49178.73</v>
      </c>
      <c r="E46" s="65">
        <v>228600.56</v>
      </c>
      <c r="F46" s="8">
        <v>215179.77</v>
      </c>
      <c r="G46" s="62">
        <f>E46</f>
        <v>228600.56</v>
      </c>
      <c r="H46" s="62">
        <f>D46+F46-G46</f>
        <v>-62599.520000000019</v>
      </c>
      <c r="I46" s="49">
        <f>H46</f>
        <v>-62599.520000000019</v>
      </c>
    </row>
    <row r="47" spans="1:9" x14ac:dyDescent="0.25">
      <c r="A47" s="9"/>
      <c r="B47" s="9" t="s">
        <v>202</v>
      </c>
      <c r="C47" s="41" t="s">
        <v>946</v>
      </c>
      <c r="D47" s="9"/>
      <c r="E47" s="65"/>
      <c r="F47" s="8"/>
      <c r="G47" s="62"/>
      <c r="H47" s="62"/>
      <c r="I47" s="49"/>
    </row>
    <row r="48" spans="1:9" x14ac:dyDescent="0.25">
      <c r="A48" s="9">
        <v>3</v>
      </c>
      <c r="B48" s="9" t="s">
        <v>98</v>
      </c>
      <c r="C48" s="41" t="s">
        <v>203</v>
      </c>
      <c r="D48" s="9">
        <v>-198330.1</v>
      </c>
      <c r="E48" s="10">
        <v>775576.02</v>
      </c>
      <c r="F48" s="8">
        <v>756183.86</v>
      </c>
      <c r="G48" s="62">
        <f>E48</f>
        <v>775576.02</v>
      </c>
      <c r="H48" s="62">
        <f>D48+F48-G48</f>
        <v>-217722.26</v>
      </c>
      <c r="I48" s="9">
        <f>H48</f>
        <v>-217722.26</v>
      </c>
    </row>
    <row r="49" spans="1:9" x14ac:dyDescent="0.25">
      <c r="A49" s="1" t="s">
        <v>100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101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398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834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205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624</v>
      </c>
      <c r="D54" s="68"/>
      <c r="E54" s="68"/>
      <c r="F54" s="48"/>
      <c r="G54" s="58"/>
      <c r="H54" s="49"/>
      <c r="I54" s="6"/>
    </row>
    <row r="55" spans="1:9" x14ac:dyDescent="0.25">
      <c r="A55" s="69" t="s">
        <v>113</v>
      </c>
      <c r="B55" s="70">
        <v>42851</v>
      </c>
      <c r="C55" s="195" t="s">
        <v>259</v>
      </c>
      <c r="D55" s="60"/>
      <c r="E55" s="60"/>
      <c r="F55" s="51"/>
      <c r="G55" s="37">
        <f>I55/2277.3</f>
        <v>7.9040969569226709</v>
      </c>
      <c r="H55" s="61"/>
      <c r="I55" s="7">
        <v>18000</v>
      </c>
    </row>
    <row r="56" spans="1:9" x14ac:dyDescent="0.25">
      <c r="A56" s="69" t="s">
        <v>38</v>
      </c>
      <c r="B56" s="70">
        <v>43008</v>
      </c>
      <c r="C56" s="60" t="s">
        <v>947</v>
      </c>
      <c r="D56" s="60"/>
      <c r="E56" s="60"/>
      <c r="F56" s="51"/>
      <c r="G56" s="37">
        <f>I56/2277.3</f>
        <v>16.394756949018571</v>
      </c>
      <c r="H56" s="61"/>
      <c r="I56" s="7">
        <v>37335.78</v>
      </c>
    </row>
    <row r="57" spans="1:9" x14ac:dyDescent="0.25">
      <c r="A57" s="69" t="s">
        <v>40</v>
      </c>
      <c r="B57" s="70">
        <v>43032</v>
      </c>
      <c r="C57" s="60" t="s">
        <v>116</v>
      </c>
      <c r="D57" s="60"/>
      <c r="E57" s="60"/>
      <c r="F57" s="51"/>
      <c r="G57" s="37">
        <f>I57/2277.3</f>
        <v>1.3173494928204452</v>
      </c>
      <c r="H57" s="61"/>
      <c r="I57" s="7">
        <v>3000</v>
      </c>
    </row>
    <row r="58" spans="1:9" x14ac:dyDescent="0.25">
      <c r="A58" s="69" t="s">
        <v>42</v>
      </c>
      <c r="B58" s="70">
        <v>43039</v>
      </c>
      <c r="C58" s="60" t="s">
        <v>948</v>
      </c>
      <c r="D58" s="60"/>
      <c r="E58" s="60"/>
      <c r="F58" s="51"/>
      <c r="G58" s="37">
        <f>I58/2277.3</f>
        <v>2.3032275062574099</v>
      </c>
      <c r="H58" s="61"/>
      <c r="I58" s="7">
        <v>5245.14</v>
      </c>
    </row>
    <row r="59" spans="1:9" x14ac:dyDescent="0.25">
      <c r="A59" s="69" t="s">
        <v>44</v>
      </c>
      <c r="B59" s="70">
        <v>43080</v>
      </c>
      <c r="C59" s="60" t="s">
        <v>949</v>
      </c>
      <c r="D59" s="60"/>
      <c r="E59" s="60"/>
      <c r="F59" s="51"/>
      <c r="G59" s="37">
        <f>I59/2277.3</f>
        <v>0.50719272823079953</v>
      </c>
      <c r="H59" s="61"/>
      <c r="I59" s="7">
        <v>1155.03</v>
      </c>
    </row>
    <row r="60" spans="1:9" x14ac:dyDescent="0.25">
      <c r="A60" s="69"/>
      <c r="B60" s="7"/>
      <c r="C60" s="5" t="s">
        <v>118</v>
      </c>
      <c r="D60" s="5"/>
      <c r="E60" s="5"/>
      <c r="F60" s="59"/>
      <c r="G60" s="20">
        <f>SUM(G55:G59)</f>
        <v>28.426623633249896</v>
      </c>
      <c r="H60" s="71"/>
      <c r="I60" s="18">
        <f>SUM(I55:I59)</f>
        <v>64735.95</v>
      </c>
    </row>
    <row r="61" spans="1:9" x14ac:dyDescent="0.25">
      <c r="A61" s="6"/>
      <c r="B61" s="6"/>
      <c r="C61" s="48"/>
      <c r="D61" s="58"/>
      <c r="E61" s="49"/>
      <c r="F61" s="48"/>
      <c r="G61" s="58"/>
      <c r="H61" s="49"/>
      <c r="I61" s="6"/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49"/>
      <c r="F62" s="48" t="s">
        <v>121</v>
      </c>
      <c r="G62" s="58"/>
      <c r="H62" s="49"/>
      <c r="I62" s="6"/>
    </row>
    <row r="63" spans="1:9" x14ac:dyDescent="0.25">
      <c r="A63" s="69" t="s">
        <v>71</v>
      </c>
      <c r="B63" s="70"/>
      <c r="C63" s="51"/>
      <c r="D63" s="60"/>
      <c r="E63" s="61"/>
      <c r="F63" s="51"/>
      <c r="G63" s="37" t="s">
        <v>71</v>
      </c>
      <c r="H63" s="61"/>
      <c r="I63" s="7"/>
    </row>
    <row r="64" spans="1:9" x14ac:dyDescent="0.25">
      <c r="A64" s="73"/>
      <c r="B64" s="62" t="s">
        <v>119</v>
      </c>
      <c r="C64" s="15" t="s">
        <v>118</v>
      </c>
      <c r="D64" s="14"/>
      <c r="E64" s="85"/>
      <c r="F64" s="15" t="s">
        <v>71</v>
      </c>
      <c r="G64" s="78">
        <f>SUM(G63:G63)</f>
        <v>0</v>
      </c>
      <c r="H64" s="85"/>
      <c r="I64" s="12">
        <f>SUM(I63:I63)</f>
        <v>0</v>
      </c>
    </row>
    <row r="65" spans="1:9" x14ac:dyDescent="0.25">
      <c r="A65" s="2" t="s">
        <v>950</v>
      </c>
      <c r="B65" s="2"/>
      <c r="C65" s="2" t="s">
        <v>123</v>
      </c>
      <c r="D65" s="2"/>
      <c r="E65" s="2" t="s">
        <v>124</v>
      </c>
      <c r="H65" s="2" t="s">
        <v>125</v>
      </c>
      <c r="I65" s="2" t="s">
        <v>126</v>
      </c>
    </row>
    <row r="66" spans="1:9" x14ac:dyDescent="0.25">
      <c r="B66" s="2"/>
    </row>
  </sheetData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110" zoomScaleNormal="110" workbookViewId="0">
      <selection activeCell="C7" sqref="C7"/>
    </sheetView>
  </sheetViews>
  <sheetFormatPr defaultRowHeight="15" x14ac:dyDescent="0.25"/>
  <cols>
    <col min="1" max="1" width="4.28515625" style="3" customWidth="1"/>
    <col min="2" max="2" width="32.140625" style="3" customWidth="1"/>
    <col min="3" max="3" width="13.5703125" style="3" customWidth="1"/>
    <col min="4" max="4" width="12.140625" style="3" customWidth="1"/>
    <col min="5" max="7" width="9.140625" style="3"/>
    <col min="8" max="8" width="11.42578125" style="3" customWidth="1"/>
    <col min="9" max="9" width="20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951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952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953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954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955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549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956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5" t="s">
        <v>110</v>
      </c>
      <c r="B18" s="12" t="s">
        <v>323</v>
      </c>
      <c r="C18" s="12">
        <v>7.97</v>
      </c>
      <c r="D18" s="17">
        <v>-15530.19</v>
      </c>
      <c r="E18" s="14">
        <v>341097.19</v>
      </c>
      <c r="F18" s="15">
        <v>327740.40000000002</v>
      </c>
      <c r="G18" s="17">
        <f>E18</f>
        <v>341097.19</v>
      </c>
      <c r="H18" s="13">
        <f>D18+F18-G18</f>
        <v>-28886.979999999981</v>
      </c>
      <c r="I18" s="17">
        <f>H18</f>
        <v>-28886.979999999981</v>
      </c>
    </row>
    <row r="19" spans="1:9" x14ac:dyDescent="0.25">
      <c r="A19" s="7" t="s">
        <v>36</v>
      </c>
      <c r="B19" s="62" t="s">
        <v>37</v>
      </c>
      <c r="C19" s="62">
        <v>2.62</v>
      </c>
      <c r="D19" s="54"/>
      <c r="E19" s="79">
        <f>E18*33/100</f>
        <v>112562.07269999999</v>
      </c>
      <c r="F19" s="55">
        <f>F18*33%</f>
        <v>108154.33200000001</v>
      </c>
      <c r="G19" s="54">
        <f t="shared" ref="G19:G25" si="0">E19</f>
        <v>112562.07269999999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86">
        <f>E18*17/100</f>
        <v>57986.522300000004</v>
      </c>
      <c r="F20" s="105">
        <f>F18*17/100</f>
        <v>55715.868000000009</v>
      </c>
      <c r="G20" s="22">
        <f t="shared" si="0"/>
        <v>57986.522300000004</v>
      </c>
      <c r="H20" s="30"/>
      <c r="I20" s="75"/>
    </row>
    <row r="21" spans="1:9" x14ac:dyDescent="0.25">
      <c r="A21" s="36" t="s">
        <v>40</v>
      </c>
      <c r="B21" s="9" t="s">
        <v>41</v>
      </c>
      <c r="C21" s="9">
        <v>1.63</v>
      </c>
      <c r="D21" s="29"/>
      <c r="E21" s="39">
        <f>E18*20/100</f>
        <v>68219.437999999995</v>
      </c>
      <c r="F21" s="40">
        <f>F18*20/100</f>
        <v>65548.08</v>
      </c>
      <c r="G21" s="29">
        <f t="shared" si="0"/>
        <v>68219.437999999995</v>
      </c>
      <c r="H21" s="39"/>
      <c r="I21" s="29"/>
    </row>
    <row r="22" spans="1:9" x14ac:dyDescent="0.25">
      <c r="A22" s="36" t="s">
        <v>42</v>
      </c>
      <c r="B22" s="9" t="s">
        <v>43</v>
      </c>
      <c r="C22" s="9">
        <v>2.39</v>
      </c>
      <c r="D22" s="29"/>
      <c r="E22" s="39">
        <f>E18*30%</f>
        <v>102329.15699999999</v>
      </c>
      <c r="F22" s="40">
        <f>F18*30%</f>
        <v>98322.12000000001</v>
      </c>
      <c r="G22" s="29">
        <f t="shared" si="0"/>
        <v>102329.15699999999</v>
      </c>
      <c r="H22" s="35"/>
      <c r="I22" s="29"/>
    </row>
    <row r="23" spans="1:9" x14ac:dyDescent="0.25">
      <c r="A23" s="77" t="s">
        <v>46</v>
      </c>
      <c r="B23" s="62" t="s">
        <v>710</v>
      </c>
      <c r="C23" s="53">
        <v>1.93849</v>
      </c>
      <c r="D23" s="9">
        <v>-875.89</v>
      </c>
      <c r="E23" s="10">
        <v>120022.3</v>
      </c>
      <c r="F23" s="8">
        <v>106862.86</v>
      </c>
      <c r="G23" s="9">
        <f>E23</f>
        <v>120022.3</v>
      </c>
      <c r="H23" s="11">
        <f>D23+F23-G23</f>
        <v>-14035.330000000002</v>
      </c>
      <c r="I23" s="46">
        <f>H23</f>
        <v>-14035.330000000002</v>
      </c>
    </row>
    <row r="24" spans="1:9" x14ac:dyDescent="0.25">
      <c r="A24" s="15" t="s">
        <v>48</v>
      </c>
      <c r="B24" s="12" t="s">
        <v>684</v>
      </c>
      <c r="C24" s="85">
        <v>3.15</v>
      </c>
      <c r="D24" s="17">
        <v>-9073.73</v>
      </c>
      <c r="E24" s="78">
        <v>133502.82</v>
      </c>
      <c r="F24" s="16">
        <v>128244.34</v>
      </c>
      <c r="G24" s="17">
        <f t="shared" si="0"/>
        <v>133502.82</v>
      </c>
      <c r="H24" s="13">
        <f>D24+F24-G24</f>
        <v>-14332.210000000006</v>
      </c>
      <c r="I24" s="17">
        <f>H24</f>
        <v>-14332.210000000006</v>
      </c>
    </row>
    <row r="25" spans="1:9" x14ac:dyDescent="0.25">
      <c r="A25" s="11" t="s">
        <v>51</v>
      </c>
      <c r="B25" s="12" t="s">
        <v>49</v>
      </c>
      <c r="C25" s="11" t="s">
        <v>50</v>
      </c>
      <c r="D25" s="43">
        <v>-13131.03</v>
      </c>
      <c r="E25" s="41">
        <v>144858.03</v>
      </c>
      <c r="F25" s="42">
        <v>132740.54</v>
      </c>
      <c r="G25" s="43">
        <f t="shared" si="0"/>
        <v>144858.03</v>
      </c>
      <c r="H25" s="223">
        <f>D25+F25-G25</f>
        <v>-25248.51999999999</v>
      </c>
      <c r="I25" s="43">
        <f>H25</f>
        <v>-25248.51999999999</v>
      </c>
    </row>
    <row r="26" spans="1:9" x14ac:dyDescent="0.25">
      <c r="A26" s="12" t="s">
        <v>55</v>
      </c>
      <c r="B26" s="12" t="s">
        <v>195</v>
      </c>
      <c r="C26" s="12">
        <v>1.82</v>
      </c>
      <c r="D26" s="16">
        <v>60995.33</v>
      </c>
      <c r="E26" s="12">
        <v>77883.509999999995</v>
      </c>
      <c r="F26" s="12">
        <f>F27+F28</f>
        <v>86971.73</v>
      </c>
      <c r="G26" s="12">
        <f>G27</f>
        <v>72419.12</v>
      </c>
      <c r="H26" s="17">
        <f>D26+F26-G26</f>
        <v>75547.94</v>
      </c>
      <c r="I26" s="17"/>
    </row>
    <row r="27" spans="1:9" x14ac:dyDescent="0.25">
      <c r="A27" s="12"/>
      <c r="B27" s="9" t="s">
        <v>53</v>
      </c>
      <c r="C27" s="14"/>
      <c r="D27" s="43"/>
      <c r="E27" s="11"/>
      <c r="F27" s="11">
        <v>74804.14</v>
      </c>
      <c r="G27" s="42">
        <f>I57</f>
        <v>72419.12</v>
      </c>
      <c r="H27" s="43"/>
      <c r="I27" s="17"/>
    </row>
    <row r="28" spans="1:9" x14ac:dyDescent="0.25">
      <c r="A28" s="12"/>
      <c r="B28" s="9" t="s">
        <v>54</v>
      </c>
      <c r="C28" s="14"/>
      <c r="D28" s="21"/>
      <c r="E28" s="12"/>
      <c r="F28" s="18">
        <v>12167.59</v>
      </c>
      <c r="G28" s="59"/>
      <c r="H28" s="21"/>
      <c r="I28" s="17"/>
    </row>
    <row r="29" spans="1:9" x14ac:dyDescent="0.25">
      <c r="A29" s="11" t="s">
        <v>59</v>
      </c>
      <c r="B29" s="12" t="s">
        <v>909</v>
      </c>
      <c r="C29" s="85">
        <v>0</v>
      </c>
      <c r="D29" s="43">
        <v>39976.58</v>
      </c>
      <c r="E29" s="41">
        <v>0</v>
      </c>
      <c r="F29" s="11">
        <f>F30</f>
        <v>0</v>
      </c>
      <c r="G29" s="42">
        <v>0</v>
      </c>
      <c r="H29" s="43">
        <f>D29+F29-G29</f>
        <v>39976.58</v>
      </c>
      <c r="I29" s="54"/>
    </row>
    <row r="30" spans="1:9" x14ac:dyDescent="0.25">
      <c r="A30" s="9"/>
      <c r="B30" s="9" t="s">
        <v>53</v>
      </c>
      <c r="C30" s="10">
        <v>0</v>
      </c>
      <c r="D30" s="54">
        <v>0</v>
      </c>
      <c r="E30" s="10">
        <v>0</v>
      </c>
      <c r="F30" s="9"/>
      <c r="G30" s="8">
        <v>0</v>
      </c>
      <c r="H30" s="54"/>
      <c r="I30" s="29"/>
    </row>
    <row r="31" spans="1:9" x14ac:dyDescent="0.25">
      <c r="A31" s="1" t="s">
        <v>58</v>
      </c>
      <c r="B31" s="60"/>
      <c r="C31" s="60"/>
      <c r="D31" s="60"/>
      <c r="E31" s="60"/>
      <c r="F31" s="60"/>
      <c r="G31" s="60"/>
      <c r="H31" s="37"/>
      <c r="I31" s="37"/>
    </row>
    <row r="32" spans="1:9" x14ac:dyDescent="0.25">
      <c r="A32" s="68" t="s">
        <v>196</v>
      </c>
      <c r="B32" s="57" t="s">
        <v>60</v>
      </c>
      <c r="C32" s="9" t="s">
        <v>64</v>
      </c>
      <c r="D32" s="6" t="s">
        <v>62</v>
      </c>
      <c r="E32" s="50" t="s">
        <v>63</v>
      </c>
      <c r="F32" s="6" t="s">
        <v>61</v>
      </c>
      <c r="G32" s="9"/>
      <c r="H32" s="8" t="s">
        <v>199</v>
      </c>
      <c r="I32" s="50"/>
    </row>
    <row r="33" spans="1:9" x14ac:dyDescent="0.25">
      <c r="A33" s="60"/>
      <c r="B33" s="59"/>
      <c r="C33" s="9" t="s">
        <v>66</v>
      </c>
      <c r="D33" s="9" t="s">
        <v>23</v>
      </c>
      <c r="E33" s="10" t="s">
        <v>312</v>
      </c>
      <c r="F33" s="189" t="s">
        <v>30</v>
      </c>
      <c r="G33" s="189"/>
      <c r="H33" s="74"/>
      <c r="I33" s="53"/>
    </row>
    <row r="34" spans="1:9" x14ac:dyDescent="0.25">
      <c r="A34" s="74"/>
      <c r="B34" s="15" t="s">
        <v>68</v>
      </c>
      <c r="C34" s="40">
        <v>4653.75</v>
      </c>
      <c r="D34" s="62">
        <v>5553</v>
      </c>
      <c r="E34" s="39">
        <f>D34*15%</f>
        <v>832.94999999999993</v>
      </c>
      <c r="F34" s="190">
        <f>C34+(D34-E34)</f>
        <v>9373.7999999999993</v>
      </c>
      <c r="G34" s="190"/>
      <c r="H34" s="79">
        <f>F34-G34</f>
        <v>9373.7999999999993</v>
      </c>
      <c r="I34" s="53"/>
    </row>
    <row r="35" spans="1:9" x14ac:dyDescent="0.25">
      <c r="A35" s="5" t="s">
        <v>69</v>
      </c>
      <c r="B35" s="5"/>
      <c r="C35" s="5"/>
      <c r="D35" s="56"/>
      <c r="E35" s="5"/>
      <c r="F35" s="5"/>
      <c r="G35" s="5"/>
      <c r="H35" s="5"/>
      <c r="I35" s="5"/>
    </row>
    <row r="36" spans="1:9" x14ac:dyDescent="0.25">
      <c r="A36" s="1" t="s">
        <v>70</v>
      </c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6" t="s">
        <v>71</v>
      </c>
      <c r="B37" s="57" t="s">
        <v>72</v>
      </c>
      <c r="C37" s="6" t="s">
        <v>73</v>
      </c>
      <c r="D37" s="58" t="s">
        <v>74</v>
      </c>
      <c r="E37" s="6" t="s">
        <v>75</v>
      </c>
      <c r="F37" s="58" t="s">
        <v>76</v>
      </c>
      <c r="G37" s="6" t="s">
        <v>77</v>
      </c>
      <c r="H37" s="58" t="s">
        <v>78</v>
      </c>
      <c r="I37" s="6" t="s">
        <v>19</v>
      </c>
    </row>
    <row r="38" spans="1:9" x14ac:dyDescent="0.25">
      <c r="A38" s="7"/>
      <c r="B38" s="59" t="s">
        <v>79</v>
      </c>
      <c r="C38" s="7" t="s">
        <v>80</v>
      </c>
      <c r="D38" s="60" t="s">
        <v>81</v>
      </c>
      <c r="E38" s="7" t="s">
        <v>82</v>
      </c>
      <c r="F38" s="60" t="s">
        <v>83</v>
      </c>
      <c r="G38" s="7" t="s">
        <v>84</v>
      </c>
      <c r="H38" s="60" t="s">
        <v>893</v>
      </c>
      <c r="I38" s="7" t="s">
        <v>86</v>
      </c>
    </row>
    <row r="39" spans="1:9" x14ac:dyDescent="0.25">
      <c r="A39" s="7"/>
      <c r="B39" s="59"/>
      <c r="C39" s="7"/>
      <c r="D39" s="60"/>
      <c r="E39" s="7"/>
      <c r="F39" s="60" t="s">
        <v>87</v>
      </c>
      <c r="G39" s="7" t="s">
        <v>88</v>
      </c>
      <c r="H39" s="60" t="s">
        <v>33</v>
      </c>
      <c r="I39" s="7" t="s">
        <v>239</v>
      </c>
    </row>
    <row r="40" spans="1:9" x14ac:dyDescent="0.25">
      <c r="A40" s="62"/>
      <c r="B40" s="62"/>
      <c r="C40" s="14"/>
      <c r="D40" s="7"/>
      <c r="E40" s="74"/>
      <c r="F40" s="52"/>
      <c r="G40" s="7"/>
      <c r="H40" s="7"/>
      <c r="I40" s="61"/>
    </row>
    <row r="41" spans="1:9" x14ac:dyDescent="0.25">
      <c r="A41" s="9">
        <v>1</v>
      </c>
      <c r="B41" s="9" t="s">
        <v>90</v>
      </c>
      <c r="C41" s="42" t="s">
        <v>91</v>
      </c>
      <c r="D41" s="6">
        <v>-18976.36</v>
      </c>
      <c r="E41" s="95">
        <v>232269.9</v>
      </c>
      <c r="F41" s="8">
        <v>223180.73</v>
      </c>
      <c r="G41" s="9">
        <f>E41</f>
        <v>232269.9</v>
      </c>
      <c r="H41" s="9">
        <f>D41+F41-G41</f>
        <v>-28065.53</v>
      </c>
      <c r="I41" s="49">
        <f>H41</f>
        <v>-28065.53</v>
      </c>
    </row>
    <row r="42" spans="1:9" x14ac:dyDescent="0.25">
      <c r="A42" s="9"/>
      <c r="B42" s="9" t="s">
        <v>521</v>
      </c>
      <c r="C42" s="41" t="s">
        <v>93</v>
      </c>
      <c r="D42" s="6"/>
      <c r="E42" s="65"/>
      <c r="F42" s="8"/>
      <c r="G42" s="62"/>
      <c r="H42" s="62"/>
      <c r="I42" s="49"/>
    </row>
    <row r="43" spans="1:9" x14ac:dyDescent="0.25">
      <c r="A43" s="9">
        <v>2</v>
      </c>
      <c r="B43" s="9" t="s">
        <v>168</v>
      </c>
      <c r="C43" s="41" t="s">
        <v>95</v>
      </c>
      <c r="D43" s="9">
        <v>-79324.97</v>
      </c>
      <c r="E43" s="65">
        <v>382723.53</v>
      </c>
      <c r="F43" s="8">
        <v>351015.67</v>
      </c>
      <c r="G43" s="62">
        <f>E43</f>
        <v>382723.53</v>
      </c>
      <c r="H43" s="62">
        <f>D43+F43-G43</f>
        <v>-111032.83000000007</v>
      </c>
      <c r="I43" s="49">
        <f>H43</f>
        <v>-111032.83000000007</v>
      </c>
    </row>
    <row r="44" spans="1:9" x14ac:dyDescent="0.25">
      <c r="A44" s="9"/>
      <c r="B44" s="9" t="s">
        <v>521</v>
      </c>
      <c r="C44" s="41" t="s">
        <v>93</v>
      </c>
      <c r="D44" s="9"/>
      <c r="E44" s="65"/>
      <c r="F44" s="8"/>
      <c r="G44" s="62"/>
      <c r="H44" s="62"/>
      <c r="I44" s="49"/>
    </row>
    <row r="45" spans="1:9" x14ac:dyDescent="0.25">
      <c r="A45" s="9">
        <v>3</v>
      </c>
      <c r="B45" s="9" t="s">
        <v>98</v>
      </c>
      <c r="C45" s="41" t="s">
        <v>203</v>
      </c>
      <c r="D45" s="9">
        <v>-319908.99</v>
      </c>
      <c r="E45" s="10">
        <v>1251452.07</v>
      </c>
      <c r="F45" s="8">
        <v>1210833.53</v>
      </c>
      <c r="G45" s="62">
        <f>E45</f>
        <v>1251452.07</v>
      </c>
      <c r="H45" s="62">
        <f>D45+F45-G45</f>
        <v>-360527.53</v>
      </c>
      <c r="I45" s="9">
        <f>H45</f>
        <v>-360527.53</v>
      </c>
    </row>
    <row r="46" spans="1:9" x14ac:dyDescent="0.25">
      <c r="A46" s="1" t="s">
        <v>100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5" t="s">
        <v>101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48" t="s">
        <v>12</v>
      </c>
      <c r="B48" s="6" t="s">
        <v>102</v>
      </c>
      <c r="C48" s="58" t="s">
        <v>103</v>
      </c>
      <c r="D48" s="58"/>
      <c r="E48" s="58"/>
      <c r="F48" s="48" t="s">
        <v>398</v>
      </c>
      <c r="G48" s="58"/>
      <c r="H48" s="49"/>
      <c r="I48" s="6" t="s">
        <v>105</v>
      </c>
    </row>
    <row r="49" spans="1:9" x14ac:dyDescent="0.25">
      <c r="A49" s="51" t="s">
        <v>106</v>
      </c>
      <c r="B49" s="7"/>
      <c r="C49" s="60"/>
      <c r="D49" s="60"/>
      <c r="E49" s="60"/>
      <c r="F49" s="51" t="s">
        <v>834</v>
      </c>
      <c r="G49" s="60"/>
      <c r="H49" s="61"/>
      <c r="I49" s="7" t="s">
        <v>108</v>
      </c>
    </row>
    <row r="50" spans="1:9" x14ac:dyDescent="0.25">
      <c r="A50" s="51"/>
      <c r="B50" s="62"/>
      <c r="C50" s="60"/>
      <c r="D50" s="60"/>
      <c r="E50" s="60"/>
      <c r="F50" s="51" t="s">
        <v>205</v>
      </c>
      <c r="G50" s="60"/>
      <c r="H50" s="61"/>
      <c r="I50" s="7"/>
    </row>
    <row r="51" spans="1:9" x14ac:dyDescent="0.25">
      <c r="A51" s="67" t="s">
        <v>110</v>
      </c>
      <c r="B51" s="18"/>
      <c r="C51" s="68" t="s">
        <v>624</v>
      </c>
      <c r="D51" s="68"/>
      <c r="E51" s="68"/>
      <c r="F51" s="48"/>
      <c r="G51" s="58"/>
      <c r="H51" s="49"/>
      <c r="I51" s="6"/>
    </row>
    <row r="52" spans="1:9" x14ac:dyDescent="0.25">
      <c r="A52" s="69" t="s">
        <v>113</v>
      </c>
      <c r="B52" s="70">
        <v>42851</v>
      </c>
      <c r="C52" s="195" t="s">
        <v>259</v>
      </c>
      <c r="D52" s="60"/>
      <c r="E52" s="60"/>
      <c r="F52" s="51"/>
      <c r="G52" s="37">
        <f>I52/4011.9</f>
        <v>1.6949575014332361</v>
      </c>
      <c r="H52" s="61"/>
      <c r="I52" s="7">
        <v>6800</v>
      </c>
    </row>
    <row r="53" spans="1:9" x14ac:dyDescent="0.25">
      <c r="A53" s="69" t="s">
        <v>38</v>
      </c>
      <c r="B53" s="70">
        <v>43005</v>
      </c>
      <c r="C53" s="60" t="s">
        <v>957</v>
      </c>
      <c r="D53" s="60"/>
      <c r="E53" s="60"/>
      <c r="F53" s="51"/>
      <c r="G53" s="37">
        <f>I53/4011.9</f>
        <v>12.361225354570154</v>
      </c>
      <c r="H53" s="61"/>
      <c r="I53" s="7">
        <v>49592</v>
      </c>
    </row>
    <row r="54" spans="1:9" x14ac:dyDescent="0.25">
      <c r="A54" s="69" t="s">
        <v>40</v>
      </c>
      <c r="B54" s="70">
        <v>43039</v>
      </c>
      <c r="C54" s="60" t="s">
        <v>958</v>
      </c>
      <c r="D54" s="60"/>
      <c r="E54" s="60"/>
      <c r="F54" s="51"/>
      <c r="G54" s="37">
        <f>I54/4011.9</f>
        <v>0.6084673097534834</v>
      </c>
      <c r="H54" s="61"/>
      <c r="I54" s="7">
        <v>2441.11</v>
      </c>
    </row>
    <row r="55" spans="1:9" x14ac:dyDescent="0.25">
      <c r="A55" s="69" t="s">
        <v>42</v>
      </c>
      <c r="B55" s="70" t="s">
        <v>655</v>
      </c>
      <c r="C55" s="60" t="s">
        <v>959</v>
      </c>
      <c r="D55" s="60"/>
      <c r="E55" s="60"/>
      <c r="F55" s="51"/>
      <c r="G55" s="37">
        <f>I55/4011.9</f>
        <v>1.7976519853436028</v>
      </c>
      <c r="H55" s="61"/>
      <c r="I55" s="7">
        <v>7212</v>
      </c>
    </row>
    <row r="56" spans="1:9" x14ac:dyDescent="0.25">
      <c r="A56" s="69" t="s">
        <v>44</v>
      </c>
      <c r="B56" s="70" t="s">
        <v>867</v>
      </c>
      <c r="C56" s="60" t="s">
        <v>960</v>
      </c>
      <c r="D56" s="60"/>
      <c r="E56" s="60"/>
      <c r="F56" s="51"/>
      <c r="G56" s="37">
        <f>I56/4011.9</f>
        <v>1.5887758917221266</v>
      </c>
      <c r="H56" s="61"/>
      <c r="I56" s="7">
        <v>6374.01</v>
      </c>
    </row>
    <row r="57" spans="1:9" x14ac:dyDescent="0.25">
      <c r="A57" s="69"/>
      <c r="B57" s="7"/>
      <c r="C57" s="5" t="s">
        <v>118</v>
      </c>
      <c r="D57" s="5"/>
      <c r="E57" s="5"/>
      <c r="F57" s="59"/>
      <c r="G57" s="20">
        <f>SUM(G52:G56)</f>
        <v>18.051078042822603</v>
      </c>
      <c r="H57" s="71"/>
      <c r="I57" s="18">
        <f>SUM(I52:I56)</f>
        <v>72419.12</v>
      </c>
    </row>
    <row r="58" spans="1:9" x14ac:dyDescent="0.25">
      <c r="A58" s="6"/>
      <c r="B58" s="6"/>
      <c r="C58" s="48"/>
      <c r="D58" s="58"/>
      <c r="E58" s="49"/>
      <c r="F58" s="48"/>
      <c r="G58" s="58"/>
      <c r="H58" s="49"/>
      <c r="I58" s="6"/>
    </row>
    <row r="59" spans="1:9" x14ac:dyDescent="0.25">
      <c r="A59" s="6" t="s">
        <v>48</v>
      </c>
      <c r="B59" s="25" t="s">
        <v>119</v>
      </c>
      <c r="C59" s="57" t="s">
        <v>120</v>
      </c>
      <c r="D59" s="58"/>
      <c r="E59" s="49"/>
      <c r="F59" s="48" t="s">
        <v>121</v>
      </c>
      <c r="G59" s="58"/>
      <c r="H59" s="49"/>
      <c r="I59" s="6"/>
    </row>
    <row r="60" spans="1:9" x14ac:dyDescent="0.25">
      <c r="A60" s="73"/>
      <c r="B60" s="62" t="s">
        <v>119</v>
      </c>
      <c r="C60" s="15" t="s">
        <v>118</v>
      </c>
      <c r="D60" s="14"/>
      <c r="E60" s="85"/>
      <c r="F60" s="15" t="s">
        <v>71</v>
      </c>
      <c r="G60" s="78">
        <v>0</v>
      </c>
      <c r="H60" s="85"/>
      <c r="I60" s="12">
        <v>0</v>
      </c>
    </row>
    <row r="61" spans="1:9" x14ac:dyDescent="0.25">
      <c r="A61" s="2" t="s">
        <v>950</v>
      </c>
      <c r="B61" s="2"/>
      <c r="C61" s="2" t="s">
        <v>123</v>
      </c>
      <c r="D61" s="2"/>
      <c r="E61" s="2" t="s">
        <v>124</v>
      </c>
      <c r="H61" s="2" t="s">
        <v>125</v>
      </c>
      <c r="I61" s="2" t="s">
        <v>126</v>
      </c>
    </row>
    <row r="62" spans="1:9" x14ac:dyDescent="0.25">
      <c r="B62" s="2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="110" zoomScaleNormal="110" workbookViewId="0">
      <selection activeCell="B2" sqref="B2"/>
    </sheetView>
  </sheetViews>
  <sheetFormatPr defaultRowHeight="15" x14ac:dyDescent="0.25"/>
  <cols>
    <col min="1" max="1" width="5" style="3" customWidth="1"/>
    <col min="2" max="2" width="36.5703125" style="3" customWidth="1"/>
    <col min="3" max="3" width="12.85546875" style="3" customWidth="1"/>
    <col min="4" max="4" width="10.5703125" style="3" customWidth="1"/>
    <col min="5" max="5" width="12.42578125" style="3" customWidth="1"/>
    <col min="6" max="6" width="11.28515625" style="3" customWidth="1"/>
    <col min="7" max="7" width="10.85546875" style="3" customWidth="1"/>
    <col min="8" max="8" width="11.28515625" style="3" customWidth="1"/>
    <col min="9" max="9" width="17.4257812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10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10" x14ac:dyDescent="0.25">
      <c r="A6" s="1" t="s">
        <v>961</v>
      </c>
      <c r="B6" s="2"/>
      <c r="C6" s="2"/>
      <c r="D6" s="2"/>
      <c r="E6" s="1"/>
      <c r="F6" s="1"/>
      <c r="G6" s="2"/>
      <c r="H6" s="2"/>
      <c r="I6" s="2"/>
    </row>
    <row r="7" spans="1:10" x14ac:dyDescent="0.25">
      <c r="A7" s="2" t="s">
        <v>962</v>
      </c>
      <c r="B7" s="2"/>
      <c r="C7" s="2"/>
      <c r="D7" s="2"/>
      <c r="E7" s="2"/>
      <c r="F7" s="2"/>
      <c r="G7" s="2"/>
      <c r="H7" s="2"/>
      <c r="I7" s="2"/>
    </row>
    <row r="8" spans="1:10" x14ac:dyDescent="0.25">
      <c r="A8" s="2" t="s">
        <v>963</v>
      </c>
      <c r="B8" s="2"/>
      <c r="C8" s="2"/>
      <c r="D8" s="2"/>
      <c r="E8" s="2"/>
      <c r="F8" s="2"/>
      <c r="G8" s="2"/>
      <c r="H8" s="2"/>
      <c r="I8" s="2"/>
    </row>
    <row r="9" spans="1:10" x14ac:dyDescent="0.25">
      <c r="A9" s="2" t="s">
        <v>964</v>
      </c>
      <c r="B9" s="2"/>
      <c r="C9" s="2"/>
      <c r="D9" s="2"/>
      <c r="E9" s="2"/>
      <c r="F9" s="2"/>
      <c r="G9" s="2"/>
      <c r="H9" s="2"/>
      <c r="I9" s="2"/>
    </row>
    <row r="10" spans="1:10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5"/>
      <c r="B13" s="60"/>
      <c r="C13" s="60"/>
      <c r="D13" s="60"/>
      <c r="E13" s="60"/>
      <c r="F13" s="60"/>
      <c r="G13" s="60"/>
      <c r="H13" s="60"/>
      <c r="I13" s="60"/>
      <c r="J13" s="118"/>
    </row>
    <row r="14" spans="1:10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  <c r="J14" s="118"/>
    </row>
    <row r="15" spans="1:10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233</v>
      </c>
      <c r="J15" s="118"/>
    </row>
    <row r="16" spans="1:10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  <c r="J16" s="118"/>
    </row>
    <row r="17" spans="1:10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  <c r="J17" s="118"/>
    </row>
    <row r="18" spans="1:10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8">
        <v>7</v>
      </c>
      <c r="H18" s="9">
        <v>8</v>
      </c>
      <c r="I18" s="9">
        <v>9</v>
      </c>
      <c r="J18" s="118"/>
    </row>
    <row r="19" spans="1:10" x14ac:dyDescent="0.25">
      <c r="A19" s="14">
        <v>1</v>
      </c>
      <c r="B19" s="12" t="s">
        <v>323</v>
      </c>
      <c r="C19" s="12">
        <v>7.97</v>
      </c>
      <c r="D19" s="17">
        <v>-19419.54</v>
      </c>
      <c r="E19" s="14">
        <v>713015.37</v>
      </c>
      <c r="F19" s="15">
        <v>713661.51</v>
      </c>
      <c r="G19" s="17">
        <f t="shared" ref="G19:G29" si="0">E19</f>
        <v>713015.37</v>
      </c>
      <c r="H19" s="13">
        <f>D19+F19-G19</f>
        <v>-18773.400000000023</v>
      </c>
      <c r="I19" s="17">
        <f>H19+H24</f>
        <v>-17724.960000000021</v>
      </c>
      <c r="J19" s="118"/>
    </row>
    <row r="20" spans="1:10" x14ac:dyDescent="0.25">
      <c r="A20" s="73" t="s">
        <v>113</v>
      </c>
      <c r="B20" s="62" t="s">
        <v>37</v>
      </c>
      <c r="C20" s="62">
        <v>2.62</v>
      </c>
      <c r="D20" s="54"/>
      <c r="E20" s="79">
        <f>E19*33/100</f>
        <v>235295.07210000002</v>
      </c>
      <c r="F20" s="55">
        <f>F19*33/100</f>
        <v>235508.29830000002</v>
      </c>
      <c r="G20" s="54">
        <f t="shared" si="0"/>
        <v>235295.07210000002</v>
      </c>
      <c r="H20" s="80"/>
      <c r="I20" s="54"/>
      <c r="J20" s="118"/>
    </row>
    <row r="21" spans="1:10" x14ac:dyDescent="0.25">
      <c r="A21" s="24" t="s">
        <v>38</v>
      </c>
      <c r="B21" s="6" t="s">
        <v>39</v>
      </c>
      <c r="C21" s="6">
        <v>1.33</v>
      </c>
      <c r="D21" s="75"/>
      <c r="E21" s="86">
        <f>E19*17/100</f>
        <v>121212.61289999999</v>
      </c>
      <c r="F21" s="105">
        <f>F19*17/100</f>
        <v>121322.4567</v>
      </c>
      <c r="G21" s="22">
        <f t="shared" si="0"/>
        <v>121212.61289999999</v>
      </c>
      <c r="H21" s="30"/>
      <c r="I21" s="75"/>
      <c r="J21" s="118"/>
    </row>
    <row r="22" spans="1:10" x14ac:dyDescent="0.25">
      <c r="A22" s="24" t="s">
        <v>40</v>
      </c>
      <c r="B22" s="6" t="s">
        <v>41</v>
      </c>
      <c r="C22" s="6">
        <v>1.63</v>
      </c>
      <c r="D22" s="75"/>
      <c r="E22" s="86">
        <f>E19*20/100</f>
        <v>142603.07399999999</v>
      </c>
      <c r="F22" s="105">
        <f>F19*20/100</f>
        <v>142732.302</v>
      </c>
      <c r="G22" s="75">
        <f t="shared" si="0"/>
        <v>142603.07399999999</v>
      </c>
      <c r="H22" s="29"/>
      <c r="I22" s="75"/>
      <c r="J22" s="118"/>
    </row>
    <row r="23" spans="1:10" x14ac:dyDescent="0.25">
      <c r="A23" s="24" t="s">
        <v>42</v>
      </c>
      <c r="B23" s="6" t="s">
        <v>43</v>
      </c>
      <c r="C23" s="6">
        <v>2.39</v>
      </c>
      <c r="D23" s="75"/>
      <c r="E23" s="86">
        <f>E19*30/100</f>
        <v>213904.611</v>
      </c>
      <c r="F23" s="105">
        <f>F19*30%</f>
        <v>214098.45300000001</v>
      </c>
      <c r="G23" s="75">
        <f t="shared" si="0"/>
        <v>213904.611</v>
      </c>
      <c r="H23" s="30"/>
      <c r="I23" s="75"/>
      <c r="J23" s="118"/>
    </row>
    <row r="24" spans="1:10" x14ac:dyDescent="0.25">
      <c r="A24" s="24" t="s">
        <v>44</v>
      </c>
      <c r="B24" s="6" t="s">
        <v>965</v>
      </c>
      <c r="C24" s="6">
        <v>0.23329</v>
      </c>
      <c r="D24" s="75"/>
      <c r="E24" s="86">
        <v>12289.99</v>
      </c>
      <c r="F24" s="105">
        <v>13338.43</v>
      </c>
      <c r="G24" s="75">
        <f t="shared" si="0"/>
        <v>12289.99</v>
      </c>
      <c r="H24" s="26">
        <f>F24-E24</f>
        <v>1048.4400000000005</v>
      </c>
      <c r="I24" s="45"/>
      <c r="J24" s="118"/>
    </row>
    <row r="25" spans="1:10" x14ac:dyDescent="0.25">
      <c r="A25" s="24" t="s">
        <v>46</v>
      </c>
      <c r="B25" s="6" t="s">
        <v>47</v>
      </c>
      <c r="C25" s="6">
        <v>2.80342</v>
      </c>
      <c r="D25" s="75"/>
      <c r="E25" s="9">
        <v>210537.65</v>
      </c>
      <c r="F25" s="10">
        <v>179041.18</v>
      </c>
      <c r="G25" s="9">
        <f>E25</f>
        <v>210537.65</v>
      </c>
      <c r="H25" s="41">
        <f>F25-E25</f>
        <v>-31496.47</v>
      </c>
      <c r="I25" s="11">
        <f>H25</f>
        <v>-31496.47</v>
      </c>
      <c r="J25" s="118"/>
    </row>
    <row r="26" spans="1:10" x14ac:dyDescent="0.25">
      <c r="A26" s="101" t="s">
        <v>48</v>
      </c>
      <c r="B26" s="11" t="s">
        <v>143</v>
      </c>
      <c r="C26" s="11">
        <v>3.15</v>
      </c>
      <c r="D26" s="43">
        <v>-24295.91</v>
      </c>
      <c r="E26" s="33">
        <v>184108.25</v>
      </c>
      <c r="F26" s="34">
        <v>180355.19</v>
      </c>
      <c r="G26" s="43">
        <f t="shared" si="0"/>
        <v>184108.25</v>
      </c>
      <c r="H26" s="32">
        <f>D26+F26-G26</f>
        <v>-28048.97</v>
      </c>
      <c r="I26" s="43">
        <f>H26</f>
        <v>-28048.97</v>
      </c>
      <c r="J26" s="118"/>
    </row>
    <row r="27" spans="1:10" x14ac:dyDescent="0.25">
      <c r="A27" s="104"/>
      <c r="B27" s="18"/>
      <c r="C27" s="18"/>
      <c r="D27" s="44"/>
      <c r="E27" s="20"/>
      <c r="F27" s="21"/>
      <c r="G27" s="44"/>
      <c r="H27" s="19"/>
      <c r="I27" s="44"/>
      <c r="J27" s="118"/>
    </row>
    <row r="28" spans="1:10" x14ac:dyDescent="0.25">
      <c r="A28" s="104" t="s">
        <v>51</v>
      </c>
      <c r="B28" s="18" t="s">
        <v>966</v>
      </c>
      <c r="C28" s="18">
        <v>0.92</v>
      </c>
      <c r="D28" s="44">
        <v>210.28</v>
      </c>
      <c r="E28" s="20">
        <f>J28+K28+L28+M28+N28+O28+P28+Q28+R28+S28+T28+U28</f>
        <v>0</v>
      </c>
      <c r="F28" s="21">
        <v>0.02</v>
      </c>
      <c r="G28" s="44">
        <f t="shared" si="0"/>
        <v>0</v>
      </c>
      <c r="H28" s="19">
        <f>D28+F28-G28</f>
        <v>210.3</v>
      </c>
      <c r="I28" s="44"/>
      <c r="J28" s="118"/>
    </row>
    <row r="29" spans="1:10" x14ac:dyDescent="0.25">
      <c r="A29" s="11" t="s">
        <v>55</v>
      </c>
      <c r="B29" s="11" t="s">
        <v>49</v>
      </c>
      <c r="C29" s="11" t="s">
        <v>50</v>
      </c>
      <c r="D29" s="43">
        <v>-24026.12</v>
      </c>
      <c r="E29" s="41">
        <v>302828.84999999998</v>
      </c>
      <c r="F29" s="42">
        <v>283494.87</v>
      </c>
      <c r="G29" s="43">
        <f t="shared" si="0"/>
        <v>302828.84999999998</v>
      </c>
      <c r="H29" s="223">
        <f>D29+F29-G29</f>
        <v>-43360.099999999977</v>
      </c>
      <c r="I29" s="43">
        <f>H29</f>
        <v>-43360.099999999977</v>
      </c>
      <c r="J29" s="118"/>
    </row>
    <row r="30" spans="1:10" x14ac:dyDescent="0.25">
      <c r="A30" s="12" t="s">
        <v>59</v>
      </c>
      <c r="B30" s="12" t="s">
        <v>52</v>
      </c>
      <c r="C30" s="12">
        <v>1.82</v>
      </c>
      <c r="D30" s="43">
        <v>15657.16</v>
      </c>
      <c r="E30" s="11">
        <v>332271.21999999997</v>
      </c>
      <c r="F30" s="11">
        <f>F31+F32</f>
        <v>161671.49</v>
      </c>
      <c r="G30" s="11">
        <f>G31</f>
        <v>509416.51</v>
      </c>
      <c r="H30" s="34">
        <f>D30+F30-G30</f>
        <v>-332087.86</v>
      </c>
      <c r="I30" s="43">
        <f>H30</f>
        <v>-332087.86</v>
      </c>
      <c r="J30" s="118"/>
    </row>
    <row r="31" spans="1:10" x14ac:dyDescent="0.25">
      <c r="A31" s="12"/>
      <c r="B31" s="9" t="s">
        <v>53</v>
      </c>
      <c r="C31" s="14"/>
      <c r="D31" s="34"/>
      <c r="E31" s="11"/>
      <c r="F31" s="11">
        <v>160077.31</v>
      </c>
      <c r="G31" s="42">
        <f>I76</f>
        <v>509416.51</v>
      </c>
      <c r="H31" s="34"/>
      <c r="I31" s="43"/>
      <c r="J31" s="118"/>
    </row>
    <row r="32" spans="1:10" x14ac:dyDescent="0.25">
      <c r="A32" s="12"/>
      <c r="B32" s="9" t="s">
        <v>54</v>
      </c>
      <c r="C32" s="14"/>
      <c r="D32" s="34"/>
      <c r="E32" s="11"/>
      <c r="F32" s="11">
        <v>1594.18</v>
      </c>
      <c r="G32" s="42"/>
      <c r="H32" s="43"/>
      <c r="I32" s="17"/>
    </row>
    <row r="33" spans="1:9" x14ac:dyDescent="0.25">
      <c r="A33" s="11" t="s">
        <v>196</v>
      </c>
      <c r="B33" s="11" t="s">
        <v>146</v>
      </c>
      <c r="C33" s="41"/>
      <c r="D33" s="43"/>
      <c r="E33" s="41"/>
      <c r="F33" s="11"/>
      <c r="G33" s="42"/>
      <c r="H33" s="43"/>
      <c r="I33" s="43"/>
    </row>
    <row r="34" spans="1:9" x14ac:dyDescent="0.25">
      <c r="A34" s="12"/>
      <c r="B34" s="12" t="s">
        <v>967</v>
      </c>
      <c r="C34" s="14">
        <v>0</v>
      </c>
      <c r="D34" s="43">
        <v>-46092.22</v>
      </c>
      <c r="E34" s="14">
        <v>0</v>
      </c>
      <c r="F34" s="12">
        <f>F35</f>
        <v>0</v>
      </c>
      <c r="G34" s="15">
        <f>I80</f>
        <v>0</v>
      </c>
      <c r="H34" s="17">
        <f>D34+F34-G34</f>
        <v>-46092.22</v>
      </c>
      <c r="I34" s="17">
        <f>H34</f>
        <v>-46092.22</v>
      </c>
    </row>
    <row r="35" spans="1:9" x14ac:dyDescent="0.25">
      <c r="A35" s="9"/>
      <c r="B35" s="9" t="s">
        <v>53</v>
      </c>
      <c r="C35" s="10">
        <v>0</v>
      </c>
      <c r="D35" s="54"/>
      <c r="E35" s="10">
        <v>0</v>
      </c>
      <c r="F35" s="9">
        <v>0</v>
      </c>
      <c r="G35" s="8"/>
      <c r="H35" s="54"/>
      <c r="I35" s="29"/>
    </row>
    <row r="36" spans="1:9" x14ac:dyDescent="0.25">
      <c r="A36" s="1" t="s">
        <v>58</v>
      </c>
      <c r="B36" s="2"/>
      <c r="C36" s="2"/>
      <c r="E36" s="2"/>
      <c r="F36" s="2"/>
      <c r="G36" s="2"/>
      <c r="H36" s="2"/>
      <c r="I36" s="2"/>
    </row>
    <row r="37" spans="1:9" x14ac:dyDescent="0.25">
      <c r="A37" s="57" t="s">
        <v>197</v>
      </c>
      <c r="B37" s="48" t="s">
        <v>60</v>
      </c>
      <c r="C37" s="48" t="s">
        <v>61</v>
      </c>
      <c r="D37" s="6" t="s">
        <v>62</v>
      </c>
      <c r="E37" s="58" t="s">
        <v>507</v>
      </c>
      <c r="F37" s="48" t="s">
        <v>61</v>
      </c>
      <c r="G37" s="6"/>
      <c r="H37" s="58" t="s">
        <v>199</v>
      </c>
      <c r="I37" s="49"/>
    </row>
    <row r="38" spans="1:9" x14ac:dyDescent="0.25">
      <c r="A38" s="59"/>
      <c r="B38" s="51"/>
      <c r="C38" s="52" t="s">
        <v>66</v>
      </c>
      <c r="D38" s="62" t="s">
        <v>23</v>
      </c>
      <c r="E38" s="74" t="s">
        <v>312</v>
      </c>
      <c r="F38" s="52" t="s">
        <v>30</v>
      </c>
      <c r="G38" s="62"/>
      <c r="H38" s="74"/>
      <c r="I38" s="53"/>
    </row>
    <row r="39" spans="1:9" x14ac:dyDescent="0.25">
      <c r="A39" s="52"/>
      <c r="B39" s="52" t="s">
        <v>68</v>
      </c>
      <c r="C39" s="54">
        <v>19060.5</v>
      </c>
      <c r="D39" s="53">
        <v>13653</v>
      </c>
      <c r="E39" s="54">
        <f>D39*15%</f>
        <v>2047.9499999999998</v>
      </c>
      <c r="F39" s="55">
        <f>C39+(D39-E39)</f>
        <v>30665.55</v>
      </c>
      <c r="G39" s="54"/>
      <c r="H39" s="79">
        <f>F39-G39</f>
        <v>30665.55</v>
      </c>
      <c r="I39" s="53"/>
    </row>
    <row r="40" spans="1:9" x14ac:dyDescent="0.25">
      <c r="A40" s="60"/>
      <c r="B40" s="60"/>
      <c r="C40" s="37"/>
      <c r="D40" s="60"/>
      <c r="E40" s="37"/>
      <c r="F40" s="37"/>
      <c r="G40" s="37"/>
      <c r="H40" s="37"/>
      <c r="I40" s="60"/>
    </row>
    <row r="41" spans="1:9" x14ac:dyDescent="0.25">
      <c r="A41" s="5" t="s">
        <v>69</v>
      </c>
      <c r="B41" s="5"/>
      <c r="C41" s="5"/>
      <c r="D41" s="56"/>
      <c r="E41" s="5"/>
      <c r="F41" s="5"/>
      <c r="G41" s="5"/>
      <c r="H41" s="5"/>
      <c r="I41" s="5"/>
    </row>
    <row r="42" spans="1:9" x14ac:dyDescent="0.25">
      <c r="A42" s="1" t="s">
        <v>70</v>
      </c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6" t="s">
        <v>71</v>
      </c>
      <c r="B43" s="57" t="s">
        <v>72</v>
      </c>
      <c r="C43" s="6" t="s">
        <v>73</v>
      </c>
      <c r="D43" s="58" t="s">
        <v>74</v>
      </c>
      <c r="E43" s="6" t="s">
        <v>75</v>
      </c>
      <c r="F43" s="58" t="s">
        <v>76</v>
      </c>
      <c r="G43" s="6" t="s">
        <v>77</v>
      </c>
      <c r="H43" s="58" t="s">
        <v>78</v>
      </c>
      <c r="I43" s="6" t="s">
        <v>19</v>
      </c>
    </row>
    <row r="44" spans="1:9" x14ac:dyDescent="0.25">
      <c r="A44" s="7"/>
      <c r="B44" s="59" t="s">
        <v>79</v>
      </c>
      <c r="C44" s="7" t="s">
        <v>80</v>
      </c>
      <c r="D44" s="60" t="s">
        <v>81</v>
      </c>
      <c r="E44" s="7" t="s">
        <v>82</v>
      </c>
      <c r="F44" s="60" t="s">
        <v>83</v>
      </c>
      <c r="G44" s="7" t="s">
        <v>84</v>
      </c>
      <c r="H44" s="60" t="s">
        <v>85</v>
      </c>
      <c r="I44" s="7" t="s">
        <v>86</v>
      </c>
    </row>
    <row r="45" spans="1:9" x14ac:dyDescent="0.25">
      <c r="A45" s="7"/>
      <c r="B45" s="51"/>
      <c r="C45" s="7"/>
      <c r="D45" s="60"/>
      <c r="E45" s="7"/>
      <c r="F45" s="60" t="s">
        <v>87</v>
      </c>
      <c r="G45" s="7" t="s">
        <v>88</v>
      </c>
      <c r="H45" s="60"/>
      <c r="I45" s="7" t="s">
        <v>239</v>
      </c>
    </row>
    <row r="46" spans="1:9" x14ac:dyDescent="0.25">
      <c r="A46" s="9"/>
      <c r="B46" s="8"/>
      <c r="C46" s="9"/>
      <c r="D46" s="10"/>
      <c r="E46" s="9"/>
      <c r="F46" s="10"/>
      <c r="G46" s="9"/>
      <c r="H46" s="10"/>
      <c r="I46" s="9"/>
    </row>
    <row r="47" spans="1:9" x14ac:dyDescent="0.25">
      <c r="A47" s="9">
        <v>1</v>
      </c>
      <c r="B47" s="9" t="s">
        <v>90</v>
      </c>
      <c r="C47" s="11" t="s">
        <v>91</v>
      </c>
      <c r="D47" s="9">
        <v>-49914.28</v>
      </c>
      <c r="E47" s="95">
        <v>531524.41</v>
      </c>
      <c r="F47" s="8">
        <v>524096.73</v>
      </c>
      <c r="G47" s="9">
        <f>E47</f>
        <v>531524.41</v>
      </c>
      <c r="H47" s="9">
        <f>D47+F47-G47</f>
        <v>-57341.960000000079</v>
      </c>
      <c r="I47" s="9">
        <f>H47</f>
        <v>-57341.960000000079</v>
      </c>
    </row>
    <row r="48" spans="1:9" x14ac:dyDescent="0.25">
      <c r="A48" s="62"/>
      <c r="B48" s="62" t="s">
        <v>92</v>
      </c>
      <c r="C48" s="14" t="s">
        <v>93</v>
      </c>
      <c r="D48" s="9"/>
      <c r="E48" s="95"/>
      <c r="F48" s="52"/>
      <c r="G48" s="9"/>
      <c r="H48" s="9"/>
      <c r="I48" s="9"/>
    </row>
    <row r="49" spans="1:9" x14ac:dyDescent="0.25">
      <c r="A49" s="62">
        <v>2</v>
      </c>
      <c r="B49" s="62" t="s">
        <v>968</v>
      </c>
      <c r="C49" s="14" t="s">
        <v>95</v>
      </c>
      <c r="D49" s="9">
        <v>-179351.23</v>
      </c>
      <c r="E49" s="9">
        <v>901261.06</v>
      </c>
      <c r="F49" s="52">
        <v>861504.39</v>
      </c>
      <c r="G49" s="9">
        <f>E49</f>
        <v>901261.06</v>
      </c>
      <c r="H49" s="9">
        <f>D49+F49-G49</f>
        <v>-219107.90000000002</v>
      </c>
      <c r="I49" s="9">
        <f>H49</f>
        <v>-219107.90000000002</v>
      </c>
    </row>
    <row r="50" spans="1:9" x14ac:dyDescent="0.25">
      <c r="A50" s="62"/>
      <c r="B50" s="62" t="s">
        <v>313</v>
      </c>
      <c r="C50" s="14" t="s">
        <v>93</v>
      </c>
      <c r="D50" s="62"/>
      <c r="E50" s="10"/>
      <c r="F50" s="52"/>
      <c r="G50" s="62"/>
      <c r="H50" s="62"/>
      <c r="I50" s="50"/>
    </row>
    <row r="51" spans="1:9" x14ac:dyDescent="0.25">
      <c r="A51" s="9">
        <v>3</v>
      </c>
      <c r="B51" s="9" t="s">
        <v>98</v>
      </c>
      <c r="C51" s="41" t="s">
        <v>203</v>
      </c>
      <c r="D51" s="62">
        <v>-630776</v>
      </c>
      <c r="E51" s="10">
        <v>2172904.44</v>
      </c>
      <c r="F51" s="8">
        <v>2232563.5099999998</v>
      </c>
      <c r="G51" s="62">
        <f>E51</f>
        <v>2172904.44</v>
      </c>
      <c r="H51" s="62">
        <f>D51+F51-G51</f>
        <v>-571116.93000000017</v>
      </c>
      <c r="I51" s="50">
        <f>H51</f>
        <v>-571116.93000000017</v>
      </c>
    </row>
    <row r="52" spans="1:9" x14ac:dyDescent="0.25">
      <c r="A52" s="60"/>
      <c r="B52" s="60"/>
      <c r="C52" s="5"/>
      <c r="D52" s="60"/>
      <c r="E52" s="60"/>
      <c r="F52" s="60"/>
      <c r="G52" s="60"/>
      <c r="H52" s="60"/>
      <c r="I52" s="60"/>
    </row>
    <row r="53" spans="1:9" x14ac:dyDescent="0.25">
      <c r="A53" s="60"/>
      <c r="B53" s="60"/>
      <c r="C53" s="5"/>
      <c r="D53" s="60"/>
      <c r="E53" s="60"/>
      <c r="F53" s="60"/>
      <c r="G53" s="60"/>
      <c r="H53" s="60"/>
      <c r="I53" s="60"/>
    </row>
    <row r="54" spans="1:9" x14ac:dyDescent="0.25">
      <c r="A54" s="1" t="s">
        <v>100</v>
      </c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5" t="s">
        <v>101</v>
      </c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5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48" t="s">
        <v>12</v>
      </c>
      <c r="B57" s="6" t="s">
        <v>102</v>
      </c>
      <c r="C57" s="58" t="s">
        <v>103</v>
      </c>
      <c r="D57" s="58"/>
      <c r="E57" s="58"/>
      <c r="F57" s="48" t="s">
        <v>398</v>
      </c>
      <c r="G57" s="58"/>
      <c r="H57" s="49"/>
      <c r="I57" s="6" t="s">
        <v>105</v>
      </c>
    </row>
    <row r="58" spans="1:9" x14ac:dyDescent="0.25">
      <c r="A58" s="51" t="s">
        <v>106</v>
      </c>
      <c r="B58" s="7" t="s">
        <v>71</v>
      </c>
      <c r="C58" s="60"/>
      <c r="D58" s="60"/>
      <c r="E58" s="60"/>
      <c r="F58" s="51" t="s">
        <v>834</v>
      </c>
      <c r="G58" s="60"/>
      <c r="H58" s="61"/>
      <c r="I58" s="7" t="s">
        <v>108</v>
      </c>
    </row>
    <row r="59" spans="1:9" x14ac:dyDescent="0.25">
      <c r="A59" s="51"/>
      <c r="B59" s="62"/>
      <c r="C59" s="60"/>
      <c r="D59" s="60"/>
      <c r="E59" s="60"/>
      <c r="F59" s="51" t="s">
        <v>205</v>
      </c>
      <c r="G59" s="60"/>
      <c r="H59" s="61"/>
      <c r="I59" s="7"/>
    </row>
    <row r="60" spans="1:9" x14ac:dyDescent="0.25">
      <c r="A60" s="67" t="s">
        <v>110</v>
      </c>
      <c r="B60" s="18"/>
      <c r="C60" s="68" t="s">
        <v>111</v>
      </c>
      <c r="D60" s="68"/>
      <c r="E60" s="68"/>
      <c r="F60" s="48"/>
      <c r="G60" s="58"/>
      <c r="H60" s="49"/>
      <c r="I60" s="6"/>
    </row>
    <row r="61" spans="1:9" x14ac:dyDescent="0.25">
      <c r="A61" s="69"/>
      <c r="B61" s="7"/>
      <c r="C61" s="60" t="s">
        <v>112</v>
      </c>
      <c r="D61" s="60"/>
      <c r="E61" s="60"/>
      <c r="F61" s="51" t="s">
        <v>71</v>
      </c>
      <c r="G61" s="37"/>
      <c r="H61" s="61" t="s">
        <v>71</v>
      </c>
      <c r="I61" s="7"/>
    </row>
    <row r="62" spans="1:9" x14ac:dyDescent="0.25">
      <c r="A62" s="69" t="s">
        <v>113</v>
      </c>
      <c r="B62" s="70">
        <v>42825</v>
      </c>
      <c r="C62" s="60" t="s">
        <v>969</v>
      </c>
      <c r="D62" s="60"/>
      <c r="E62" s="60"/>
      <c r="F62" s="51"/>
      <c r="G62" s="37">
        <f t="shared" ref="G62:G75" si="1">I62/7542.3</f>
        <v>3.7634567704811528</v>
      </c>
      <c r="H62" s="61"/>
      <c r="I62" s="7">
        <v>28385.119999999999</v>
      </c>
    </row>
    <row r="63" spans="1:9" x14ac:dyDescent="0.25">
      <c r="A63" s="69" t="s">
        <v>38</v>
      </c>
      <c r="B63" s="70">
        <v>42947</v>
      </c>
      <c r="C63" s="60" t="s">
        <v>970</v>
      </c>
      <c r="D63" s="60"/>
      <c r="E63" s="60"/>
      <c r="F63" s="51"/>
      <c r="G63" s="37">
        <f t="shared" si="1"/>
        <v>3.5254842687243939</v>
      </c>
      <c r="H63" s="61"/>
      <c r="I63" s="7">
        <v>26590.26</v>
      </c>
    </row>
    <row r="64" spans="1:9" x14ac:dyDescent="0.25">
      <c r="A64" s="69" t="s">
        <v>40</v>
      </c>
      <c r="B64" s="70">
        <v>42978</v>
      </c>
      <c r="C64" s="60" t="s">
        <v>971</v>
      </c>
      <c r="D64" s="60"/>
      <c r="E64" s="60"/>
      <c r="F64" s="51"/>
      <c r="G64" s="37">
        <f t="shared" si="1"/>
        <v>1.6139837980456888</v>
      </c>
      <c r="H64" s="61"/>
      <c r="I64" s="7">
        <v>12173.15</v>
      </c>
    </row>
    <row r="65" spans="1:9" x14ac:dyDescent="0.25">
      <c r="A65" s="69" t="s">
        <v>42</v>
      </c>
      <c r="B65" s="70">
        <v>42978</v>
      </c>
      <c r="C65" s="60" t="s">
        <v>972</v>
      </c>
      <c r="D65" s="60"/>
      <c r="E65" s="60"/>
      <c r="F65" s="51"/>
      <c r="G65" s="37">
        <f t="shared" si="1"/>
        <v>1.3870914707715154</v>
      </c>
      <c r="H65" s="61"/>
      <c r="I65" s="7">
        <v>10461.86</v>
      </c>
    </row>
    <row r="66" spans="1:9" x14ac:dyDescent="0.25">
      <c r="A66" s="69" t="s">
        <v>44</v>
      </c>
      <c r="B66" s="70">
        <v>43039</v>
      </c>
      <c r="C66" s="60" t="s">
        <v>973</v>
      </c>
      <c r="D66" s="60"/>
      <c r="E66" s="60"/>
      <c r="F66" s="51"/>
      <c r="G66" s="37">
        <f t="shared" si="1"/>
        <v>3.2452819431738327</v>
      </c>
      <c r="H66" s="61"/>
      <c r="I66" s="7">
        <v>24476.89</v>
      </c>
    </row>
    <row r="67" spans="1:9" x14ac:dyDescent="0.25">
      <c r="A67" s="69" t="s">
        <v>46</v>
      </c>
      <c r="B67" s="70">
        <v>43039</v>
      </c>
      <c r="C67" s="60" t="s">
        <v>974</v>
      </c>
      <c r="D67" s="60"/>
      <c r="E67" s="60"/>
      <c r="F67" s="51"/>
      <c r="G67" s="37">
        <f t="shared" si="1"/>
        <v>0.45538363629131695</v>
      </c>
      <c r="H67" s="61"/>
      <c r="I67" s="7">
        <v>3434.64</v>
      </c>
    </row>
    <row r="68" spans="1:9" x14ac:dyDescent="0.25">
      <c r="A68" s="69" t="s">
        <v>356</v>
      </c>
      <c r="B68" s="70">
        <v>43039</v>
      </c>
      <c r="C68" s="60" t="s">
        <v>975</v>
      </c>
      <c r="D68" s="60"/>
      <c r="E68" s="60"/>
      <c r="F68" s="51"/>
      <c r="G68" s="37">
        <f t="shared" si="1"/>
        <v>8.1489227423995327</v>
      </c>
      <c r="H68" s="61"/>
      <c r="I68" s="7">
        <v>61461.62</v>
      </c>
    </row>
    <row r="69" spans="1:9" x14ac:dyDescent="0.25">
      <c r="A69" s="69" t="s">
        <v>358</v>
      </c>
      <c r="B69" s="70">
        <v>43039</v>
      </c>
      <c r="C69" s="60" t="s">
        <v>976</v>
      </c>
      <c r="D69" s="60"/>
      <c r="E69" s="60"/>
      <c r="F69" s="51"/>
      <c r="G69" s="37">
        <f t="shared" si="1"/>
        <v>1.0117364729591769</v>
      </c>
      <c r="H69" s="61"/>
      <c r="I69" s="7">
        <v>7630.82</v>
      </c>
    </row>
    <row r="70" spans="1:9" x14ac:dyDescent="0.25">
      <c r="A70" s="69" t="s">
        <v>360</v>
      </c>
      <c r="B70" s="70">
        <v>43069</v>
      </c>
      <c r="C70" s="60" t="s">
        <v>977</v>
      </c>
      <c r="D70" s="60"/>
      <c r="E70" s="60"/>
      <c r="F70" s="51"/>
      <c r="G70" s="37">
        <f t="shared" si="1"/>
        <v>0.66236824310886599</v>
      </c>
      <c r="H70" s="61"/>
      <c r="I70" s="7">
        <v>4995.78</v>
      </c>
    </row>
    <row r="71" spans="1:9" x14ac:dyDescent="0.25">
      <c r="A71" s="69" t="s">
        <v>362</v>
      </c>
      <c r="B71" s="70">
        <v>43069</v>
      </c>
      <c r="C71" s="60" t="s">
        <v>978</v>
      </c>
      <c r="D71" s="60"/>
      <c r="E71" s="60"/>
      <c r="F71" s="51"/>
      <c r="G71" s="37">
        <f t="shared" si="1"/>
        <v>0.56415284462299298</v>
      </c>
      <c r="H71" s="61"/>
      <c r="I71" s="7">
        <v>4255.01</v>
      </c>
    </row>
    <row r="72" spans="1:9" x14ac:dyDescent="0.25">
      <c r="A72" s="69" t="s">
        <v>979</v>
      </c>
      <c r="B72" s="70">
        <v>43098</v>
      </c>
      <c r="C72" s="60" t="s">
        <v>980</v>
      </c>
      <c r="D72" s="60"/>
      <c r="E72" s="60"/>
      <c r="F72" s="51"/>
      <c r="G72" s="37">
        <f t="shared" si="1"/>
        <v>17.278416398180926</v>
      </c>
      <c r="H72" s="61"/>
      <c r="I72" s="7">
        <v>130319</v>
      </c>
    </row>
    <row r="73" spans="1:9" x14ac:dyDescent="0.25">
      <c r="A73" s="69" t="s">
        <v>981</v>
      </c>
      <c r="B73" s="70">
        <v>43039</v>
      </c>
      <c r="C73" s="60" t="s">
        <v>982</v>
      </c>
      <c r="D73" s="60"/>
      <c r="E73" s="60"/>
      <c r="F73" s="51"/>
      <c r="G73" s="37">
        <f t="shared" si="1"/>
        <v>12.666697161343356</v>
      </c>
      <c r="H73" s="61"/>
      <c r="I73" s="7">
        <v>95536.03</v>
      </c>
    </row>
    <row r="74" spans="1:9" x14ac:dyDescent="0.25">
      <c r="A74" s="69" t="s">
        <v>983</v>
      </c>
      <c r="B74" s="70">
        <v>43051</v>
      </c>
      <c r="C74" s="60" t="s">
        <v>984</v>
      </c>
      <c r="D74" s="60"/>
      <c r="E74" s="60"/>
      <c r="F74" s="51"/>
      <c r="G74" s="37">
        <f t="shared" si="1"/>
        <v>9.797886586319823</v>
      </c>
      <c r="H74" s="61"/>
      <c r="I74" s="7">
        <v>73898.600000000006</v>
      </c>
    </row>
    <row r="75" spans="1:9" x14ac:dyDescent="0.25">
      <c r="A75" s="69" t="s">
        <v>985</v>
      </c>
      <c r="B75" s="70" t="s">
        <v>986</v>
      </c>
      <c r="C75" s="60" t="s">
        <v>987</v>
      </c>
      <c r="D75" s="60"/>
      <c r="E75" s="60"/>
      <c r="F75" s="51"/>
      <c r="G75" s="37">
        <f t="shared" si="1"/>
        <v>3.4204062421277328</v>
      </c>
      <c r="H75" s="61"/>
      <c r="I75" s="7">
        <v>25797.73</v>
      </c>
    </row>
    <row r="76" spans="1:9" x14ac:dyDescent="0.25">
      <c r="A76" s="69"/>
      <c r="B76" s="70"/>
      <c r="C76" s="5" t="s">
        <v>118</v>
      </c>
      <c r="D76" s="60"/>
      <c r="E76" s="60"/>
      <c r="F76" s="51"/>
      <c r="G76" s="20">
        <f>SUM(G61:G75)</f>
        <v>67.541268578550302</v>
      </c>
      <c r="H76" s="61"/>
      <c r="I76" s="18">
        <f>SUM(I61:I75)</f>
        <v>509416.51</v>
      </c>
    </row>
    <row r="77" spans="1:9" x14ac:dyDescent="0.25">
      <c r="A77" s="235"/>
      <c r="B77" s="6"/>
      <c r="C77" s="48"/>
      <c r="D77" s="58"/>
      <c r="E77" s="49"/>
      <c r="F77" s="48"/>
      <c r="G77" s="58"/>
      <c r="H77" s="49"/>
      <c r="I77" s="6"/>
    </row>
    <row r="78" spans="1:9" x14ac:dyDescent="0.25">
      <c r="A78" s="24" t="s">
        <v>48</v>
      </c>
      <c r="B78" s="25" t="s">
        <v>119</v>
      </c>
      <c r="C78" s="57" t="s">
        <v>120</v>
      </c>
      <c r="D78" s="58"/>
      <c r="E78" s="58"/>
      <c r="F78" s="48" t="s">
        <v>121</v>
      </c>
      <c r="G78" s="236"/>
      <c r="H78" s="49"/>
      <c r="I78" s="6"/>
    </row>
    <row r="79" spans="1:9" x14ac:dyDescent="0.25">
      <c r="A79" s="69"/>
      <c r="B79" s="69" t="s">
        <v>71</v>
      </c>
      <c r="C79" s="60" t="s">
        <v>71</v>
      </c>
      <c r="D79" s="60"/>
      <c r="E79" s="60"/>
      <c r="F79" s="51"/>
      <c r="G79" s="37"/>
      <c r="H79" s="61"/>
      <c r="I79" s="7"/>
    </row>
    <row r="80" spans="1:9" x14ac:dyDescent="0.25">
      <c r="A80" s="73"/>
      <c r="B80" s="62" t="s">
        <v>119</v>
      </c>
      <c r="C80" s="15" t="s">
        <v>118</v>
      </c>
      <c r="D80" s="74"/>
      <c r="E80" s="74"/>
      <c r="F80" s="52" t="s">
        <v>71</v>
      </c>
      <c r="G80" s="79">
        <f>SUM(G79:G79)</f>
        <v>0</v>
      </c>
      <c r="H80" s="53"/>
      <c r="I80" s="12">
        <f>SUM(I79:I79)</f>
        <v>0</v>
      </c>
    </row>
    <row r="81" spans="1:9" x14ac:dyDescent="0.25">
      <c r="A81" s="2" t="s">
        <v>680</v>
      </c>
      <c r="B81" s="2"/>
      <c r="C81" s="2" t="s">
        <v>71</v>
      </c>
      <c r="D81" s="2" t="s">
        <v>123</v>
      </c>
      <c r="E81" s="2"/>
      <c r="F81" s="2" t="s">
        <v>124</v>
      </c>
      <c r="G81" s="107"/>
      <c r="H81" s="2" t="s">
        <v>125</v>
      </c>
      <c r="I81" s="2" t="s">
        <v>126</v>
      </c>
    </row>
    <row r="82" spans="1:9" x14ac:dyDescent="0.25">
      <c r="A82" s="2"/>
      <c r="B82" s="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110" zoomScaleNormal="110" workbookViewId="0">
      <selection activeCell="B2" sqref="B2"/>
    </sheetView>
  </sheetViews>
  <sheetFormatPr defaultRowHeight="15" x14ac:dyDescent="0.25"/>
  <cols>
    <col min="1" max="1" width="4.85546875" style="3" customWidth="1"/>
    <col min="2" max="2" width="29.42578125" style="3" customWidth="1"/>
    <col min="3" max="3" width="12.85546875" style="3" customWidth="1"/>
    <col min="4" max="4" width="11" style="3" customWidth="1"/>
    <col min="5" max="5" width="9.85546875" style="3" customWidth="1"/>
    <col min="6" max="7" width="9.140625" style="3"/>
    <col min="8" max="8" width="11.28515625" style="3" customWidth="1"/>
    <col min="9" max="9" width="19.14062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118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4"/>
      <c r="J2" s="11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2"/>
      <c r="J3" s="118"/>
    </row>
    <row r="4" spans="1:10" x14ac:dyDescent="0.25">
      <c r="A4" s="1" t="s">
        <v>3</v>
      </c>
      <c r="B4" s="1"/>
      <c r="C4" s="1"/>
      <c r="D4" s="1"/>
      <c r="E4" s="1"/>
      <c r="F4" s="1"/>
      <c r="G4" s="1"/>
      <c r="H4" s="1"/>
      <c r="I4" s="2"/>
      <c r="J4" s="118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118"/>
    </row>
    <row r="6" spans="1:10" x14ac:dyDescent="0.25">
      <c r="A6" s="1" t="s">
        <v>988</v>
      </c>
      <c r="B6" s="2"/>
      <c r="C6" s="2"/>
      <c r="D6" s="2"/>
      <c r="E6" s="1"/>
      <c r="F6" s="1"/>
      <c r="G6" s="2"/>
      <c r="H6" s="2"/>
      <c r="I6" s="2"/>
      <c r="J6" s="118"/>
    </row>
    <row r="7" spans="1:10" x14ac:dyDescent="0.25">
      <c r="A7" s="2" t="s">
        <v>989</v>
      </c>
      <c r="B7" s="2"/>
      <c r="C7" s="2"/>
      <c r="D7" s="2"/>
      <c r="E7" s="2"/>
      <c r="F7" s="2"/>
      <c r="G7" s="2"/>
      <c r="H7" s="2"/>
      <c r="I7" s="2"/>
      <c r="J7" s="118"/>
    </row>
    <row r="8" spans="1:10" x14ac:dyDescent="0.25">
      <c r="A8" s="2" t="s">
        <v>990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1" t="s">
        <v>9</v>
      </c>
      <c r="B10" s="1"/>
      <c r="C10" s="2"/>
      <c r="D10" s="2"/>
      <c r="E10" s="2"/>
      <c r="F10" s="2"/>
      <c r="G10" s="2"/>
      <c r="H10" s="2"/>
      <c r="I10" s="2"/>
      <c r="J10" s="118"/>
    </row>
    <row r="11" spans="1:10" x14ac:dyDescent="0.25">
      <c r="A11" s="1" t="s">
        <v>10</v>
      </c>
      <c r="B11" s="1"/>
      <c r="C11" s="2"/>
      <c r="D11" s="2"/>
      <c r="E11" s="2"/>
      <c r="F11" s="2"/>
      <c r="G11" s="2"/>
      <c r="H11" s="2"/>
      <c r="I11" s="2"/>
      <c r="J11" s="118"/>
    </row>
    <row r="12" spans="1:10" x14ac:dyDescent="0.25">
      <c r="A12" s="5" t="s">
        <v>11</v>
      </c>
      <c r="B12" s="1"/>
      <c r="C12" s="2"/>
      <c r="D12" s="2"/>
      <c r="E12" s="2"/>
      <c r="F12" s="2"/>
      <c r="G12" s="2"/>
      <c r="H12" s="2"/>
      <c r="I12" s="2"/>
      <c r="J12" s="118"/>
    </row>
    <row r="13" spans="1:10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  <c r="J13" s="118"/>
    </row>
    <row r="14" spans="1:10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  <c r="J14" s="118"/>
    </row>
    <row r="15" spans="1:10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  <c r="J15" s="118"/>
    </row>
    <row r="16" spans="1:10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991</v>
      </c>
      <c r="J16" s="118"/>
    </row>
    <row r="17" spans="1:10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  <c r="J17" s="118"/>
    </row>
    <row r="18" spans="1:10" x14ac:dyDescent="0.25">
      <c r="A18" s="11">
        <v>1</v>
      </c>
      <c r="B18" s="12" t="s">
        <v>992</v>
      </c>
      <c r="C18" s="12">
        <v>7.97</v>
      </c>
      <c r="D18" s="17">
        <v>-19200.36</v>
      </c>
      <c r="E18" s="14">
        <v>222831.84</v>
      </c>
      <c r="F18" s="15">
        <v>220513.42</v>
      </c>
      <c r="G18" s="17">
        <f t="shared" ref="G18:G25" si="0">E18</f>
        <v>222831.84</v>
      </c>
      <c r="H18" s="13">
        <f>D18+F18-G18</f>
        <v>-21518.78</v>
      </c>
      <c r="I18" s="17">
        <f>H18</f>
        <v>-21518.78</v>
      </c>
      <c r="J18" s="118"/>
    </row>
    <row r="19" spans="1:10" x14ac:dyDescent="0.25">
      <c r="A19" s="7" t="s">
        <v>36</v>
      </c>
      <c r="B19" s="62" t="s">
        <v>37</v>
      </c>
      <c r="C19" s="62">
        <v>2.62</v>
      </c>
      <c r="D19" s="80"/>
      <c r="E19" s="79">
        <f>E18*33/100</f>
        <v>73534.507199999993</v>
      </c>
      <c r="F19" s="55">
        <f>F18*33/100</f>
        <v>72769.428599999999</v>
      </c>
      <c r="G19" s="54">
        <f t="shared" si="0"/>
        <v>73534.507199999993</v>
      </c>
      <c r="H19" s="80"/>
      <c r="I19" s="54"/>
      <c r="J19" s="118"/>
    </row>
    <row r="20" spans="1:10" x14ac:dyDescent="0.25">
      <c r="A20" s="24" t="s">
        <v>38</v>
      </c>
      <c r="B20" s="6" t="s">
        <v>39</v>
      </c>
      <c r="C20" s="6">
        <v>1.33</v>
      </c>
      <c r="D20" s="35"/>
      <c r="E20" s="39">
        <f>E18*17/100</f>
        <v>37881.412799999998</v>
      </c>
      <c r="F20" s="40">
        <f>F18*17/100</f>
        <v>37487.2814</v>
      </c>
      <c r="G20" s="29">
        <f t="shared" si="0"/>
        <v>37881.412799999998</v>
      </c>
      <c r="H20" s="35"/>
      <c r="I20" s="75"/>
      <c r="J20" s="118"/>
    </row>
    <row r="21" spans="1:10" x14ac:dyDescent="0.25">
      <c r="A21" s="24" t="s">
        <v>40</v>
      </c>
      <c r="B21" s="6" t="s">
        <v>41</v>
      </c>
      <c r="C21" s="6">
        <v>1.63</v>
      </c>
      <c r="D21" s="37"/>
      <c r="E21" s="29">
        <f>E18*20/100</f>
        <v>44566.367999999995</v>
      </c>
      <c r="F21" s="38">
        <f>F18*20/100</f>
        <v>44102.684000000001</v>
      </c>
      <c r="G21" s="22">
        <f t="shared" si="0"/>
        <v>44566.367999999995</v>
      </c>
      <c r="H21" s="37"/>
      <c r="I21" s="75"/>
      <c r="J21" s="118"/>
    </row>
    <row r="22" spans="1:10" x14ac:dyDescent="0.25">
      <c r="A22" s="36" t="s">
        <v>42</v>
      </c>
      <c r="B22" s="9" t="s">
        <v>43</v>
      </c>
      <c r="C22" s="9">
        <v>2.39</v>
      </c>
      <c r="D22" s="30"/>
      <c r="E22" s="39">
        <f>E18*30%</f>
        <v>66849.551999999996</v>
      </c>
      <c r="F22" s="40">
        <f>F18*30/100</f>
        <v>66154.026000000013</v>
      </c>
      <c r="G22" s="29">
        <f t="shared" si="0"/>
        <v>66849.551999999996</v>
      </c>
      <c r="H22" s="30"/>
      <c r="I22" s="75"/>
      <c r="J22" s="118"/>
    </row>
    <row r="23" spans="1:10" x14ac:dyDescent="0.25">
      <c r="A23" s="73" t="s">
        <v>44</v>
      </c>
      <c r="B23" s="62" t="s">
        <v>45</v>
      </c>
      <c r="C23" s="62">
        <v>3.1379999999999998E-2</v>
      </c>
      <c r="D23" s="30"/>
      <c r="E23" s="79">
        <v>694.58</v>
      </c>
      <c r="F23" s="55">
        <v>682.41</v>
      </c>
      <c r="G23" s="54">
        <f>E23</f>
        <v>694.58</v>
      </c>
      <c r="H23" s="26">
        <f>F23-E23</f>
        <v>-12.170000000000073</v>
      </c>
      <c r="I23" s="43">
        <f>H23</f>
        <v>-12.170000000000073</v>
      </c>
      <c r="J23" s="118"/>
    </row>
    <row r="24" spans="1:10" x14ac:dyDescent="0.25">
      <c r="A24" s="73" t="s">
        <v>46</v>
      </c>
      <c r="B24" s="62" t="s">
        <v>993</v>
      </c>
      <c r="C24" s="62">
        <v>0.94901899999999995</v>
      </c>
      <c r="D24" s="30"/>
      <c r="E24" s="10">
        <v>35106.31</v>
      </c>
      <c r="F24" s="8">
        <v>32128.14</v>
      </c>
      <c r="G24" s="9">
        <f>E24</f>
        <v>35106.31</v>
      </c>
      <c r="H24" s="11">
        <f>F24-E24</f>
        <v>-2978.1699999999983</v>
      </c>
      <c r="I24" s="71">
        <f>H24</f>
        <v>-2978.1699999999983</v>
      </c>
      <c r="J24" s="118"/>
    </row>
    <row r="25" spans="1:10" x14ac:dyDescent="0.25">
      <c r="A25" s="12" t="s">
        <v>48</v>
      </c>
      <c r="B25" s="12" t="s">
        <v>49</v>
      </c>
      <c r="C25" s="12" t="s">
        <v>50</v>
      </c>
      <c r="D25" s="43">
        <v>-11481.42</v>
      </c>
      <c r="E25" s="14">
        <v>94640.7</v>
      </c>
      <c r="F25" s="15">
        <v>90014.87</v>
      </c>
      <c r="G25" s="17">
        <f t="shared" si="0"/>
        <v>94640.7</v>
      </c>
      <c r="H25" s="223">
        <f>D25+F25-G25</f>
        <v>-16107.25</v>
      </c>
      <c r="I25" s="43">
        <f>H25</f>
        <v>-16107.25</v>
      </c>
      <c r="J25" s="118"/>
    </row>
    <row r="26" spans="1:10" x14ac:dyDescent="0.25">
      <c r="A26" s="11" t="s">
        <v>51</v>
      </c>
      <c r="B26" s="11" t="s">
        <v>216</v>
      </c>
      <c r="C26" s="11"/>
      <c r="D26" s="43"/>
      <c r="E26" s="43"/>
      <c r="F26" s="43"/>
      <c r="G26" s="33"/>
      <c r="H26" s="34"/>
      <c r="I26" s="43"/>
      <c r="J26" s="118"/>
    </row>
    <row r="27" spans="1:10" x14ac:dyDescent="0.25">
      <c r="A27" s="12"/>
      <c r="B27" s="12" t="s">
        <v>217</v>
      </c>
      <c r="C27" s="12">
        <v>1.82</v>
      </c>
      <c r="D27" s="17">
        <v>-43962.18</v>
      </c>
      <c r="E27" s="12">
        <v>50884.800000000003</v>
      </c>
      <c r="F27" s="12">
        <v>50632.14</v>
      </c>
      <c r="G27" s="12">
        <f>I59</f>
        <v>18359.27</v>
      </c>
      <c r="H27" s="16">
        <f>D27+F27-G27</f>
        <v>-11689.310000000001</v>
      </c>
      <c r="I27" s="17">
        <f>H27</f>
        <v>-11689.310000000001</v>
      </c>
    </row>
    <row r="28" spans="1:10" x14ac:dyDescent="0.25">
      <c r="A28" s="12" t="s">
        <v>55</v>
      </c>
      <c r="B28" s="12" t="s">
        <v>909</v>
      </c>
      <c r="C28" s="85">
        <v>0</v>
      </c>
      <c r="D28" s="17">
        <v>4902.93</v>
      </c>
      <c r="E28" s="11">
        <v>0</v>
      </c>
      <c r="F28" s="12">
        <f>F29</f>
        <v>49.54</v>
      </c>
      <c r="G28" s="16">
        <f>G29</f>
        <v>0</v>
      </c>
      <c r="H28" s="17">
        <f>D28+F28-G28</f>
        <v>4952.47</v>
      </c>
      <c r="I28" s="17"/>
    </row>
    <row r="29" spans="1:10" x14ac:dyDescent="0.25">
      <c r="A29" s="9"/>
      <c r="B29" s="9" t="s">
        <v>53</v>
      </c>
      <c r="C29" s="10"/>
      <c r="D29" s="54"/>
      <c r="E29" s="10">
        <v>0</v>
      </c>
      <c r="F29" s="9">
        <v>49.54</v>
      </c>
      <c r="G29" s="40">
        <f>I63</f>
        <v>0</v>
      </c>
      <c r="H29" s="54"/>
      <c r="I29" s="29"/>
    </row>
    <row r="30" spans="1:10" x14ac:dyDescent="0.25">
      <c r="A30" s="1" t="s">
        <v>58</v>
      </c>
      <c r="B30" s="2"/>
      <c r="C30" s="2"/>
      <c r="D30" s="22"/>
      <c r="E30" s="2"/>
      <c r="F30" s="2"/>
      <c r="G30" s="60"/>
      <c r="H30" s="37"/>
      <c r="I30" s="37"/>
    </row>
    <row r="31" spans="1:10" x14ac:dyDescent="0.25">
      <c r="A31" s="1"/>
      <c r="B31" s="2"/>
      <c r="C31" s="2"/>
      <c r="D31" s="37"/>
      <c r="E31" s="2"/>
      <c r="F31" s="2"/>
      <c r="G31" s="60"/>
      <c r="H31" s="37"/>
      <c r="I31" s="37"/>
    </row>
    <row r="32" spans="1:10" x14ac:dyDescent="0.25">
      <c r="A32" s="57" t="s">
        <v>59</v>
      </c>
      <c r="B32" s="48" t="s">
        <v>60</v>
      </c>
      <c r="C32" s="9" t="s">
        <v>61</v>
      </c>
      <c r="D32" s="9" t="s">
        <v>62</v>
      </c>
      <c r="E32" s="9" t="s">
        <v>507</v>
      </c>
      <c r="F32" s="9" t="s">
        <v>61</v>
      </c>
      <c r="G32" s="9"/>
      <c r="H32" s="8" t="s">
        <v>199</v>
      </c>
      <c r="I32" s="50"/>
    </row>
    <row r="33" spans="1:9" x14ac:dyDescent="0.25">
      <c r="A33" s="59"/>
      <c r="B33" s="51"/>
      <c r="C33" s="62" t="s">
        <v>66</v>
      </c>
      <c r="D33" s="53" t="s">
        <v>23</v>
      </c>
      <c r="E33" s="9" t="s">
        <v>312</v>
      </c>
      <c r="F33" s="9" t="s">
        <v>30</v>
      </c>
      <c r="G33" s="9"/>
      <c r="H33" s="74"/>
      <c r="I33" s="53"/>
    </row>
    <row r="34" spans="1:9" x14ac:dyDescent="0.25">
      <c r="A34" s="52"/>
      <c r="B34" s="52" t="s">
        <v>68</v>
      </c>
      <c r="C34" s="40">
        <v>10900.5</v>
      </c>
      <c r="D34" s="9">
        <v>5553</v>
      </c>
      <c r="E34" s="29">
        <f>D34*15%</f>
        <v>832.94999999999993</v>
      </c>
      <c r="F34" s="29">
        <f>C34+(D34-E34)</f>
        <v>15620.55</v>
      </c>
      <c r="G34" s="29"/>
      <c r="H34" s="79">
        <f>F34-G34</f>
        <v>15620.55</v>
      </c>
      <c r="I34" s="53"/>
    </row>
    <row r="35" spans="1:9" x14ac:dyDescent="0.25">
      <c r="A35" s="60"/>
      <c r="B35" s="60"/>
      <c r="C35" s="37"/>
      <c r="D35" s="60"/>
      <c r="E35" s="37"/>
      <c r="F35" s="37"/>
      <c r="G35" s="37"/>
      <c r="H35" s="37"/>
      <c r="I35" s="60"/>
    </row>
    <row r="36" spans="1:9" x14ac:dyDescent="0.25">
      <c r="A36" s="60"/>
      <c r="B36" s="60"/>
      <c r="C36" s="37"/>
      <c r="D36" s="60"/>
      <c r="E36" s="37"/>
      <c r="F36" s="37"/>
      <c r="G36" s="37"/>
      <c r="H36" s="37"/>
      <c r="I36" s="60"/>
    </row>
    <row r="37" spans="1:9" x14ac:dyDescent="0.25">
      <c r="A37" s="5" t="s">
        <v>69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1" t="s">
        <v>70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62"/>
      <c r="B42" s="62"/>
      <c r="C42" s="14"/>
      <c r="D42" s="7"/>
      <c r="E42" s="60"/>
      <c r="F42" s="51"/>
      <c r="G42" s="7"/>
      <c r="H42" s="7"/>
      <c r="I42" s="53"/>
    </row>
    <row r="43" spans="1:9" x14ac:dyDescent="0.25">
      <c r="A43" s="62"/>
      <c r="B43" s="62"/>
      <c r="C43" s="14"/>
      <c r="D43" s="9"/>
      <c r="E43" s="10"/>
      <c r="F43" s="8"/>
      <c r="G43" s="9"/>
      <c r="H43" s="9"/>
      <c r="I43" s="61"/>
    </row>
    <row r="44" spans="1:9" x14ac:dyDescent="0.25">
      <c r="A44" s="9">
        <v>1</v>
      </c>
      <c r="B44" s="9" t="s">
        <v>90</v>
      </c>
      <c r="C44" s="42" t="s">
        <v>91</v>
      </c>
      <c r="D44" s="9">
        <v>-38097.89</v>
      </c>
      <c r="E44" s="95">
        <v>198398.3</v>
      </c>
      <c r="F44" s="8">
        <v>190567.15</v>
      </c>
      <c r="G44" s="9">
        <f>E44</f>
        <v>198398.3</v>
      </c>
      <c r="H44" s="9">
        <f>D44+F44-G44</f>
        <v>-45929.039999999979</v>
      </c>
      <c r="I44" s="49">
        <f>H44</f>
        <v>-45929.039999999979</v>
      </c>
    </row>
    <row r="45" spans="1:9" x14ac:dyDescent="0.25">
      <c r="A45" s="9"/>
      <c r="B45" s="9" t="s">
        <v>92</v>
      </c>
      <c r="C45" s="41" t="s">
        <v>93</v>
      </c>
      <c r="D45" s="9"/>
      <c r="E45" s="65"/>
      <c r="F45" s="8"/>
      <c r="G45" s="62"/>
      <c r="H45" s="62"/>
      <c r="I45" s="49"/>
    </row>
    <row r="46" spans="1:9" x14ac:dyDescent="0.25">
      <c r="A46" s="9">
        <v>2</v>
      </c>
      <c r="B46" s="9" t="s">
        <v>94</v>
      </c>
      <c r="C46" s="41" t="s">
        <v>95</v>
      </c>
      <c r="D46" s="9">
        <v>-106281.99</v>
      </c>
      <c r="E46" s="65">
        <v>299528.28000000003</v>
      </c>
      <c r="F46" s="8">
        <v>283975.28999999998</v>
      </c>
      <c r="G46" s="62">
        <f>E46</f>
        <v>299528.28000000003</v>
      </c>
      <c r="H46" s="62">
        <f>D46+F46-G46</f>
        <v>-121834.98000000004</v>
      </c>
      <c r="I46" s="9">
        <f>H46</f>
        <v>-121834.98000000004</v>
      </c>
    </row>
    <row r="47" spans="1:9" x14ac:dyDescent="0.25">
      <c r="A47" s="9" t="s">
        <v>71</v>
      </c>
      <c r="B47" s="9" t="s">
        <v>96</v>
      </c>
      <c r="C47" s="41"/>
      <c r="D47" s="9"/>
      <c r="E47" s="66"/>
      <c r="F47" s="52"/>
      <c r="G47" s="62"/>
      <c r="H47" s="62"/>
      <c r="I47" s="61"/>
    </row>
    <row r="48" spans="1:9" x14ac:dyDescent="0.25">
      <c r="A48" s="9"/>
      <c r="B48" s="9" t="s">
        <v>313</v>
      </c>
      <c r="C48" s="41" t="s">
        <v>93</v>
      </c>
      <c r="D48" s="9"/>
      <c r="E48" s="66"/>
      <c r="F48" s="52"/>
      <c r="G48" s="62"/>
      <c r="H48" s="62"/>
      <c r="I48" s="9"/>
    </row>
    <row r="49" spans="1:9" x14ac:dyDescent="0.25">
      <c r="A49" s="9">
        <v>3</v>
      </c>
      <c r="B49" s="9" t="s">
        <v>98</v>
      </c>
      <c r="C49" s="41" t="s">
        <v>203</v>
      </c>
      <c r="D49" s="9">
        <v>-202291.20000000001</v>
      </c>
      <c r="E49" s="10">
        <v>817686.63</v>
      </c>
      <c r="F49" s="8">
        <v>806519.06</v>
      </c>
      <c r="G49" s="62">
        <f>E49</f>
        <v>817686.63</v>
      </c>
      <c r="H49" s="62">
        <f>D49+F49-G49</f>
        <v>-213458.7699999999</v>
      </c>
      <c r="I49" s="50">
        <f>H49</f>
        <v>-213458.7699999999</v>
      </c>
    </row>
    <row r="50" spans="1:9" x14ac:dyDescent="0.25">
      <c r="A50" s="1" t="s">
        <v>100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5" t="s">
        <v>101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8" t="s">
        <v>12</v>
      </c>
      <c r="B52" s="6" t="s">
        <v>102</v>
      </c>
      <c r="C52" s="58" t="s">
        <v>103</v>
      </c>
      <c r="D52" s="58"/>
      <c r="E52" s="58"/>
      <c r="F52" s="48" t="s">
        <v>172</v>
      </c>
      <c r="G52" s="58"/>
      <c r="H52" s="49"/>
      <c r="I52" s="6" t="s">
        <v>105</v>
      </c>
    </row>
    <row r="53" spans="1:9" x14ac:dyDescent="0.25">
      <c r="A53" s="51" t="s">
        <v>106</v>
      </c>
      <c r="B53" s="7" t="s">
        <v>71</v>
      </c>
      <c r="C53" s="60"/>
      <c r="D53" s="60"/>
      <c r="E53" s="60"/>
      <c r="F53" s="51" t="s">
        <v>204</v>
      </c>
      <c r="G53" s="60"/>
      <c r="H53" s="61"/>
      <c r="I53" s="7" t="s">
        <v>108</v>
      </c>
    </row>
    <row r="54" spans="1:9" x14ac:dyDescent="0.25">
      <c r="A54" s="51"/>
      <c r="B54" s="62"/>
      <c r="C54" s="60"/>
      <c r="D54" s="60"/>
      <c r="E54" s="60"/>
      <c r="F54" s="51" t="s">
        <v>205</v>
      </c>
      <c r="G54" s="60"/>
      <c r="H54" s="61"/>
      <c r="I54" s="7"/>
    </row>
    <row r="55" spans="1:9" x14ac:dyDescent="0.25">
      <c r="A55" s="67" t="s">
        <v>110</v>
      </c>
      <c r="B55" s="18"/>
      <c r="C55" s="68" t="s">
        <v>111</v>
      </c>
      <c r="D55" s="68"/>
      <c r="E55" s="68"/>
      <c r="F55" s="48"/>
      <c r="G55" s="58"/>
      <c r="H55" s="49"/>
      <c r="I55" s="6"/>
    </row>
    <row r="56" spans="1:9" x14ac:dyDescent="0.25">
      <c r="A56" s="69"/>
      <c r="B56" s="7"/>
      <c r="C56" s="60" t="s">
        <v>112</v>
      </c>
      <c r="D56" s="60"/>
      <c r="E56" s="60"/>
      <c r="F56" s="51" t="s">
        <v>71</v>
      </c>
      <c r="G56" s="37"/>
      <c r="H56" s="61" t="s">
        <v>71</v>
      </c>
      <c r="I56" s="7" t="s">
        <v>71</v>
      </c>
    </row>
    <row r="57" spans="1:9" x14ac:dyDescent="0.25">
      <c r="A57" s="69" t="s">
        <v>113</v>
      </c>
      <c r="B57" s="70">
        <v>42851</v>
      </c>
      <c r="C57" s="51" t="s">
        <v>259</v>
      </c>
      <c r="D57" s="60"/>
      <c r="E57" s="60"/>
      <c r="F57" s="51"/>
      <c r="G57" s="37">
        <f>I57/2329.9</f>
        <v>6.3522039572513842</v>
      </c>
      <c r="H57" s="61"/>
      <c r="I57" s="7">
        <v>14800</v>
      </c>
    </row>
    <row r="58" spans="1:9" x14ac:dyDescent="0.25">
      <c r="A58" s="69" t="s">
        <v>38</v>
      </c>
      <c r="B58" s="70">
        <v>42947</v>
      </c>
      <c r="C58" s="60" t="s">
        <v>994</v>
      </c>
      <c r="D58" s="60"/>
      <c r="E58" s="60"/>
      <c r="F58" s="51"/>
      <c r="G58" s="37">
        <f>I58/2329.9</f>
        <v>1.5276492553328469</v>
      </c>
      <c r="H58" s="61"/>
      <c r="I58" s="7">
        <v>3559.27</v>
      </c>
    </row>
    <row r="59" spans="1:9" x14ac:dyDescent="0.25">
      <c r="A59" s="69"/>
      <c r="B59" s="7"/>
      <c r="C59" s="5" t="s">
        <v>118</v>
      </c>
      <c r="D59" s="5"/>
      <c r="E59" s="5"/>
      <c r="F59" s="59"/>
      <c r="G59" s="20">
        <f>I59/2329.9</f>
        <v>7.8798532125842309</v>
      </c>
      <c r="H59" s="71"/>
      <c r="I59" s="18">
        <f>SUM(I57:I58)</f>
        <v>18359.27</v>
      </c>
    </row>
    <row r="60" spans="1:9" x14ac:dyDescent="0.25">
      <c r="A60" s="6"/>
      <c r="B60" s="6"/>
      <c r="C60" s="48"/>
      <c r="D60" s="58"/>
      <c r="E60" s="49"/>
      <c r="F60" s="48"/>
      <c r="G60" s="27"/>
      <c r="H60" s="72"/>
      <c r="I60" s="25"/>
    </row>
    <row r="61" spans="1:9" x14ac:dyDescent="0.25">
      <c r="A61" s="6" t="s">
        <v>48</v>
      </c>
      <c r="B61" s="25"/>
      <c r="C61" s="57" t="s">
        <v>120</v>
      </c>
      <c r="D61" s="58"/>
      <c r="E61" s="49"/>
      <c r="F61" s="48"/>
      <c r="G61" s="58"/>
      <c r="H61" s="49"/>
      <c r="I61" s="6"/>
    </row>
    <row r="62" spans="1:9" x14ac:dyDescent="0.25">
      <c r="A62" s="69"/>
      <c r="B62" s="70"/>
      <c r="C62" s="51"/>
      <c r="D62" s="60"/>
      <c r="E62" s="61"/>
      <c r="F62" s="51"/>
      <c r="G62" s="37"/>
      <c r="H62" s="61"/>
      <c r="I62" s="7"/>
    </row>
    <row r="63" spans="1:9" x14ac:dyDescent="0.25">
      <c r="A63" s="73"/>
      <c r="B63" s="62" t="s">
        <v>119</v>
      </c>
      <c r="C63" s="15" t="s">
        <v>118</v>
      </c>
      <c r="D63" s="14"/>
      <c r="E63" s="85"/>
      <c r="F63" s="15" t="s">
        <v>71</v>
      </c>
      <c r="G63" s="78">
        <v>0</v>
      </c>
      <c r="H63" s="85"/>
      <c r="I63" s="12">
        <v>0</v>
      </c>
    </row>
    <row r="64" spans="1:9" x14ac:dyDescent="0.25">
      <c r="A64" s="2" t="s">
        <v>277</v>
      </c>
      <c r="B64" s="2"/>
      <c r="C64" s="2" t="s">
        <v>123</v>
      </c>
      <c r="D64" s="2"/>
      <c r="E64" s="2" t="s">
        <v>124</v>
      </c>
      <c r="H64" s="2" t="s">
        <v>125</v>
      </c>
      <c r="I64" s="2" t="s">
        <v>126</v>
      </c>
    </row>
    <row r="65" spans="1:2" x14ac:dyDescent="0.25">
      <c r="A65" s="2"/>
      <c r="B65" s="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110" zoomScaleNormal="110" workbookViewId="0">
      <selection activeCell="B8" sqref="B8"/>
    </sheetView>
  </sheetViews>
  <sheetFormatPr defaultRowHeight="15" x14ac:dyDescent="0.25"/>
  <cols>
    <col min="1" max="1" width="5.5703125" style="3" customWidth="1"/>
    <col min="2" max="2" width="30.5703125" style="3" customWidth="1"/>
    <col min="3" max="3" width="13.42578125" style="3" customWidth="1"/>
    <col min="4" max="4" width="11.28515625" style="3" customWidth="1"/>
    <col min="5" max="5" width="10.28515625" style="3" customWidth="1"/>
    <col min="6" max="6" width="11.140625" style="3" customWidth="1"/>
    <col min="7" max="7" width="11" style="3" customWidth="1"/>
    <col min="8" max="8" width="12.5703125" style="3" customWidth="1"/>
    <col min="9" max="9" width="19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995</v>
      </c>
      <c r="B6" s="2"/>
      <c r="C6" s="2"/>
      <c r="D6" s="2"/>
      <c r="E6" s="1"/>
      <c r="F6" s="1"/>
      <c r="G6" s="2"/>
      <c r="H6" s="2"/>
      <c r="I6" s="2"/>
    </row>
    <row r="7" spans="1:9" x14ac:dyDescent="0.25">
      <c r="A7" s="2" t="s">
        <v>996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997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998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999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1000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58">
        <v>7</v>
      </c>
      <c r="H17" s="9">
        <v>8</v>
      </c>
      <c r="I17" s="6">
        <v>9</v>
      </c>
    </row>
    <row r="18" spans="1:9" x14ac:dyDescent="0.25">
      <c r="A18" s="14">
        <v>1</v>
      </c>
      <c r="B18" s="12" t="s">
        <v>855</v>
      </c>
      <c r="C18" s="12">
        <v>7.97</v>
      </c>
      <c r="D18" s="43">
        <v>-14302.95</v>
      </c>
      <c r="E18" s="14">
        <v>743717.16</v>
      </c>
      <c r="F18" s="15">
        <v>733318.65</v>
      </c>
      <c r="G18" s="43">
        <f>E18</f>
        <v>743717.16</v>
      </c>
      <c r="H18" s="13">
        <f>D18+F18-G18</f>
        <v>-24701.459999999963</v>
      </c>
      <c r="I18" s="43">
        <f>H18</f>
        <v>-24701.459999999963</v>
      </c>
    </row>
    <row r="19" spans="1:9" x14ac:dyDescent="0.25">
      <c r="A19" s="73" t="s">
        <v>113</v>
      </c>
      <c r="B19" s="62" t="s">
        <v>37</v>
      </c>
      <c r="C19" s="62">
        <v>2.62</v>
      </c>
      <c r="D19" s="80"/>
      <c r="E19" s="79">
        <f>E18*33/100</f>
        <v>245426.66280000002</v>
      </c>
      <c r="F19" s="55">
        <f>F18*33/100</f>
        <v>241995.1545</v>
      </c>
      <c r="G19" s="54">
        <f t="shared" ref="G19:G26" si="0">E19</f>
        <v>245426.66280000002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30"/>
      <c r="E20" s="86">
        <f>E18*17/100</f>
        <v>126431.91720000001</v>
      </c>
      <c r="F20" s="105">
        <f>F18*17/100</f>
        <v>124664.17050000001</v>
      </c>
      <c r="G20" s="22">
        <f t="shared" si="0"/>
        <v>126431.91720000001</v>
      </c>
      <c r="H20" s="30"/>
      <c r="I20" s="75"/>
    </row>
    <row r="21" spans="1:9" x14ac:dyDescent="0.25">
      <c r="A21" s="24" t="s">
        <v>40</v>
      </c>
      <c r="B21" s="6" t="s">
        <v>41</v>
      </c>
      <c r="C21" s="6">
        <v>1.63</v>
      </c>
      <c r="D21" s="29"/>
      <c r="E21" s="86">
        <f>E18*20/100</f>
        <v>148743.432</v>
      </c>
      <c r="F21" s="105">
        <f>F18*20/100</f>
        <v>146663.73000000001</v>
      </c>
      <c r="G21" s="29">
        <f t="shared" si="0"/>
        <v>148743.432</v>
      </c>
      <c r="H21" s="29"/>
      <c r="I21" s="75"/>
    </row>
    <row r="22" spans="1:9" x14ac:dyDescent="0.25">
      <c r="A22" s="24" t="s">
        <v>42</v>
      </c>
      <c r="B22" s="6" t="s">
        <v>43</v>
      </c>
      <c r="C22" s="6">
        <v>2.39</v>
      </c>
      <c r="D22" s="30"/>
      <c r="E22" s="86">
        <f>E18*30/100</f>
        <v>223115.14800000002</v>
      </c>
      <c r="F22" s="105">
        <f>F18*30/100</f>
        <v>219995.595</v>
      </c>
      <c r="G22" s="22">
        <f t="shared" si="0"/>
        <v>223115.14800000002</v>
      </c>
      <c r="H22" s="30"/>
      <c r="I22" s="75"/>
    </row>
    <row r="23" spans="1:9" x14ac:dyDescent="0.25">
      <c r="A23" s="24" t="s">
        <v>44</v>
      </c>
      <c r="B23" s="6" t="s">
        <v>47</v>
      </c>
      <c r="C23" s="6">
        <v>1.9724900000000001</v>
      </c>
      <c r="D23" s="30"/>
      <c r="E23" s="58">
        <v>215077.56</v>
      </c>
      <c r="F23" s="48">
        <v>191081.92</v>
      </c>
      <c r="G23" s="9">
        <f>E23</f>
        <v>215077.56</v>
      </c>
      <c r="H23" s="6">
        <f>F23-E23</f>
        <v>-23995.639999999985</v>
      </c>
      <c r="I23" s="49">
        <f>H23</f>
        <v>-23995.639999999985</v>
      </c>
    </row>
    <row r="24" spans="1:9" x14ac:dyDescent="0.25">
      <c r="A24" s="101" t="s">
        <v>48</v>
      </c>
      <c r="B24" s="11" t="s">
        <v>143</v>
      </c>
      <c r="C24" s="11">
        <v>3.15</v>
      </c>
      <c r="D24" s="32">
        <v>-64661.04</v>
      </c>
      <c r="E24" s="43">
        <v>250934.61</v>
      </c>
      <c r="F24" s="34">
        <v>249070.76</v>
      </c>
      <c r="G24" s="43">
        <f>E24</f>
        <v>250934.61</v>
      </c>
      <c r="H24" s="32">
        <f>D24+F24-G24</f>
        <v>-66524.889999999985</v>
      </c>
      <c r="I24" s="43">
        <f>H24</f>
        <v>-66524.889999999985</v>
      </c>
    </row>
    <row r="25" spans="1:9" x14ac:dyDescent="0.25">
      <c r="A25" s="11" t="s">
        <v>51</v>
      </c>
      <c r="B25" s="12" t="s">
        <v>49</v>
      </c>
      <c r="C25" s="11" t="s">
        <v>50</v>
      </c>
      <c r="D25" s="223">
        <v>-33762.03</v>
      </c>
      <c r="E25" s="41">
        <v>315869.09999999998</v>
      </c>
      <c r="F25" s="42">
        <v>297840.49</v>
      </c>
      <c r="G25" s="43">
        <f>E25</f>
        <v>315869.09999999998</v>
      </c>
      <c r="H25" s="223">
        <f>D25+F25-G25</f>
        <v>-51790.640000000014</v>
      </c>
      <c r="I25" s="43">
        <f>H25</f>
        <v>-51790.640000000014</v>
      </c>
    </row>
    <row r="26" spans="1:9" x14ac:dyDescent="0.25">
      <c r="A26" s="101" t="s">
        <v>55</v>
      </c>
      <c r="B26" s="12" t="s">
        <v>194</v>
      </c>
      <c r="C26" s="11">
        <v>0.92</v>
      </c>
      <c r="D26" s="32">
        <v>-3494.08</v>
      </c>
      <c r="E26" s="33">
        <v>0</v>
      </c>
      <c r="F26" s="34">
        <v>5.97</v>
      </c>
      <c r="G26" s="43">
        <f t="shared" si="0"/>
        <v>0</v>
      </c>
      <c r="H26" s="32">
        <f>D26+F26-G26</f>
        <v>-3488.11</v>
      </c>
      <c r="I26" s="43">
        <f>H26</f>
        <v>-3488.11</v>
      </c>
    </row>
    <row r="27" spans="1:9" x14ac:dyDescent="0.25">
      <c r="A27" s="12" t="s">
        <v>59</v>
      </c>
      <c r="B27" s="12" t="s">
        <v>195</v>
      </c>
      <c r="C27" s="12">
        <v>1.82</v>
      </c>
      <c r="D27" s="16">
        <v>-94738.3</v>
      </c>
      <c r="E27" s="12">
        <v>169832.4</v>
      </c>
      <c r="F27" s="12">
        <v>167562.84</v>
      </c>
      <c r="G27" s="12">
        <f>I59</f>
        <v>34348.21</v>
      </c>
      <c r="H27" s="16">
        <f>D27+F27-G27</f>
        <v>38476.329999999994</v>
      </c>
      <c r="I27" s="17"/>
    </row>
    <row r="28" spans="1:9" x14ac:dyDescent="0.25">
      <c r="A28" s="12" t="s">
        <v>196</v>
      </c>
      <c r="B28" s="12" t="s">
        <v>875</v>
      </c>
      <c r="C28" s="14">
        <v>0</v>
      </c>
      <c r="D28" s="17">
        <v>-67957.600000000006</v>
      </c>
      <c r="E28" s="41">
        <v>0</v>
      </c>
      <c r="F28" s="11"/>
      <c r="G28" s="42">
        <v>0</v>
      </c>
      <c r="H28" s="17">
        <f>D28+F28-G28</f>
        <v>-67957.600000000006</v>
      </c>
      <c r="I28" s="43">
        <f>H28</f>
        <v>-67957.600000000006</v>
      </c>
    </row>
    <row r="29" spans="1:9" x14ac:dyDescent="0.25">
      <c r="A29" s="9"/>
      <c r="B29" s="9" t="s">
        <v>53</v>
      </c>
      <c r="C29" s="10">
        <v>0</v>
      </c>
      <c r="D29" s="54"/>
      <c r="E29" s="10"/>
      <c r="F29" s="9"/>
      <c r="G29" s="8"/>
      <c r="H29" s="54"/>
      <c r="I29" s="29"/>
    </row>
    <row r="30" spans="1:9" x14ac:dyDescent="0.25">
      <c r="A30" s="60"/>
      <c r="B30" s="60"/>
      <c r="C30" s="60"/>
      <c r="D30" s="37"/>
      <c r="E30" s="60"/>
      <c r="F30" s="60"/>
      <c r="G30" s="60"/>
      <c r="H30" s="37"/>
      <c r="I30" s="37"/>
    </row>
    <row r="31" spans="1:9" x14ac:dyDescent="0.25">
      <c r="A31" s="1" t="s">
        <v>58</v>
      </c>
      <c r="B31" s="2"/>
      <c r="C31" s="2"/>
      <c r="E31" s="2"/>
      <c r="F31" s="2"/>
      <c r="G31" s="2"/>
      <c r="H31" s="2"/>
      <c r="I31" s="2"/>
    </row>
    <row r="32" spans="1:9" x14ac:dyDescent="0.25">
      <c r="A32" s="1"/>
      <c r="B32" s="2"/>
      <c r="C32" s="2"/>
      <c r="E32" s="2"/>
      <c r="F32" s="2"/>
      <c r="G32" s="2"/>
      <c r="H32" s="2"/>
      <c r="I32" s="2"/>
    </row>
    <row r="33" spans="1:9" x14ac:dyDescent="0.25">
      <c r="A33" s="57" t="s">
        <v>59</v>
      </c>
      <c r="B33" s="48" t="s">
        <v>60</v>
      </c>
      <c r="C33" s="9" t="s">
        <v>64</v>
      </c>
      <c r="D33" s="9" t="s">
        <v>62</v>
      </c>
      <c r="E33" s="9" t="s">
        <v>507</v>
      </c>
      <c r="F33" s="9" t="s">
        <v>61</v>
      </c>
      <c r="G33" s="9"/>
      <c r="H33" s="8" t="s">
        <v>199</v>
      </c>
      <c r="I33" s="50"/>
    </row>
    <row r="34" spans="1:9" x14ac:dyDescent="0.25">
      <c r="A34" s="59"/>
      <c r="B34" s="51"/>
      <c r="C34" s="62" t="s">
        <v>66</v>
      </c>
      <c r="D34" s="53" t="s">
        <v>23</v>
      </c>
      <c r="E34" s="9" t="s">
        <v>312</v>
      </c>
      <c r="F34" s="9" t="s">
        <v>30</v>
      </c>
      <c r="G34" s="9"/>
      <c r="H34" s="74"/>
      <c r="I34" s="53"/>
    </row>
    <row r="35" spans="1:9" x14ac:dyDescent="0.25">
      <c r="A35" s="52"/>
      <c r="B35" s="52" t="s">
        <v>68</v>
      </c>
      <c r="C35" s="40">
        <v>16957.5</v>
      </c>
      <c r="D35" s="9">
        <v>9153</v>
      </c>
      <c r="E35" s="29">
        <f>D35*15%</f>
        <v>1372.95</v>
      </c>
      <c r="F35" s="29">
        <f>C35+(D35-E35)</f>
        <v>24737.55</v>
      </c>
      <c r="G35" s="29"/>
      <c r="H35" s="79">
        <f>F35-G35</f>
        <v>24737.55</v>
      </c>
      <c r="I35" s="53"/>
    </row>
    <row r="36" spans="1:9" x14ac:dyDescent="0.25">
      <c r="A36" s="60"/>
      <c r="B36" s="60"/>
      <c r="C36" s="37"/>
      <c r="D36" s="60"/>
      <c r="E36" s="37"/>
      <c r="F36" s="37"/>
      <c r="G36" s="37"/>
      <c r="H36" s="37"/>
      <c r="I36" s="60"/>
    </row>
    <row r="37" spans="1:9" x14ac:dyDescent="0.25">
      <c r="A37" s="5" t="s">
        <v>69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1" t="s">
        <v>70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6" t="s">
        <v>71</v>
      </c>
      <c r="B39" s="48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1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6"/>
      <c r="B42" s="6"/>
      <c r="C42" s="68"/>
      <c r="D42" s="6"/>
      <c r="E42" s="58"/>
      <c r="F42" s="48"/>
      <c r="G42" s="6"/>
      <c r="H42" s="6"/>
      <c r="I42" s="49"/>
    </row>
    <row r="43" spans="1:9" x14ac:dyDescent="0.25">
      <c r="A43" s="9">
        <v>1</v>
      </c>
      <c r="B43" s="9" t="s">
        <v>90</v>
      </c>
      <c r="C43" s="42" t="s">
        <v>91</v>
      </c>
      <c r="D43" s="6">
        <v>-152994.82</v>
      </c>
      <c r="E43" s="95">
        <v>618697.76</v>
      </c>
      <c r="F43" s="8">
        <v>575031.06999999995</v>
      </c>
      <c r="G43" s="9">
        <f>E43</f>
        <v>618697.76</v>
      </c>
      <c r="H43" s="9">
        <f>D43+F43-G43</f>
        <v>-196661.51000000007</v>
      </c>
      <c r="I43" s="49">
        <f>H43</f>
        <v>-196661.51000000007</v>
      </c>
    </row>
    <row r="44" spans="1:9" x14ac:dyDescent="0.25">
      <c r="A44" s="9"/>
      <c r="B44" s="9" t="s">
        <v>92</v>
      </c>
      <c r="C44" s="41" t="s">
        <v>93</v>
      </c>
      <c r="D44" s="6"/>
      <c r="E44" s="65"/>
      <c r="F44" s="8"/>
      <c r="G44" s="62"/>
      <c r="H44" s="62"/>
      <c r="I44" s="49"/>
    </row>
    <row r="45" spans="1:9" x14ac:dyDescent="0.25">
      <c r="A45" s="9">
        <v>2</v>
      </c>
      <c r="B45" s="9" t="s">
        <v>168</v>
      </c>
      <c r="C45" s="41" t="s">
        <v>95</v>
      </c>
      <c r="D45" s="6">
        <v>-464188.51</v>
      </c>
      <c r="E45" s="65">
        <v>985429.11</v>
      </c>
      <c r="F45" s="8">
        <v>908694.63</v>
      </c>
      <c r="G45" s="62">
        <f>E45</f>
        <v>985429.11</v>
      </c>
      <c r="H45" s="62">
        <f>D45+F45-G45</f>
        <v>-540922.99</v>
      </c>
      <c r="I45" s="9">
        <f>H45</f>
        <v>-540922.99</v>
      </c>
    </row>
    <row r="46" spans="1:9" x14ac:dyDescent="0.25">
      <c r="A46" s="9"/>
      <c r="B46" s="9" t="s">
        <v>313</v>
      </c>
      <c r="C46" s="41" t="s">
        <v>93</v>
      </c>
      <c r="D46" s="6"/>
      <c r="E46" s="65"/>
      <c r="F46" s="8"/>
      <c r="G46" s="62"/>
      <c r="H46" s="62"/>
      <c r="I46" s="50"/>
    </row>
    <row r="47" spans="1:9" x14ac:dyDescent="0.25">
      <c r="A47" s="9">
        <v>3</v>
      </c>
      <c r="B47" s="9" t="s">
        <v>98</v>
      </c>
      <c r="C47" s="41" t="s">
        <v>203</v>
      </c>
      <c r="D47" s="9">
        <v>-907749.75</v>
      </c>
      <c r="E47" s="10">
        <v>2729084.75</v>
      </c>
      <c r="F47" s="8">
        <v>2681866.88</v>
      </c>
      <c r="G47" s="62">
        <f>E47</f>
        <v>2729084.75</v>
      </c>
      <c r="H47" s="62">
        <f>D47+F47-G47</f>
        <v>-954967.62000000011</v>
      </c>
      <c r="I47" s="50">
        <f>H47</f>
        <v>-954967.62000000011</v>
      </c>
    </row>
    <row r="48" spans="1:9" x14ac:dyDescent="0.25">
      <c r="A48" s="1" t="s">
        <v>100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398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1001</v>
      </c>
      <c r="G51" s="60"/>
      <c r="H51" s="61"/>
      <c r="I51" s="7" t="s">
        <v>108</v>
      </c>
    </row>
    <row r="52" spans="1:9" x14ac:dyDescent="0.25">
      <c r="A52" s="51"/>
      <c r="B52" s="62"/>
      <c r="C52" s="60"/>
      <c r="D52" s="60"/>
      <c r="E52" s="60"/>
      <c r="F52" s="52" t="s">
        <v>1002</v>
      </c>
      <c r="G52" s="79"/>
      <c r="H52" s="53"/>
      <c r="I52" s="7"/>
    </row>
    <row r="53" spans="1:9" x14ac:dyDescent="0.25">
      <c r="A53" s="67" t="s">
        <v>110</v>
      </c>
      <c r="B53" s="25"/>
      <c r="C53" s="68" t="s">
        <v>624</v>
      </c>
      <c r="D53" s="68"/>
      <c r="E53" s="68"/>
      <c r="F53" s="51"/>
      <c r="G53" s="37"/>
      <c r="H53" s="60"/>
      <c r="I53" s="6"/>
    </row>
    <row r="54" spans="1:9" x14ac:dyDescent="0.25">
      <c r="A54" s="69" t="s">
        <v>113</v>
      </c>
      <c r="B54" s="70">
        <v>42851</v>
      </c>
      <c r="C54" s="60" t="s">
        <v>114</v>
      </c>
      <c r="D54" s="60"/>
      <c r="E54" s="60"/>
      <c r="F54" s="51"/>
      <c r="G54" s="37">
        <f>I54/7776.2</f>
        <v>1.7489262107456085</v>
      </c>
      <c r="H54" s="60"/>
      <c r="I54" s="22">
        <v>13600</v>
      </c>
    </row>
    <row r="55" spans="1:9" x14ac:dyDescent="0.25">
      <c r="A55" s="69" t="s">
        <v>1003</v>
      </c>
      <c r="B55" s="70">
        <v>42947</v>
      </c>
      <c r="C55" s="60" t="s">
        <v>1004</v>
      </c>
      <c r="D55" s="60"/>
      <c r="E55" s="60"/>
      <c r="F55" s="51"/>
      <c r="G55" s="37">
        <f>I55/7776.2</f>
        <v>0.32791723463902678</v>
      </c>
      <c r="H55" s="60"/>
      <c r="I55" s="7">
        <v>2549.9499999999998</v>
      </c>
    </row>
    <row r="56" spans="1:9" x14ac:dyDescent="0.25">
      <c r="A56" s="69" t="s">
        <v>40</v>
      </c>
      <c r="B56" s="70">
        <v>42978</v>
      </c>
      <c r="C56" s="60" t="s">
        <v>1005</v>
      </c>
      <c r="D56" s="60"/>
      <c r="E56" s="60"/>
      <c r="F56" s="51"/>
      <c r="G56" s="37">
        <f>I56/7776.2</f>
        <v>0.34106375864818289</v>
      </c>
      <c r="H56" s="60"/>
      <c r="I56" s="7">
        <v>2652.18</v>
      </c>
    </row>
    <row r="57" spans="1:9" x14ac:dyDescent="0.25">
      <c r="A57" s="69" t="s">
        <v>42</v>
      </c>
      <c r="B57" s="70">
        <v>43069</v>
      </c>
      <c r="C57" s="60" t="s">
        <v>1006</v>
      </c>
      <c r="D57" s="60"/>
      <c r="E57" s="60"/>
      <c r="F57" s="51"/>
      <c r="G57" s="37">
        <f>I57/7776.2</f>
        <v>1.7265798204778684</v>
      </c>
      <c r="H57" s="60"/>
      <c r="I57" s="7">
        <v>13426.23</v>
      </c>
    </row>
    <row r="58" spans="1:9" x14ac:dyDescent="0.25">
      <c r="A58" s="69" t="s">
        <v>44</v>
      </c>
      <c r="B58" s="70">
        <v>43069</v>
      </c>
      <c r="C58" s="60" t="s">
        <v>1007</v>
      </c>
      <c r="D58" s="60"/>
      <c r="E58" s="60"/>
      <c r="F58" s="51"/>
      <c r="G58" s="37">
        <f>I58/7776.2</f>
        <v>0.27260744322419689</v>
      </c>
      <c r="H58" s="60"/>
      <c r="I58" s="7">
        <v>2119.85</v>
      </c>
    </row>
    <row r="59" spans="1:9" x14ac:dyDescent="0.25">
      <c r="A59" s="73"/>
      <c r="B59" s="62"/>
      <c r="C59" s="14" t="s">
        <v>118</v>
      </c>
      <c r="D59" s="14"/>
      <c r="E59" s="14"/>
      <c r="F59" s="15"/>
      <c r="G59" s="20">
        <f>SUM(G54:G58)</f>
        <v>4.4170944677348833</v>
      </c>
      <c r="H59" s="14"/>
      <c r="I59" s="17">
        <f>SUM(I54:I58)</f>
        <v>34348.21</v>
      </c>
    </row>
    <row r="60" spans="1:9" x14ac:dyDescent="0.25">
      <c r="A60" s="6" t="s">
        <v>48</v>
      </c>
      <c r="B60" s="25" t="s">
        <v>119</v>
      </c>
      <c r="C60" s="57" t="s">
        <v>120</v>
      </c>
      <c r="D60" s="58"/>
      <c r="E60" s="58"/>
      <c r="F60" s="48" t="s">
        <v>121</v>
      </c>
      <c r="G60" s="86"/>
      <c r="H60" s="49"/>
      <c r="I60" s="49"/>
    </row>
    <row r="61" spans="1:9" x14ac:dyDescent="0.25">
      <c r="A61" s="69"/>
      <c r="B61" s="70"/>
      <c r="C61" s="51"/>
      <c r="D61" s="60"/>
      <c r="E61" s="60"/>
      <c r="F61" s="51"/>
      <c r="G61" s="37"/>
      <c r="H61" s="61"/>
      <c r="I61" s="61"/>
    </row>
    <row r="62" spans="1:9" x14ac:dyDescent="0.25">
      <c r="A62" s="7"/>
      <c r="B62" s="140"/>
      <c r="C62" s="51"/>
      <c r="D62" s="60"/>
      <c r="E62" s="60"/>
      <c r="F62" s="51"/>
      <c r="G62" s="37"/>
      <c r="H62" s="61"/>
      <c r="I62" s="61"/>
    </row>
    <row r="63" spans="1:9" x14ac:dyDescent="0.25">
      <c r="A63" s="73"/>
      <c r="B63" s="62" t="s">
        <v>119</v>
      </c>
      <c r="C63" s="15" t="s">
        <v>118</v>
      </c>
      <c r="D63" s="74"/>
      <c r="E63" s="74"/>
      <c r="F63" s="52" t="s">
        <v>71</v>
      </c>
      <c r="G63" s="78">
        <f>SUM(G61:G62)</f>
        <v>0</v>
      </c>
      <c r="H63" s="53"/>
      <c r="I63" s="85">
        <f>SUM(I61:I62)</f>
        <v>0</v>
      </c>
    </row>
    <row r="64" spans="1:9" x14ac:dyDescent="0.25">
      <c r="A64" s="2" t="s">
        <v>122</v>
      </c>
      <c r="B64" s="2"/>
      <c r="C64" s="2"/>
      <c r="D64" s="2" t="s">
        <v>123</v>
      </c>
      <c r="F64" s="2" t="s">
        <v>124</v>
      </c>
      <c r="H64" s="2" t="s">
        <v>125</v>
      </c>
      <c r="I64" s="2" t="s">
        <v>126</v>
      </c>
    </row>
    <row r="65" spans="1:2" x14ac:dyDescent="0.25">
      <c r="A65" s="2"/>
      <c r="B6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110" zoomScaleNormal="110" workbookViewId="0">
      <selection activeCell="B5" sqref="B5"/>
    </sheetView>
  </sheetViews>
  <sheetFormatPr defaultRowHeight="15" x14ac:dyDescent="0.25"/>
  <cols>
    <col min="1" max="1" width="6.140625" style="3" customWidth="1"/>
    <col min="2" max="2" width="32.28515625" style="3" customWidth="1"/>
    <col min="3" max="3" width="12.7109375" style="3" customWidth="1"/>
    <col min="4" max="7" width="9.140625" style="3"/>
    <col min="8" max="8" width="12.140625" style="3" customWidth="1"/>
    <col min="9" max="9" width="19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1008</v>
      </c>
      <c r="B7" s="2"/>
      <c r="C7" s="2"/>
      <c r="D7" s="2"/>
      <c r="E7" s="1"/>
      <c r="F7" s="1"/>
      <c r="G7" s="2"/>
      <c r="H7" s="2"/>
      <c r="I7" s="2"/>
    </row>
    <row r="8" spans="1:9" x14ac:dyDescent="0.25">
      <c r="A8" s="2" t="s">
        <v>1009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1010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136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138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62" t="s">
        <v>618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8">
        <v>7</v>
      </c>
      <c r="H18" s="9">
        <v>8</v>
      </c>
      <c r="I18" s="9">
        <v>9</v>
      </c>
    </row>
    <row r="19" spans="1:9" x14ac:dyDescent="0.25">
      <c r="A19" s="11">
        <v>1</v>
      </c>
      <c r="B19" s="12" t="s">
        <v>1011</v>
      </c>
      <c r="C19" s="12">
        <v>7.97</v>
      </c>
      <c r="D19" s="17">
        <v>-13845.41</v>
      </c>
      <c r="E19" s="14">
        <v>253312.56</v>
      </c>
      <c r="F19" s="15">
        <v>250673.48</v>
      </c>
      <c r="G19" s="17">
        <f>E19</f>
        <v>253312.56</v>
      </c>
      <c r="H19" s="13">
        <f>D19+F19-G19</f>
        <v>-16484.489999999991</v>
      </c>
      <c r="I19" s="17">
        <f>H19</f>
        <v>-16484.489999999991</v>
      </c>
    </row>
    <row r="20" spans="1:9" x14ac:dyDescent="0.25">
      <c r="A20" s="7" t="s">
        <v>36</v>
      </c>
      <c r="B20" s="62" t="s">
        <v>37</v>
      </c>
      <c r="C20" s="62">
        <v>2.62</v>
      </c>
      <c r="D20" s="54"/>
      <c r="E20" s="79">
        <f>E19*33%</f>
        <v>83593.144800000009</v>
      </c>
      <c r="F20" s="55">
        <f>F19*33/100</f>
        <v>82722.248400000011</v>
      </c>
      <c r="G20" s="54">
        <f t="shared" ref="G20:G29" si="0">E20</f>
        <v>83593.144800000009</v>
      </c>
      <c r="H20" s="80"/>
      <c r="I20" s="54"/>
    </row>
    <row r="21" spans="1:9" x14ac:dyDescent="0.25">
      <c r="A21" s="24" t="s">
        <v>38</v>
      </c>
      <c r="B21" s="6" t="s">
        <v>39</v>
      </c>
      <c r="C21" s="6">
        <v>1.33</v>
      </c>
      <c r="D21" s="75"/>
      <c r="E21" s="86">
        <f>E19*17/100</f>
        <v>43063.135199999997</v>
      </c>
      <c r="F21" s="105">
        <f>F19*17/100</f>
        <v>42614.491600000001</v>
      </c>
      <c r="G21" s="22">
        <f t="shared" si="0"/>
        <v>43063.135199999997</v>
      </c>
      <c r="H21" s="30"/>
      <c r="I21" s="75"/>
    </row>
    <row r="22" spans="1:9" x14ac:dyDescent="0.25">
      <c r="A22" s="24" t="s">
        <v>40</v>
      </c>
      <c r="B22" s="6" t="s">
        <v>41</v>
      </c>
      <c r="C22" s="6">
        <v>1.63</v>
      </c>
      <c r="D22" s="75"/>
      <c r="E22" s="29">
        <f>E19*20/100</f>
        <v>50662.512000000002</v>
      </c>
      <c r="F22" s="40">
        <f>F19*20/100</f>
        <v>50134.696000000004</v>
      </c>
      <c r="G22" s="29">
        <f t="shared" si="0"/>
        <v>50662.512000000002</v>
      </c>
      <c r="H22" s="35"/>
      <c r="I22" s="75"/>
    </row>
    <row r="23" spans="1:9" x14ac:dyDescent="0.25">
      <c r="A23" s="24" t="s">
        <v>42</v>
      </c>
      <c r="B23" s="6" t="s">
        <v>43</v>
      </c>
      <c r="C23" s="6">
        <v>2.39</v>
      </c>
      <c r="D23" s="75"/>
      <c r="E23" s="39">
        <f>E19*30/100</f>
        <v>75993.767999999996</v>
      </c>
      <c r="F23" s="40">
        <f>F19*30/100</f>
        <v>75202.044000000009</v>
      </c>
      <c r="G23" s="29">
        <f t="shared" si="0"/>
        <v>75993.767999999996</v>
      </c>
      <c r="H23" s="35"/>
      <c r="I23" s="75"/>
    </row>
    <row r="24" spans="1:9" x14ac:dyDescent="0.25">
      <c r="A24" s="24" t="s">
        <v>44</v>
      </c>
      <c r="B24" s="6" t="s">
        <v>542</v>
      </c>
      <c r="C24" s="6">
        <v>120</v>
      </c>
      <c r="D24" s="43">
        <v>-1300.46</v>
      </c>
      <c r="E24" s="37">
        <v>77760</v>
      </c>
      <c r="F24" s="38">
        <v>77097.23</v>
      </c>
      <c r="G24" s="22">
        <f>E24</f>
        <v>77760</v>
      </c>
      <c r="H24" s="19">
        <f>D24+F24-E24</f>
        <v>-1963.2300000000105</v>
      </c>
      <c r="I24" s="45">
        <f>H24</f>
        <v>-1963.2300000000105</v>
      </c>
    </row>
    <row r="25" spans="1:9" x14ac:dyDescent="0.25">
      <c r="A25" s="24" t="s">
        <v>46</v>
      </c>
      <c r="B25" s="6" t="s">
        <v>45</v>
      </c>
      <c r="C25" s="6">
        <v>1.38E-2</v>
      </c>
      <c r="D25" s="45"/>
      <c r="E25" s="39">
        <v>475.37</v>
      </c>
      <c r="F25" s="40">
        <v>522.59</v>
      </c>
      <c r="G25" s="29">
        <f>E25</f>
        <v>475.37</v>
      </c>
      <c r="H25" s="32">
        <f>F25-E25</f>
        <v>47.220000000000027</v>
      </c>
      <c r="I25" s="45"/>
    </row>
    <row r="26" spans="1:9" x14ac:dyDescent="0.25">
      <c r="A26" s="24" t="s">
        <v>356</v>
      </c>
      <c r="B26" s="6" t="s">
        <v>274</v>
      </c>
      <c r="C26" s="6">
        <v>2.7045499999999998</v>
      </c>
      <c r="D26" s="45"/>
      <c r="E26" s="39">
        <v>88597.94</v>
      </c>
      <c r="F26" s="40">
        <v>77148.83</v>
      </c>
      <c r="G26" s="29">
        <f>E26</f>
        <v>88597.94</v>
      </c>
      <c r="H26" s="32">
        <f>F26-E26</f>
        <v>-11449.11</v>
      </c>
      <c r="I26" s="45">
        <f>H26</f>
        <v>-11449.11</v>
      </c>
    </row>
    <row r="27" spans="1:9" x14ac:dyDescent="0.25">
      <c r="A27" s="101" t="s">
        <v>48</v>
      </c>
      <c r="B27" s="11" t="s">
        <v>143</v>
      </c>
      <c r="C27" s="11">
        <v>3.15</v>
      </c>
      <c r="D27" s="43">
        <v>-12845.6</v>
      </c>
      <c r="E27" s="43">
        <v>86611.02</v>
      </c>
      <c r="F27" s="34">
        <v>85767.66</v>
      </c>
      <c r="G27" s="43">
        <f t="shared" si="0"/>
        <v>86611.02</v>
      </c>
      <c r="H27" s="32">
        <f>D27+F27-G27</f>
        <v>-13688.960000000006</v>
      </c>
      <c r="I27" s="43">
        <f>H27</f>
        <v>-13688.960000000006</v>
      </c>
    </row>
    <row r="28" spans="1:9" x14ac:dyDescent="0.25">
      <c r="A28" s="11" t="s">
        <v>51</v>
      </c>
      <c r="B28" s="12" t="s">
        <v>49</v>
      </c>
      <c r="C28" s="11" t="s">
        <v>50</v>
      </c>
      <c r="D28" s="43">
        <v>-7383.72</v>
      </c>
      <c r="E28" s="41">
        <v>107586.06</v>
      </c>
      <c r="F28" s="42">
        <v>101276.8</v>
      </c>
      <c r="G28" s="43">
        <f t="shared" si="0"/>
        <v>107586.06</v>
      </c>
      <c r="H28" s="223">
        <f>D28+F28-G28</f>
        <v>-13692.979999999996</v>
      </c>
      <c r="I28" s="43">
        <f>H28</f>
        <v>-13692.979999999996</v>
      </c>
    </row>
    <row r="29" spans="1:9" x14ac:dyDescent="0.25">
      <c r="A29" s="101" t="s">
        <v>55</v>
      </c>
      <c r="B29" s="12" t="s">
        <v>194</v>
      </c>
      <c r="C29" s="11">
        <v>0.92</v>
      </c>
      <c r="D29" s="43">
        <v>-76.290000000000006</v>
      </c>
      <c r="E29" s="33">
        <v>0</v>
      </c>
      <c r="F29" s="34">
        <v>0</v>
      </c>
      <c r="G29" s="43">
        <f t="shared" si="0"/>
        <v>0</v>
      </c>
      <c r="H29" s="32">
        <f>D29+F29-G29</f>
        <v>-76.290000000000006</v>
      </c>
      <c r="I29" s="43">
        <f>H29</f>
        <v>-76.290000000000006</v>
      </c>
    </row>
    <row r="30" spans="1:9" x14ac:dyDescent="0.25">
      <c r="A30" s="12" t="s">
        <v>59</v>
      </c>
      <c r="B30" s="12" t="s">
        <v>459</v>
      </c>
      <c r="C30" s="12">
        <v>1.82</v>
      </c>
      <c r="D30" s="78">
        <v>68611.48</v>
      </c>
      <c r="E30" s="12">
        <v>57845.52</v>
      </c>
      <c r="F30" s="14">
        <v>58513.02</v>
      </c>
      <c r="G30" s="12">
        <f>I62</f>
        <v>44075.350000000006</v>
      </c>
      <c r="H30" s="78">
        <f>D30+F30-G30</f>
        <v>83049.149999999994</v>
      </c>
      <c r="I30" s="17"/>
    </row>
    <row r="31" spans="1:9" x14ac:dyDescent="0.25">
      <c r="A31" s="11" t="s">
        <v>196</v>
      </c>
      <c r="B31" s="12" t="s">
        <v>909</v>
      </c>
      <c r="C31" s="12">
        <v>0</v>
      </c>
      <c r="D31" s="13">
        <v>20002.18</v>
      </c>
      <c r="E31" s="12">
        <f>E32</f>
        <v>0</v>
      </c>
      <c r="F31" s="14">
        <v>0.02</v>
      </c>
      <c r="G31" s="12">
        <f>G32</f>
        <v>0</v>
      </c>
      <c r="H31" s="13">
        <f>D31+F31-G31</f>
        <v>20002.2</v>
      </c>
      <c r="I31" s="17"/>
    </row>
    <row r="32" spans="1:9" x14ac:dyDescent="0.25">
      <c r="A32" s="9"/>
      <c r="B32" s="9" t="s">
        <v>149</v>
      </c>
      <c r="C32" s="9">
        <v>0</v>
      </c>
      <c r="D32" s="80"/>
      <c r="E32" s="9">
        <v>0</v>
      </c>
      <c r="F32" s="10">
        <v>0</v>
      </c>
      <c r="G32" s="9">
        <v>0</v>
      </c>
      <c r="H32" s="80"/>
      <c r="I32" s="29"/>
    </row>
    <row r="33" spans="1:9" x14ac:dyDescent="0.25">
      <c r="A33" s="1" t="s">
        <v>58</v>
      </c>
      <c r="B33" s="2"/>
      <c r="C33" s="2"/>
      <c r="E33" s="2"/>
      <c r="F33" s="2"/>
      <c r="G33" s="2"/>
      <c r="H33" s="2"/>
      <c r="I33" s="2"/>
    </row>
    <row r="34" spans="1:9" x14ac:dyDescent="0.25">
      <c r="A34" s="57" t="s">
        <v>197</v>
      </c>
      <c r="B34" s="6"/>
      <c r="C34" s="75" t="s">
        <v>742</v>
      </c>
      <c r="D34" s="6" t="s">
        <v>62</v>
      </c>
      <c r="E34" s="49" t="s">
        <v>726</v>
      </c>
      <c r="F34" s="75" t="s">
        <v>725</v>
      </c>
      <c r="G34" s="6"/>
      <c r="H34" s="105" t="s">
        <v>714</v>
      </c>
      <c r="I34" s="49"/>
    </row>
    <row r="35" spans="1:9" x14ac:dyDescent="0.25">
      <c r="A35" s="59"/>
      <c r="B35" s="7" t="s">
        <v>1012</v>
      </c>
      <c r="C35" s="54" t="s">
        <v>66</v>
      </c>
      <c r="D35" s="62" t="s">
        <v>23</v>
      </c>
      <c r="E35" s="237">
        <v>0.15</v>
      </c>
      <c r="F35" s="62" t="s">
        <v>30</v>
      </c>
      <c r="G35" s="62"/>
      <c r="H35" s="55"/>
      <c r="I35" s="53"/>
    </row>
    <row r="36" spans="1:9" x14ac:dyDescent="0.25">
      <c r="A36" s="52"/>
      <c r="B36" s="62" t="s">
        <v>1013</v>
      </c>
      <c r="C36" s="54">
        <v>10900.5</v>
      </c>
      <c r="D36" s="62">
        <v>5553</v>
      </c>
      <c r="E36" s="80">
        <f>D36*15%</f>
        <v>832.94999999999993</v>
      </c>
      <c r="F36" s="54">
        <f>C36+(D36-E36)</f>
        <v>15620.55</v>
      </c>
      <c r="G36" s="54"/>
      <c r="H36" s="55">
        <f>F36-G36</f>
        <v>15620.55</v>
      </c>
      <c r="I36" s="53"/>
    </row>
    <row r="37" spans="1:9" x14ac:dyDescent="0.25">
      <c r="A37" s="5" t="s">
        <v>69</v>
      </c>
      <c r="B37" s="5"/>
      <c r="C37" s="5"/>
      <c r="D37" s="56"/>
      <c r="E37" s="5"/>
      <c r="F37" s="5"/>
      <c r="G37" s="5"/>
      <c r="H37" s="5"/>
      <c r="I37" s="5"/>
    </row>
    <row r="38" spans="1:9" x14ac:dyDescent="0.25">
      <c r="A38" s="1" t="s">
        <v>70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77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62"/>
      <c r="B42" s="62"/>
      <c r="C42" s="14"/>
      <c r="D42" s="62"/>
      <c r="E42" s="74"/>
      <c r="F42" s="52"/>
      <c r="G42" s="7"/>
      <c r="H42" s="7"/>
      <c r="I42" s="53"/>
    </row>
    <row r="43" spans="1:9" x14ac:dyDescent="0.25">
      <c r="A43" s="9">
        <v>1</v>
      </c>
      <c r="B43" s="9" t="s">
        <v>90</v>
      </c>
      <c r="C43" s="42" t="s">
        <v>91</v>
      </c>
      <c r="D43" s="6">
        <v>-51258.66</v>
      </c>
      <c r="E43" s="95">
        <v>225049.54</v>
      </c>
      <c r="F43" s="8">
        <v>217838.02</v>
      </c>
      <c r="G43" s="9">
        <f>E43</f>
        <v>225049.54</v>
      </c>
      <c r="H43" s="9">
        <f>D43+F43-G43</f>
        <v>-58470.180000000022</v>
      </c>
      <c r="I43" s="49">
        <f>H43</f>
        <v>-58470.180000000022</v>
      </c>
    </row>
    <row r="44" spans="1:9" x14ac:dyDescent="0.25">
      <c r="A44" s="9" t="s">
        <v>71</v>
      </c>
      <c r="B44" s="9" t="s">
        <v>92</v>
      </c>
      <c r="C44" s="41" t="s">
        <v>93</v>
      </c>
      <c r="D44" s="6"/>
      <c r="E44" s="65"/>
      <c r="F44" s="8"/>
      <c r="G44" s="62"/>
      <c r="H44" s="62"/>
      <c r="I44" s="49"/>
    </row>
    <row r="45" spans="1:9" x14ac:dyDescent="0.25">
      <c r="A45" s="9">
        <v>2</v>
      </c>
      <c r="B45" s="9" t="s">
        <v>168</v>
      </c>
      <c r="C45" s="41" t="s">
        <v>95</v>
      </c>
      <c r="D45" s="9">
        <v>-106085.1</v>
      </c>
      <c r="E45" s="65">
        <v>339818.52</v>
      </c>
      <c r="F45" s="8">
        <v>319588.28000000003</v>
      </c>
      <c r="G45" s="62">
        <f>E45</f>
        <v>339818.52</v>
      </c>
      <c r="H45" s="62">
        <f>D45+F45-G45</f>
        <v>-126315.34</v>
      </c>
      <c r="I45" s="9">
        <f>H45</f>
        <v>-126315.34</v>
      </c>
    </row>
    <row r="46" spans="1:9" x14ac:dyDescent="0.25">
      <c r="A46" s="9"/>
      <c r="B46" s="9" t="s">
        <v>313</v>
      </c>
      <c r="C46" s="41" t="s">
        <v>93</v>
      </c>
      <c r="D46" s="9"/>
      <c r="E46" s="65"/>
      <c r="F46" s="8"/>
      <c r="G46" s="62"/>
      <c r="H46" s="62"/>
      <c r="I46" s="50"/>
    </row>
    <row r="47" spans="1:9" x14ac:dyDescent="0.25">
      <c r="A47" s="9">
        <v>3</v>
      </c>
      <c r="B47" s="9" t="s">
        <v>98</v>
      </c>
      <c r="C47" s="41" t="s">
        <v>203</v>
      </c>
      <c r="D47" s="9">
        <v>-196865.1</v>
      </c>
      <c r="E47" s="10">
        <v>929535.52</v>
      </c>
      <c r="F47" s="8">
        <v>923627.61</v>
      </c>
      <c r="G47" s="62">
        <f>E47</f>
        <v>929535.52</v>
      </c>
      <c r="H47" s="62">
        <f>D47+F47-G47</f>
        <v>-202773.01</v>
      </c>
      <c r="I47" s="50">
        <f>H47</f>
        <v>-202773.01</v>
      </c>
    </row>
    <row r="48" spans="1:9" x14ac:dyDescent="0.25">
      <c r="A48" s="1" t="s">
        <v>100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398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1001</v>
      </c>
      <c r="G51" s="60"/>
      <c r="H51" s="61"/>
      <c r="I51" s="7" t="s">
        <v>108</v>
      </c>
    </row>
    <row r="52" spans="1:9" x14ac:dyDescent="0.25">
      <c r="A52" s="51"/>
      <c r="B52" s="62"/>
      <c r="C52" s="60"/>
      <c r="D52" s="60"/>
      <c r="E52" s="60"/>
      <c r="F52" s="51" t="s">
        <v>400</v>
      </c>
      <c r="G52" s="60"/>
      <c r="H52" s="61"/>
      <c r="I52" s="7"/>
    </row>
    <row r="53" spans="1:9" x14ac:dyDescent="0.25">
      <c r="A53" s="67" t="s">
        <v>110</v>
      </c>
      <c r="B53" s="18"/>
      <c r="C53" s="57" t="s">
        <v>111</v>
      </c>
      <c r="D53" s="68"/>
      <c r="E53" s="72"/>
      <c r="F53" s="58"/>
      <c r="G53" s="58"/>
      <c r="H53" s="58"/>
      <c r="I53" s="6"/>
    </row>
    <row r="54" spans="1:9" x14ac:dyDescent="0.25">
      <c r="A54" s="69"/>
      <c r="B54" s="7"/>
      <c r="C54" s="51" t="s">
        <v>112</v>
      </c>
      <c r="D54" s="60"/>
      <c r="E54" s="61"/>
      <c r="F54" s="60" t="s">
        <v>71</v>
      </c>
      <c r="G54" s="37"/>
      <c r="H54" s="60" t="s">
        <v>71</v>
      </c>
      <c r="I54" s="7" t="s">
        <v>71</v>
      </c>
    </row>
    <row r="55" spans="1:9" x14ac:dyDescent="0.25">
      <c r="A55" s="69" t="s">
        <v>113</v>
      </c>
      <c r="B55" s="70">
        <v>42851</v>
      </c>
      <c r="C55" s="51" t="s">
        <v>114</v>
      </c>
      <c r="D55" s="60"/>
      <c r="E55" s="61"/>
      <c r="F55" s="60"/>
      <c r="G55" s="37">
        <f t="shared" ref="G55:G60" si="1">I55/2648.6</f>
        <v>3.3980215963150346</v>
      </c>
      <c r="H55" s="60"/>
      <c r="I55" s="7">
        <v>9000</v>
      </c>
    </row>
    <row r="56" spans="1:9" x14ac:dyDescent="0.25">
      <c r="A56" s="69" t="s">
        <v>1003</v>
      </c>
      <c r="B56" s="70">
        <v>42947</v>
      </c>
      <c r="C56" s="51" t="s">
        <v>1014</v>
      </c>
      <c r="D56" s="60"/>
      <c r="E56" s="61"/>
      <c r="F56" s="60"/>
      <c r="G56" s="37">
        <f t="shared" si="1"/>
        <v>3.4349580910669788</v>
      </c>
      <c r="H56" s="60"/>
      <c r="I56" s="7">
        <v>9097.83</v>
      </c>
    </row>
    <row r="57" spans="1:9" x14ac:dyDescent="0.25">
      <c r="A57" s="69" t="s">
        <v>40</v>
      </c>
      <c r="B57" s="70">
        <v>43052</v>
      </c>
      <c r="C57" s="51" t="s">
        <v>631</v>
      </c>
      <c r="D57" s="60"/>
      <c r="E57" s="61"/>
      <c r="F57" s="60"/>
      <c r="G57" s="37">
        <f t="shared" si="1"/>
        <v>6.4123990032469989</v>
      </c>
      <c r="H57" s="60"/>
      <c r="I57" s="7">
        <v>16983.88</v>
      </c>
    </row>
    <row r="58" spans="1:9" x14ac:dyDescent="0.25">
      <c r="A58" s="69" t="s">
        <v>42</v>
      </c>
      <c r="B58" s="70">
        <v>43048</v>
      </c>
      <c r="C58" s="83" t="s">
        <v>1015</v>
      </c>
      <c r="D58" s="195"/>
      <c r="E58" s="113"/>
      <c r="F58" s="60"/>
      <c r="G58" s="37">
        <f t="shared" si="1"/>
        <v>1.5102318205844598</v>
      </c>
      <c r="H58" s="60"/>
      <c r="I58" s="7">
        <v>4000</v>
      </c>
    </row>
    <row r="59" spans="1:9" x14ac:dyDescent="0.25">
      <c r="A59" s="69" t="s">
        <v>44</v>
      </c>
      <c r="B59" s="70">
        <v>43100</v>
      </c>
      <c r="C59" s="83" t="s">
        <v>1016</v>
      </c>
      <c r="D59" s="195"/>
      <c r="E59" s="113"/>
      <c r="F59" s="60"/>
      <c r="G59" s="37">
        <f t="shared" si="1"/>
        <v>0.86536283319489549</v>
      </c>
      <c r="H59" s="60"/>
      <c r="I59" s="7">
        <v>2292</v>
      </c>
    </row>
    <row r="60" spans="1:9" x14ac:dyDescent="0.25">
      <c r="A60" s="69" t="s">
        <v>46</v>
      </c>
      <c r="B60" s="70">
        <v>43100</v>
      </c>
      <c r="C60" s="83" t="s">
        <v>1017</v>
      </c>
      <c r="D60" s="195"/>
      <c r="E60" s="113"/>
      <c r="F60" s="60"/>
      <c r="G60" s="37">
        <f t="shared" si="1"/>
        <v>1.0200256739409499</v>
      </c>
      <c r="H60" s="60"/>
      <c r="I60" s="7">
        <v>2701.64</v>
      </c>
    </row>
    <row r="61" spans="1:9" x14ac:dyDescent="0.25">
      <c r="A61" s="69"/>
      <c r="B61" s="70"/>
      <c r="C61" s="51" t="s">
        <v>302</v>
      </c>
      <c r="D61" s="195"/>
      <c r="E61" s="113"/>
      <c r="F61" s="60"/>
      <c r="G61" s="37"/>
      <c r="H61" s="60"/>
      <c r="I61" s="7"/>
    </row>
    <row r="62" spans="1:9" x14ac:dyDescent="0.25">
      <c r="A62" s="69"/>
      <c r="B62" s="7"/>
      <c r="C62" s="15" t="s">
        <v>118</v>
      </c>
      <c r="D62" s="14"/>
      <c r="E62" s="85"/>
      <c r="F62" s="5"/>
      <c r="G62" s="20">
        <f>SUM(G55:G61)</f>
        <v>16.640999018349319</v>
      </c>
      <c r="H62" s="5"/>
      <c r="I62" s="12">
        <f>SUM(I55:I61)</f>
        <v>44075.350000000006</v>
      </c>
    </row>
    <row r="63" spans="1:9" x14ac:dyDescent="0.25">
      <c r="A63" s="6"/>
      <c r="B63" s="6"/>
      <c r="C63" s="48"/>
      <c r="D63" s="58"/>
      <c r="E63" s="49"/>
      <c r="F63" s="48"/>
      <c r="G63" s="58"/>
      <c r="H63" s="49"/>
    </row>
    <row r="64" spans="1:9" x14ac:dyDescent="0.25">
      <c r="A64" s="6" t="s">
        <v>48</v>
      </c>
      <c r="B64" s="25" t="s">
        <v>119</v>
      </c>
      <c r="C64" s="57" t="s">
        <v>120</v>
      </c>
      <c r="D64" s="58"/>
      <c r="E64" s="58"/>
      <c r="F64" s="48" t="s">
        <v>121</v>
      </c>
      <c r="G64" s="86"/>
      <c r="H64" s="49"/>
      <c r="I64" s="49"/>
    </row>
    <row r="65" spans="1:9" x14ac:dyDescent="0.25">
      <c r="A65" s="69" t="s">
        <v>182</v>
      </c>
      <c r="B65" s="70"/>
      <c r="C65" s="51"/>
      <c r="D65" s="60"/>
      <c r="E65" s="61"/>
      <c r="F65" s="60"/>
      <c r="G65" s="37">
        <f>I65/2648.1</f>
        <v>0</v>
      </c>
      <c r="H65" s="60"/>
      <c r="I65" s="7"/>
    </row>
    <row r="66" spans="1:9" x14ac:dyDescent="0.25">
      <c r="A66" s="73"/>
      <c r="B66" s="62" t="s">
        <v>119</v>
      </c>
      <c r="C66" s="52" t="s">
        <v>118</v>
      </c>
      <c r="D66" s="74"/>
      <c r="E66" s="74"/>
      <c r="F66" s="52" t="s">
        <v>71</v>
      </c>
      <c r="G66" s="78">
        <f>SUM(G65:G65)</f>
        <v>0</v>
      </c>
      <c r="H66" s="85"/>
      <c r="I66" s="85">
        <f>SUM(I65:I65)</f>
        <v>0</v>
      </c>
    </row>
    <row r="67" spans="1:9" x14ac:dyDescent="0.25">
      <c r="A67" s="2" t="s">
        <v>1018</v>
      </c>
      <c r="B67" s="2"/>
      <c r="C67" s="2" t="s">
        <v>71</v>
      </c>
      <c r="D67" s="2" t="s">
        <v>123</v>
      </c>
      <c r="E67" s="2"/>
      <c r="F67" s="2" t="s">
        <v>124</v>
      </c>
      <c r="H67" s="2" t="s">
        <v>125</v>
      </c>
      <c r="I67" s="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" zoomScale="110" zoomScaleNormal="110" workbookViewId="0">
      <selection activeCell="B23" sqref="B23:B24"/>
    </sheetView>
  </sheetViews>
  <sheetFormatPr defaultRowHeight="15" x14ac:dyDescent="0.25"/>
  <cols>
    <col min="1" max="1" width="4.5703125" style="3" customWidth="1"/>
    <col min="2" max="2" width="35.7109375" style="3" customWidth="1"/>
    <col min="3" max="3" width="11.28515625" style="3" customWidth="1"/>
    <col min="4" max="4" width="11.42578125" style="3" customWidth="1"/>
    <col min="5" max="5" width="10" style="3" customWidth="1"/>
    <col min="6" max="6" width="11.5703125" style="3" customWidth="1"/>
    <col min="7" max="7" width="11.42578125" style="3" customWidth="1"/>
    <col min="8" max="8" width="12" style="3" customWidth="1"/>
    <col min="9" max="9" width="18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264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265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268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269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6">
        <v>9</v>
      </c>
    </row>
    <row r="19" spans="1:9" x14ac:dyDescent="0.25">
      <c r="A19" s="11">
        <v>1</v>
      </c>
      <c r="B19" s="12" t="s">
        <v>35</v>
      </c>
      <c r="C19" s="78">
        <v>7.56</v>
      </c>
      <c r="D19" s="17">
        <v>-3442.38</v>
      </c>
      <c r="E19" s="17">
        <v>22177.439999999999</v>
      </c>
      <c r="F19" s="17">
        <v>21822.3</v>
      </c>
      <c r="G19" s="16">
        <f t="shared" ref="G19:G25" si="0">E19</f>
        <v>22177.439999999999</v>
      </c>
      <c r="H19" s="16">
        <f>D19+F19-G19</f>
        <v>-3797.5200000000004</v>
      </c>
      <c r="I19" s="43">
        <f>H19</f>
        <v>-3797.5200000000004</v>
      </c>
    </row>
    <row r="20" spans="1:9" x14ac:dyDescent="0.25">
      <c r="A20" s="7" t="s">
        <v>36</v>
      </c>
      <c r="B20" s="18" t="s">
        <v>37</v>
      </c>
      <c r="C20" s="20">
        <v>2.62</v>
      </c>
      <c r="D20" s="44"/>
      <c r="E20" s="44">
        <f>E19*34.5%</f>
        <v>7651.2167999999992</v>
      </c>
      <c r="F20" s="44">
        <f>F19*34.5%</f>
        <v>7528.6934999999994</v>
      </c>
      <c r="G20" s="20">
        <f t="shared" si="0"/>
        <v>7651.2167999999992</v>
      </c>
      <c r="H20" s="38"/>
      <c r="I20" s="22"/>
    </row>
    <row r="21" spans="1:9" x14ac:dyDescent="0.25">
      <c r="A21" s="24" t="s">
        <v>38</v>
      </c>
      <c r="B21" s="25" t="s">
        <v>39</v>
      </c>
      <c r="C21" s="27">
        <v>1.33</v>
      </c>
      <c r="D21" s="45"/>
      <c r="E21" s="45">
        <f>E19*18%</f>
        <v>3991.9391999999998</v>
      </c>
      <c r="F21" s="45">
        <f>F19*18%</f>
        <v>3928.0139999999997</v>
      </c>
      <c r="G21" s="28">
        <f t="shared" si="0"/>
        <v>3991.9391999999998</v>
      </c>
      <c r="H21" s="105"/>
      <c r="I21" s="75"/>
    </row>
    <row r="22" spans="1:9" x14ac:dyDescent="0.25">
      <c r="A22" s="24" t="s">
        <v>40</v>
      </c>
      <c r="B22" s="25" t="s">
        <v>41</v>
      </c>
      <c r="C22" s="27">
        <v>1.22</v>
      </c>
      <c r="D22" s="43"/>
      <c r="E22" s="43">
        <f>E19*16%</f>
        <v>3548.3903999999998</v>
      </c>
      <c r="F22" s="43">
        <f>F19*16%</f>
        <v>3491.5679999999998</v>
      </c>
      <c r="G22" s="33">
        <f t="shared" si="0"/>
        <v>3548.3903999999998</v>
      </c>
      <c r="H22" s="40"/>
      <c r="I22" s="29"/>
    </row>
    <row r="23" spans="1:9" x14ac:dyDescent="0.25">
      <c r="A23" s="24" t="s">
        <v>42</v>
      </c>
      <c r="B23" s="25" t="s">
        <v>43</v>
      </c>
      <c r="C23" s="27">
        <v>2.39</v>
      </c>
      <c r="D23" s="43"/>
      <c r="E23" s="45">
        <f>E19*31.5%</f>
        <v>6985.8935999999994</v>
      </c>
      <c r="F23" s="45">
        <f>F19*31.5%</f>
        <v>6874.0244999999995</v>
      </c>
      <c r="G23" s="28">
        <f t="shared" si="0"/>
        <v>6985.8935999999994</v>
      </c>
      <c r="H23" s="105"/>
      <c r="I23" s="29"/>
    </row>
    <row r="24" spans="1:9" x14ac:dyDescent="0.25">
      <c r="A24" s="24" t="s">
        <v>44</v>
      </c>
      <c r="B24" s="6" t="s">
        <v>47</v>
      </c>
      <c r="C24" s="86">
        <v>1.3874500000000001</v>
      </c>
      <c r="D24" s="115">
        <v>1.3874500000000001</v>
      </c>
      <c r="E24" s="10">
        <v>3457.94</v>
      </c>
      <c r="F24" s="9">
        <v>2710.23</v>
      </c>
      <c r="G24" s="10">
        <f t="shared" si="0"/>
        <v>3457.94</v>
      </c>
      <c r="H24" s="9">
        <f>F24-E24</f>
        <v>-747.71</v>
      </c>
      <c r="I24" s="50">
        <f>H24</f>
        <v>-747.71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4">
        <v>-1613.12</v>
      </c>
      <c r="E25" s="12">
        <v>10557.12</v>
      </c>
      <c r="F25" s="12">
        <v>9855.77</v>
      </c>
      <c r="G25" s="14">
        <f t="shared" si="0"/>
        <v>10557.12</v>
      </c>
      <c r="H25" s="15">
        <f>D25+F25-G25</f>
        <v>-2314.4699999999993</v>
      </c>
      <c r="I25" s="44">
        <f>H25</f>
        <v>-2314.4699999999993</v>
      </c>
    </row>
    <row r="26" spans="1:9" x14ac:dyDescent="0.25">
      <c r="A26" s="25" t="s">
        <v>51</v>
      </c>
      <c r="B26" s="25" t="s">
        <v>216</v>
      </c>
      <c r="C26" s="25"/>
      <c r="D26" s="57"/>
      <c r="E26" s="25"/>
      <c r="F26" s="25"/>
      <c r="G26" s="68"/>
      <c r="H26" s="57"/>
      <c r="I26" s="45"/>
    </row>
    <row r="27" spans="1:9" x14ac:dyDescent="0.25">
      <c r="A27" s="12"/>
      <c r="B27" s="12" t="s">
        <v>217</v>
      </c>
      <c r="C27" s="12">
        <v>1.65</v>
      </c>
      <c r="D27" s="15">
        <v>-39998.6</v>
      </c>
      <c r="E27" s="12">
        <v>4840.4399999999996</v>
      </c>
      <c r="F27" s="12">
        <v>4762.93</v>
      </c>
      <c r="G27" s="14">
        <f>I46</f>
        <v>0</v>
      </c>
      <c r="H27" s="15">
        <f>D27+F27-G27</f>
        <v>-35235.67</v>
      </c>
      <c r="I27" s="17">
        <f>H27</f>
        <v>-35235.67</v>
      </c>
    </row>
    <row r="28" spans="1:9" x14ac:dyDescent="0.25">
      <c r="A28" s="1" t="s">
        <v>58</v>
      </c>
      <c r="B28" s="2"/>
      <c r="C28" s="2"/>
      <c r="E28" s="2"/>
      <c r="F28" s="2"/>
      <c r="G28" s="2"/>
      <c r="H28" s="2"/>
      <c r="I28" s="2"/>
    </row>
    <row r="29" spans="1:9" x14ac:dyDescent="0.25">
      <c r="A29" s="5" t="s">
        <v>69</v>
      </c>
    </row>
    <row r="30" spans="1:9" x14ac:dyDescent="0.25">
      <c r="A30" s="1" t="s">
        <v>70</v>
      </c>
      <c r="B30" s="5"/>
      <c r="C30" s="5"/>
      <c r="D30" s="56"/>
      <c r="E30" s="5"/>
      <c r="F30" s="5"/>
      <c r="G30" s="5"/>
      <c r="H30" s="5"/>
      <c r="I30" s="5"/>
    </row>
    <row r="31" spans="1:9" x14ac:dyDescent="0.25">
      <c r="A31" s="6" t="s">
        <v>71</v>
      </c>
      <c r="B31" s="68" t="s">
        <v>72</v>
      </c>
      <c r="C31" s="6" t="s">
        <v>73</v>
      </c>
      <c r="D31" s="58" t="s">
        <v>74</v>
      </c>
      <c r="E31" s="6" t="s">
        <v>75</v>
      </c>
      <c r="F31" s="58" t="s">
        <v>76</v>
      </c>
      <c r="G31" s="48" t="s">
        <v>77</v>
      </c>
      <c r="H31" s="75" t="s">
        <v>15</v>
      </c>
      <c r="I31" s="49" t="s">
        <v>19</v>
      </c>
    </row>
    <row r="32" spans="1:9" x14ac:dyDescent="0.25">
      <c r="A32" s="7"/>
      <c r="B32" s="5" t="s">
        <v>79</v>
      </c>
      <c r="C32" s="7" t="s">
        <v>80</v>
      </c>
      <c r="D32" s="60" t="s">
        <v>81</v>
      </c>
      <c r="E32" s="7" t="s">
        <v>82</v>
      </c>
      <c r="F32" s="60" t="s">
        <v>83</v>
      </c>
      <c r="G32" s="51" t="s">
        <v>84</v>
      </c>
      <c r="H32" s="22" t="s">
        <v>25</v>
      </c>
      <c r="I32" s="61" t="s">
        <v>86</v>
      </c>
    </row>
    <row r="33" spans="1:9" x14ac:dyDescent="0.25">
      <c r="A33" s="7"/>
      <c r="B33" s="60"/>
      <c r="C33" s="7"/>
      <c r="D33" s="60"/>
      <c r="E33" s="7"/>
      <c r="F33" s="60" t="s">
        <v>87</v>
      </c>
      <c r="G33" s="51" t="s">
        <v>88</v>
      </c>
      <c r="H33" s="22" t="s">
        <v>30</v>
      </c>
      <c r="I33" s="61" t="s">
        <v>239</v>
      </c>
    </row>
    <row r="34" spans="1:9" x14ac:dyDescent="0.25">
      <c r="A34" s="6"/>
      <c r="B34" s="6"/>
      <c r="C34" s="68"/>
      <c r="D34" s="6"/>
      <c r="E34" s="58"/>
      <c r="F34" s="6"/>
      <c r="G34" s="58"/>
      <c r="H34" s="6"/>
      <c r="I34" s="49"/>
    </row>
    <row r="35" spans="1:9" x14ac:dyDescent="0.25">
      <c r="A35" s="9">
        <v>1</v>
      </c>
      <c r="B35" s="9" t="s">
        <v>90</v>
      </c>
      <c r="C35" s="41" t="s">
        <v>91</v>
      </c>
      <c r="D35" s="9">
        <v>-16973.57</v>
      </c>
      <c r="E35" s="65">
        <v>81382.8</v>
      </c>
      <c r="F35" s="9">
        <v>86709.3</v>
      </c>
      <c r="G35" s="65">
        <f>E35</f>
        <v>81382.8</v>
      </c>
      <c r="H35" s="9">
        <f>D35+F35-G35</f>
        <v>-11647.069999999992</v>
      </c>
      <c r="I35" s="9">
        <f>H35</f>
        <v>-11647.069999999992</v>
      </c>
    </row>
    <row r="36" spans="1:9" x14ac:dyDescent="0.25">
      <c r="A36" s="8"/>
      <c r="B36" s="9" t="s">
        <v>92</v>
      </c>
      <c r="C36" s="10" t="s">
        <v>93</v>
      </c>
      <c r="D36" s="9"/>
      <c r="E36" s="10"/>
      <c r="F36" s="8"/>
      <c r="G36" s="9"/>
      <c r="H36" s="50"/>
      <c r="I36" s="50"/>
    </row>
    <row r="37" spans="1:9" x14ac:dyDescent="0.25">
      <c r="A37" s="2"/>
      <c r="B37" s="2" t="s">
        <v>71</v>
      </c>
      <c r="C37" s="2"/>
      <c r="D37" s="2"/>
      <c r="E37" s="2"/>
      <c r="F37" s="2" t="s">
        <v>71</v>
      </c>
      <c r="G37" s="2"/>
      <c r="H37" s="2"/>
      <c r="I37" s="2"/>
    </row>
    <row r="38" spans="1:9" x14ac:dyDescent="0.25">
      <c r="A38" s="1" t="s">
        <v>219</v>
      </c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5" t="s">
        <v>220</v>
      </c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48" t="s">
        <v>12</v>
      </c>
      <c r="B40" s="6" t="s">
        <v>221</v>
      </c>
      <c r="C40" s="58" t="s">
        <v>103</v>
      </c>
      <c r="D40" s="58"/>
      <c r="E40" s="58"/>
      <c r="F40" s="48" t="s">
        <v>222</v>
      </c>
      <c r="G40" s="58"/>
      <c r="H40" s="49"/>
      <c r="I40" s="6" t="s">
        <v>105</v>
      </c>
    </row>
    <row r="41" spans="1:9" x14ac:dyDescent="0.25">
      <c r="A41" s="51" t="s">
        <v>106</v>
      </c>
      <c r="B41" s="7" t="s">
        <v>223</v>
      </c>
      <c r="C41" s="60"/>
      <c r="D41" s="60"/>
      <c r="E41" s="60"/>
      <c r="F41" s="51" t="s">
        <v>224</v>
      </c>
      <c r="G41" s="60"/>
      <c r="H41" s="61"/>
      <c r="I41" s="7" t="s">
        <v>108</v>
      </c>
    </row>
    <row r="42" spans="1:9" x14ac:dyDescent="0.25">
      <c r="A42" s="51"/>
      <c r="B42" s="7"/>
      <c r="C42" s="60"/>
      <c r="D42" s="60"/>
      <c r="E42" s="60"/>
      <c r="F42" s="51" t="s">
        <v>225</v>
      </c>
      <c r="G42" s="60"/>
      <c r="H42" s="61"/>
      <c r="I42" s="7"/>
    </row>
    <row r="43" spans="1:9" x14ac:dyDescent="0.25">
      <c r="A43" s="51"/>
      <c r="B43" s="62"/>
      <c r="C43" s="60"/>
      <c r="D43" s="60"/>
      <c r="E43" s="60"/>
      <c r="F43" s="51" t="s">
        <v>226</v>
      </c>
      <c r="G43" s="60"/>
      <c r="H43" s="61"/>
      <c r="I43" s="7"/>
    </row>
    <row r="44" spans="1:9" x14ac:dyDescent="0.25">
      <c r="A44" s="67" t="s">
        <v>110</v>
      </c>
      <c r="B44" s="25"/>
      <c r="C44" s="68" t="s">
        <v>111</v>
      </c>
      <c r="D44" s="68"/>
      <c r="E44" s="68"/>
      <c r="F44" s="48"/>
      <c r="G44" s="58"/>
      <c r="H44" s="49"/>
      <c r="I44" s="6"/>
    </row>
    <row r="45" spans="1:9" x14ac:dyDescent="0.25">
      <c r="A45" s="82"/>
      <c r="B45" s="18"/>
      <c r="C45" s="60" t="s">
        <v>112</v>
      </c>
      <c r="D45" s="5"/>
      <c r="E45" s="5"/>
      <c r="F45" s="51"/>
      <c r="G45" s="60"/>
      <c r="H45" s="61"/>
      <c r="I45" s="7"/>
    </row>
    <row r="46" spans="1:9" x14ac:dyDescent="0.25">
      <c r="A46" s="73"/>
      <c r="B46" s="62"/>
      <c r="C46" s="14" t="s">
        <v>118</v>
      </c>
      <c r="D46" s="14"/>
      <c r="E46" s="14"/>
      <c r="F46" s="15"/>
      <c r="G46" s="78">
        <v>0</v>
      </c>
      <c r="H46" s="85"/>
      <c r="I46" s="12">
        <v>0</v>
      </c>
    </row>
    <row r="47" spans="1:9" x14ac:dyDescent="0.25">
      <c r="A47" s="2" t="s">
        <v>241</v>
      </c>
      <c r="B47" s="2"/>
      <c r="C47" s="2" t="s">
        <v>71</v>
      </c>
      <c r="D47" s="2" t="s">
        <v>123</v>
      </c>
      <c r="E47" s="2"/>
      <c r="F47" s="2" t="s">
        <v>124</v>
      </c>
      <c r="G47" s="2"/>
      <c r="H47" s="2" t="s">
        <v>125</v>
      </c>
      <c r="I47" s="2" t="s">
        <v>126</v>
      </c>
    </row>
    <row r="48" spans="1:9" x14ac:dyDescent="0.25">
      <c r="A48" s="2"/>
      <c r="B48" s="2"/>
    </row>
  </sheetData>
  <pageMargins left="0.7" right="0.7" top="0.75" bottom="0.75" header="0.3" footer="0.3"/>
  <pageSetup paperSize="9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zoomScale="110" zoomScaleNormal="110" workbookViewId="0">
      <selection activeCell="B3" sqref="B3"/>
    </sheetView>
  </sheetViews>
  <sheetFormatPr defaultRowHeight="15" x14ac:dyDescent="0.25"/>
  <cols>
    <col min="1" max="1" width="4.5703125" style="3" customWidth="1"/>
    <col min="2" max="2" width="32.7109375" style="3" customWidth="1"/>
    <col min="3" max="3" width="12" style="3" customWidth="1"/>
    <col min="4" max="4" width="11.28515625" style="3" customWidth="1"/>
    <col min="5" max="5" width="10.85546875" style="3" customWidth="1"/>
    <col min="6" max="6" width="10.5703125" style="3" customWidth="1"/>
    <col min="7" max="8" width="11.28515625" style="3" customWidth="1"/>
    <col min="9" max="9" width="17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1019</v>
      </c>
      <c r="B6" s="1"/>
      <c r="C6" s="1"/>
      <c r="D6" s="2"/>
      <c r="E6" s="1"/>
      <c r="F6" s="1"/>
      <c r="G6" s="2"/>
      <c r="H6" s="2"/>
      <c r="I6" s="2"/>
    </row>
    <row r="7" spans="1:9" x14ac:dyDescent="0.25">
      <c r="A7" s="2" t="s">
        <v>1020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1021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1022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8">
        <v>7</v>
      </c>
      <c r="H17" s="9">
        <v>8</v>
      </c>
      <c r="I17" s="9">
        <v>9</v>
      </c>
    </row>
    <row r="18" spans="1:9" x14ac:dyDescent="0.25">
      <c r="A18" s="14">
        <v>1</v>
      </c>
      <c r="B18" s="12" t="s">
        <v>323</v>
      </c>
      <c r="C18" s="12">
        <v>7.97</v>
      </c>
      <c r="D18" s="13">
        <v>-8680.5</v>
      </c>
      <c r="E18" s="14">
        <v>698680.52</v>
      </c>
      <c r="F18" s="15">
        <v>695168.17</v>
      </c>
      <c r="G18" s="17">
        <f>E18</f>
        <v>698680.52</v>
      </c>
      <c r="H18" s="13">
        <f>D18+F18-G18</f>
        <v>-12192.849999999977</v>
      </c>
      <c r="I18" s="17">
        <f>H18</f>
        <v>-12192.849999999977</v>
      </c>
    </row>
    <row r="19" spans="1:9" x14ac:dyDescent="0.25">
      <c r="A19" s="7" t="s">
        <v>36</v>
      </c>
      <c r="B19" s="62" t="s">
        <v>37</v>
      </c>
      <c r="C19" s="62">
        <v>2.62</v>
      </c>
      <c r="D19" s="80"/>
      <c r="E19" s="79">
        <f>E18*33/100</f>
        <v>230564.5716</v>
      </c>
      <c r="F19" s="55">
        <f>F18*33/100</f>
        <v>229405.49610000002</v>
      </c>
      <c r="G19" s="54">
        <f t="shared" ref="G19:G27" si="0">E19</f>
        <v>230564.5716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29"/>
      <c r="E20" s="86">
        <f>E18*17/100</f>
        <v>118775.6884</v>
      </c>
      <c r="F20" s="105">
        <f>F18*17/100</f>
        <v>118178.5889</v>
      </c>
      <c r="G20" s="22">
        <f t="shared" si="0"/>
        <v>118775.6884</v>
      </c>
      <c r="H20" s="29"/>
      <c r="I20" s="75"/>
    </row>
    <row r="21" spans="1:9" x14ac:dyDescent="0.25">
      <c r="A21" s="24" t="s">
        <v>40</v>
      </c>
      <c r="B21" s="6" t="s">
        <v>41</v>
      </c>
      <c r="C21" s="6">
        <v>1.63</v>
      </c>
      <c r="D21" s="35"/>
      <c r="E21" s="86">
        <f>E18*20/100</f>
        <v>139736.10399999999</v>
      </c>
      <c r="F21" s="105">
        <f>F18*20/100</f>
        <v>139033.63399999999</v>
      </c>
      <c r="G21" s="29">
        <f t="shared" si="0"/>
        <v>139736.10399999999</v>
      </c>
      <c r="H21" s="35"/>
      <c r="I21" s="75"/>
    </row>
    <row r="22" spans="1:9" x14ac:dyDescent="0.25">
      <c r="A22" s="24" t="s">
        <v>42</v>
      </c>
      <c r="B22" s="6" t="s">
        <v>43</v>
      </c>
      <c r="C22" s="6">
        <v>2.39</v>
      </c>
      <c r="D22" s="23"/>
      <c r="E22" s="86">
        <f>E18*30/100</f>
        <v>209604.15600000002</v>
      </c>
      <c r="F22" s="105">
        <f>F18*30/100</f>
        <v>208550.451</v>
      </c>
      <c r="G22" s="22">
        <f t="shared" si="0"/>
        <v>209604.15600000002</v>
      </c>
      <c r="H22" s="23"/>
      <c r="I22" s="75"/>
    </row>
    <row r="23" spans="1:9" x14ac:dyDescent="0.25">
      <c r="A23" s="24" t="s">
        <v>44</v>
      </c>
      <c r="B23" s="6" t="s">
        <v>47</v>
      </c>
      <c r="C23" s="6">
        <v>2.0321400000000001</v>
      </c>
      <c r="D23" s="29"/>
      <c r="E23" s="8">
        <v>212811.19</v>
      </c>
      <c r="F23" s="8">
        <v>187566.27</v>
      </c>
      <c r="G23" s="9">
        <f>E23</f>
        <v>212811.19</v>
      </c>
      <c r="H23" s="11">
        <f>F23-E23</f>
        <v>-25244.920000000013</v>
      </c>
      <c r="I23" s="46">
        <f>H23</f>
        <v>-25244.920000000013</v>
      </c>
    </row>
    <row r="24" spans="1:9" x14ac:dyDescent="0.25">
      <c r="A24" s="24" t="s">
        <v>46</v>
      </c>
      <c r="B24" s="6" t="s">
        <v>249</v>
      </c>
      <c r="C24" s="6">
        <v>0.22825999999999999</v>
      </c>
      <c r="D24" s="23"/>
      <c r="E24" s="37">
        <v>7091.44</v>
      </c>
      <c r="F24" s="38">
        <v>6779.64</v>
      </c>
      <c r="G24" s="22">
        <f>E24</f>
        <v>7091.44</v>
      </c>
      <c r="H24" s="19">
        <f>F24-E24</f>
        <v>-311.79999999999927</v>
      </c>
      <c r="I24" s="45">
        <f>H24</f>
        <v>-311.79999999999927</v>
      </c>
    </row>
    <row r="25" spans="1:9" x14ac:dyDescent="0.25">
      <c r="A25" s="101" t="s">
        <v>48</v>
      </c>
      <c r="B25" s="11" t="s">
        <v>143</v>
      </c>
      <c r="C25" s="11">
        <v>3.15</v>
      </c>
      <c r="D25" s="32">
        <v>-37325.300000000003</v>
      </c>
      <c r="E25" s="43">
        <v>246892.42</v>
      </c>
      <c r="F25" s="34">
        <v>245962.73</v>
      </c>
      <c r="G25" s="43">
        <f t="shared" si="0"/>
        <v>246892.42</v>
      </c>
      <c r="H25" s="32">
        <f>D25+F25-G25</f>
        <v>-38254.99000000002</v>
      </c>
      <c r="I25" s="43">
        <f>H25</f>
        <v>-38254.99000000002</v>
      </c>
    </row>
    <row r="26" spans="1:9" x14ac:dyDescent="0.25">
      <c r="A26" s="11" t="s">
        <v>51</v>
      </c>
      <c r="B26" s="12" t="s">
        <v>49</v>
      </c>
      <c r="C26" s="11" t="s">
        <v>50</v>
      </c>
      <c r="D26" s="223">
        <v>-30794.54</v>
      </c>
      <c r="E26" s="41">
        <v>310320.75</v>
      </c>
      <c r="F26" s="42">
        <v>295617.45</v>
      </c>
      <c r="G26" s="43">
        <f>E26</f>
        <v>310320.75</v>
      </c>
      <c r="H26" s="223">
        <f>D26+F26-G26</f>
        <v>-45497.839999999967</v>
      </c>
      <c r="I26" s="43">
        <f>H26</f>
        <v>-45497.839999999967</v>
      </c>
    </row>
    <row r="27" spans="1:9" x14ac:dyDescent="0.25">
      <c r="A27" s="101" t="s">
        <v>55</v>
      </c>
      <c r="B27" s="12" t="s">
        <v>194</v>
      </c>
      <c r="C27" s="11">
        <v>0.92</v>
      </c>
      <c r="D27" s="32">
        <v>-2458.1799999999998</v>
      </c>
      <c r="E27" s="33">
        <v>84340.92</v>
      </c>
      <c r="F27" s="34">
        <v>84215.7</v>
      </c>
      <c r="G27" s="43">
        <f t="shared" si="0"/>
        <v>84340.92</v>
      </c>
      <c r="H27" s="32">
        <f>D27+F27-G27</f>
        <v>-2583.3999999999942</v>
      </c>
      <c r="I27" s="43">
        <f>H27</f>
        <v>-2583.3999999999942</v>
      </c>
    </row>
    <row r="28" spans="1:9" x14ac:dyDescent="0.25">
      <c r="A28" s="18" t="s">
        <v>59</v>
      </c>
      <c r="B28" s="12" t="s">
        <v>195</v>
      </c>
      <c r="C28" s="12">
        <v>1.82</v>
      </c>
      <c r="D28" s="16">
        <v>-1846.86</v>
      </c>
      <c r="E28" s="12">
        <v>166848.6</v>
      </c>
      <c r="F28" s="12">
        <f>F29+F30</f>
        <v>167556.21</v>
      </c>
      <c r="G28" s="15">
        <f>I65</f>
        <v>101282.88</v>
      </c>
      <c r="H28" s="16">
        <f>D28+F28-G28</f>
        <v>64426.47</v>
      </c>
      <c r="I28" s="17"/>
    </row>
    <row r="29" spans="1:9" x14ac:dyDescent="0.25">
      <c r="A29" s="11"/>
      <c r="B29" s="9" t="s">
        <v>53</v>
      </c>
      <c r="C29" s="12"/>
      <c r="D29" s="43"/>
      <c r="E29" s="12">
        <v>0</v>
      </c>
      <c r="F29" s="12">
        <v>166601.01999999999</v>
      </c>
      <c r="G29" s="15"/>
      <c r="H29" s="43"/>
      <c r="I29" s="133"/>
    </row>
    <row r="30" spans="1:9" x14ac:dyDescent="0.25">
      <c r="A30" s="11"/>
      <c r="B30" s="9" t="s">
        <v>54</v>
      </c>
      <c r="C30" s="12"/>
      <c r="D30" s="43"/>
      <c r="E30" s="12"/>
      <c r="F30" s="14">
        <v>955.19</v>
      </c>
      <c r="G30" s="15"/>
      <c r="H30" s="43"/>
      <c r="I30" s="133"/>
    </row>
    <row r="31" spans="1:9" x14ac:dyDescent="0.25">
      <c r="A31" s="12" t="s">
        <v>196</v>
      </c>
      <c r="B31" s="12" t="s">
        <v>1023</v>
      </c>
      <c r="C31" s="14">
        <v>0</v>
      </c>
      <c r="D31" s="17">
        <v>200103.76</v>
      </c>
      <c r="E31" s="14">
        <v>0</v>
      </c>
      <c r="F31" s="12">
        <f>F32-F33</f>
        <v>0</v>
      </c>
      <c r="G31" s="15">
        <f>I69</f>
        <v>178070.12</v>
      </c>
      <c r="H31" s="17">
        <f>D31+F31-G31</f>
        <v>22033.640000000014</v>
      </c>
      <c r="I31" s="17"/>
    </row>
    <row r="32" spans="1:9" x14ac:dyDescent="0.25">
      <c r="A32" s="9"/>
      <c r="B32" s="9"/>
      <c r="C32" s="10">
        <v>0</v>
      </c>
      <c r="D32" s="54"/>
      <c r="E32" s="10">
        <v>0</v>
      </c>
      <c r="F32" s="9">
        <v>0</v>
      </c>
      <c r="G32" s="8">
        <v>0</v>
      </c>
      <c r="H32" s="54"/>
      <c r="I32" s="29"/>
    </row>
    <row r="33" spans="1:9" x14ac:dyDescent="0.25">
      <c r="A33" s="9"/>
      <c r="B33" s="11"/>
      <c r="C33" s="10"/>
      <c r="D33" s="54"/>
      <c r="E33" s="10"/>
      <c r="F33" s="11"/>
      <c r="G33" s="10"/>
      <c r="H33" s="29"/>
      <c r="I33" s="54"/>
    </row>
    <row r="34" spans="1:9" x14ac:dyDescent="0.25">
      <c r="A34" s="9"/>
      <c r="B34" s="41"/>
      <c r="C34" s="9"/>
      <c r="D34" s="29"/>
      <c r="E34" s="9"/>
      <c r="F34" s="41"/>
      <c r="G34" s="9"/>
      <c r="H34" s="29"/>
      <c r="I34" s="35"/>
    </row>
    <row r="35" spans="1:9" x14ac:dyDescent="0.25">
      <c r="A35" s="1" t="s">
        <v>58</v>
      </c>
      <c r="D35" s="54"/>
    </row>
    <row r="36" spans="1:9" x14ac:dyDescent="0.25">
      <c r="A36" s="57" t="s">
        <v>197</v>
      </c>
      <c r="B36" s="48" t="s">
        <v>60</v>
      </c>
      <c r="C36" s="9" t="s">
        <v>64</v>
      </c>
      <c r="D36" s="133" t="s">
        <v>409</v>
      </c>
      <c r="E36" s="9" t="s">
        <v>507</v>
      </c>
      <c r="F36" s="9" t="s">
        <v>61</v>
      </c>
      <c r="G36" s="9"/>
      <c r="H36" s="8" t="s">
        <v>199</v>
      </c>
      <c r="I36" s="50"/>
    </row>
    <row r="37" spans="1:9" x14ac:dyDescent="0.25">
      <c r="A37" s="59"/>
      <c r="B37" s="51"/>
      <c r="C37" s="62" t="s">
        <v>66</v>
      </c>
      <c r="D37" s="53" t="s">
        <v>23</v>
      </c>
      <c r="E37" s="9" t="s">
        <v>312</v>
      </c>
      <c r="F37" s="9" t="s">
        <v>30</v>
      </c>
      <c r="G37" s="9"/>
      <c r="H37" s="74"/>
      <c r="I37" s="53"/>
    </row>
    <row r="38" spans="1:9" x14ac:dyDescent="0.25">
      <c r="A38" s="52"/>
      <c r="B38" s="52" t="s">
        <v>68</v>
      </c>
      <c r="C38" s="29">
        <v>40688.26</v>
      </c>
      <c r="D38" s="53">
        <v>9153</v>
      </c>
      <c r="E38" s="29">
        <f>D38*15%</f>
        <v>1372.95</v>
      </c>
      <c r="F38" s="29">
        <f>C38+(D38-E38)</f>
        <v>48468.310000000005</v>
      </c>
      <c r="G38" s="29"/>
      <c r="H38" s="79">
        <f>F38-G38</f>
        <v>48468.310000000005</v>
      </c>
      <c r="I38" s="53"/>
    </row>
    <row r="39" spans="1:9" x14ac:dyDescent="0.25">
      <c r="A39" s="60"/>
      <c r="B39" s="60"/>
      <c r="C39" s="37"/>
      <c r="D39" s="60"/>
      <c r="E39" s="37"/>
      <c r="F39" s="37"/>
      <c r="G39" s="37"/>
      <c r="H39" s="37"/>
      <c r="I39" s="60"/>
    </row>
    <row r="40" spans="1:9" x14ac:dyDescent="0.25">
      <c r="A40" s="5" t="s">
        <v>69</v>
      </c>
      <c r="B40" s="5"/>
      <c r="C40" s="5"/>
      <c r="D40" s="56"/>
      <c r="E40" s="5"/>
      <c r="F40" s="5"/>
      <c r="G40" s="5"/>
      <c r="H40" s="5"/>
      <c r="I40" s="5"/>
    </row>
    <row r="41" spans="1:9" x14ac:dyDescent="0.25">
      <c r="A41" s="1" t="s">
        <v>70</v>
      </c>
      <c r="C41" s="1"/>
      <c r="D41" s="1"/>
      <c r="E41" s="5"/>
      <c r="F41" s="5"/>
      <c r="G41" s="5"/>
      <c r="H41" s="5"/>
      <c r="I41" s="5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77</v>
      </c>
      <c r="H42" s="58" t="s">
        <v>78</v>
      </c>
      <c r="I42" s="238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234</v>
      </c>
      <c r="E43" s="7" t="s">
        <v>82</v>
      </c>
      <c r="F43" s="60" t="s">
        <v>83</v>
      </c>
      <c r="G43" s="7" t="s">
        <v>84</v>
      </c>
      <c r="H43" s="60" t="s">
        <v>85</v>
      </c>
      <c r="I43" s="7" t="s">
        <v>86</v>
      </c>
    </row>
    <row r="44" spans="1:9" x14ac:dyDescent="0.25">
      <c r="A44" s="7"/>
      <c r="B44" s="51"/>
      <c r="C44" s="7"/>
      <c r="D44" s="60" t="s">
        <v>33</v>
      </c>
      <c r="E44" s="7"/>
      <c r="F44" s="60" t="s">
        <v>87</v>
      </c>
      <c r="G44" s="7" t="s">
        <v>88</v>
      </c>
      <c r="H44" s="60"/>
      <c r="I44" s="7" t="s">
        <v>239</v>
      </c>
    </row>
    <row r="45" spans="1:9" x14ac:dyDescent="0.25">
      <c r="A45" s="62"/>
      <c r="B45" s="62"/>
      <c r="C45" s="14"/>
      <c r="D45" s="62"/>
      <c r="E45" s="74"/>
      <c r="F45" s="52"/>
      <c r="G45" s="7"/>
      <c r="H45" s="7"/>
      <c r="I45" s="53"/>
    </row>
    <row r="46" spans="1:9" x14ac:dyDescent="0.25">
      <c r="A46" s="9">
        <v>1</v>
      </c>
      <c r="B46" s="9" t="s">
        <v>90</v>
      </c>
      <c r="C46" s="42" t="s">
        <v>91</v>
      </c>
      <c r="D46" s="6">
        <v>-78977.86</v>
      </c>
      <c r="E46" s="95">
        <v>565972.46</v>
      </c>
      <c r="F46" s="8">
        <v>543149.16</v>
      </c>
      <c r="G46" s="9">
        <f>E46</f>
        <v>565972.46</v>
      </c>
      <c r="H46" s="9">
        <f>D46+F46-G46</f>
        <v>-101801.15999999992</v>
      </c>
      <c r="I46" s="49">
        <f>H46</f>
        <v>-101801.15999999992</v>
      </c>
    </row>
    <row r="47" spans="1:9" x14ac:dyDescent="0.25">
      <c r="A47" s="9"/>
      <c r="B47" s="9" t="s">
        <v>92</v>
      </c>
      <c r="C47" s="41" t="s">
        <v>93</v>
      </c>
      <c r="D47" s="6"/>
      <c r="E47" s="65"/>
      <c r="F47" s="8"/>
      <c r="G47" s="62"/>
      <c r="H47" s="62"/>
      <c r="I47" s="49"/>
    </row>
    <row r="48" spans="1:9" x14ac:dyDescent="0.25">
      <c r="A48" s="9">
        <v>2</v>
      </c>
      <c r="B48" s="9" t="s">
        <v>168</v>
      </c>
      <c r="C48" s="41" t="s">
        <v>95</v>
      </c>
      <c r="D48" s="9">
        <v>-254693.22</v>
      </c>
      <c r="E48" s="65">
        <v>917250.33</v>
      </c>
      <c r="F48" s="8">
        <v>851974.53</v>
      </c>
      <c r="G48" s="62">
        <f>E48</f>
        <v>917250.33</v>
      </c>
      <c r="H48" s="62">
        <f>D48+F48-G48</f>
        <v>-319969.0199999999</v>
      </c>
      <c r="I48" s="9">
        <f>H48</f>
        <v>-319969.0199999999</v>
      </c>
    </row>
    <row r="49" spans="1:9" x14ac:dyDescent="0.25">
      <c r="A49" s="9"/>
      <c r="B49" s="9" t="s">
        <v>313</v>
      </c>
      <c r="C49" s="41" t="s">
        <v>93</v>
      </c>
      <c r="D49" s="9"/>
      <c r="E49" s="65"/>
      <c r="F49" s="8"/>
      <c r="G49" s="62"/>
      <c r="H49" s="62"/>
      <c r="I49" s="50"/>
    </row>
    <row r="50" spans="1:9" x14ac:dyDescent="0.25">
      <c r="A50" s="9">
        <v>3</v>
      </c>
      <c r="B50" s="9" t="s">
        <v>98</v>
      </c>
      <c r="C50" s="41" t="s">
        <v>203</v>
      </c>
      <c r="D50" s="9">
        <v>-663859.24</v>
      </c>
      <c r="E50" s="10">
        <v>2152974.08</v>
      </c>
      <c r="F50" s="8">
        <v>2182455.8199999998</v>
      </c>
      <c r="G50" s="62">
        <f>E50</f>
        <v>2152974.08</v>
      </c>
      <c r="H50" s="62">
        <f>D50+F50-G50</f>
        <v>-634377.50000000023</v>
      </c>
      <c r="I50" s="50">
        <f>H50</f>
        <v>-634377.50000000023</v>
      </c>
    </row>
    <row r="51" spans="1:9" x14ac:dyDescent="0.25">
      <c r="A51" s="1" t="s">
        <v>100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1"/>
      <c r="B52" s="2"/>
      <c r="C52" s="5" t="s">
        <v>1024</v>
      </c>
      <c r="D52" s="2"/>
      <c r="E52" s="2"/>
      <c r="F52" s="2"/>
      <c r="G52" s="2"/>
      <c r="H52" s="2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172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586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2" t="s">
        <v>205</v>
      </c>
      <c r="G55" s="74"/>
      <c r="H55" s="53"/>
      <c r="I55" s="7"/>
    </row>
    <row r="56" spans="1:9" x14ac:dyDescent="0.25">
      <c r="A56" s="67" t="s">
        <v>110</v>
      </c>
      <c r="B56" s="25"/>
      <c r="C56" s="68" t="s">
        <v>1025</v>
      </c>
      <c r="D56" s="68"/>
      <c r="E56" s="68"/>
      <c r="F56" s="51"/>
      <c r="G56" s="37"/>
      <c r="H56" s="60"/>
      <c r="I56" s="6"/>
    </row>
    <row r="57" spans="1:9" x14ac:dyDescent="0.25">
      <c r="A57" s="69" t="s">
        <v>113</v>
      </c>
      <c r="B57" s="70">
        <v>42794</v>
      </c>
      <c r="C57" s="60" t="s">
        <v>1026</v>
      </c>
      <c r="D57" s="60"/>
      <c r="E57" s="60"/>
      <c r="F57" s="51"/>
      <c r="G57" s="37">
        <f t="shared" ref="G57:G63" si="1">I57/7686.7</f>
        <v>0.53370366997541208</v>
      </c>
      <c r="H57" s="60"/>
      <c r="I57" s="7">
        <v>4102.42</v>
      </c>
    </row>
    <row r="58" spans="1:9" x14ac:dyDescent="0.25">
      <c r="A58" s="69" t="s">
        <v>1003</v>
      </c>
      <c r="B58" s="70">
        <v>42851</v>
      </c>
      <c r="C58" s="60" t="s">
        <v>587</v>
      </c>
      <c r="D58" s="60"/>
      <c r="E58" s="60"/>
      <c r="F58" s="51"/>
      <c r="G58" s="37">
        <f t="shared" si="1"/>
        <v>0.1502634420492539</v>
      </c>
      <c r="H58" s="60"/>
      <c r="I58" s="7">
        <v>1155.03</v>
      </c>
    </row>
    <row r="59" spans="1:9" x14ac:dyDescent="0.25">
      <c r="A59" s="69" t="s">
        <v>40</v>
      </c>
      <c r="B59" s="70">
        <v>42851</v>
      </c>
      <c r="C59" s="60" t="s">
        <v>114</v>
      </c>
      <c r="D59" s="60"/>
      <c r="E59" s="60"/>
      <c r="F59" s="51"/>
      <c r="G59" s="37">
        <f t="shared" si="1"/>
        <v>2.4197640079618044</v>
      </c>
      <c r="H59" s="60"/>
      <c r="I59" s="7">
        <v>18600</v>
      </c>
    </row>
    <row r="60" spans="1:9" x14ac:dyDescent="0.25">
      <c r="A60" s="69" t="s">
        <v>42</v>
      </c>
      <c r="B60" s="70">
        <v>42845</v>
      </c>
      <c r="C60" s="60" t="s">
        <v>352</v>
      </c>
      <c r="D60" s="60"/>
      <c r="E60" s="60"/>
      <c r="F60" s="51"/>
      <c r="G60" s="37">
        <f t="shared" si="1"/>
        <v>0.99392457101226794</v>
      </c>
      <c r="H60" s="60"/>
      <c r="I60" s="7">
        <v>7640</v>
      </c>
    </row>
    <row r="61" spans="1:9" x14ac:dyDescent="0.25">
      <c r="A61" s="69" t="s">
        <v>44</v>
      </c>
      <c r="B61" s="70">
        <v>42998</v>
      </c>
      <c r="C61" s="60" t="s">
        <v>1027</v>
      </c>
      <c r="D61" s="60"/>
      <c r="E61" s="60"/>
      <c r="F61" s="51"/>
      <c r="G61" s="37">
        <f t="shared" si="1"/>
        <v>0.91157453783808395</v>
      </c>
      <c r="H61" s="60"/>
      <c r="I61" s="7">
        <v>7007</v>
      </c>
    </row>
    <row r="62" spans="1:9" x14ac:dyDescent="0.25">
      <c r="A62" s="69" t="s">
        <v>46</v>
      </c>
      <c r="B62" s="70">
        <v>43044</v>
      </c>
      <c r="C62" s="60" t="s">
        <v>1028</v>
      </c>
      <c r="D62" s="60"/>
      <c r="E62" s="60"/>
      <c r="F62" s="51"/>
      <c r="G62" s="37">
        <f t="shared" si="1"/>
        <v>5.0096920655157611</v>
      </c>
      <c r="H62" s="60"/>
      <c r="I62" s="7">
        <v>38508</v>
      </c>
    </row>
    <row r="63" spans="1:9" x14ac:dyDescent="0.25">
      <c r="A63" s="69" t="s">
        <v>356</v>
      </c>
      <c r="B63" s="70">
        <v>43069</v>
      </c>
      <c r="C63" s="60" t="s">
        <v>1029</v>
      </c>
      <c r="D63" s="60"/>
      <c r="E63" s="60"/>
      <c r="F63" s="51"/>
      <c r="G63" s="37">
        <f t="shared" si="1"/>
        <v>3.1574576866535704</v>
      </c>
      <c r="H63" s="60"/>
      <c r="I63" s="7">
        <v>24270.43</v>
      </c>
    </row>
    <row r="64" spans="1:9" x14ac:dyDescent="0.25">
      <c r="A64" s="69" t="s">
        <v>358</v>
      </c>
      <c r="B64" s="70"/>
      <c r="C64" s="60"/>
      <c r="D64" s="60"/>
      <c r="E64" s="60"/>
      <c r="F64" s="51"/>
      <c r="G64" s="37"/>
      <c r="H64" s="60"/>
      <c r="I64" s="7"/>
    </row>
    <row r="65" spans="1:9" x14ac:dyDescent="0.25">
      <c r="A65" s="73"/>
      <c r="B65" s="62"/>
      <c r="C65" s="14" t="s">
        <v>118</v>
      </c>
      <c r="D65" s="14"/>
      <c r="E65" s="14"/>
      <c r="F65" s="15"/>
      <c r="G65" s="78">
        <f>SUM(G57:G64)</f>
        <v>13.176379981006155</v>
      </c>
      <c r="H65" s="14"/>
      <c r="I65" s="12">
        <f>SUM(I57:I64)</f>
        <v>101282.88</v>
      </c>
    </row>
    <row r="66" spans="1:9" x14ac:dyDescent="0.25">
      <c r="A66" s="6" t="s">
        <v>48</v>
      </c>
      <c r="B66" s="25" t="s">
        <v>119</v>
      </c>
      <c r="C66" s="57" t="s">
        <v>120</v>
      </c>
      <c r="D66" s="58"/>
      <c r="E66" s="58"/>
      <c r="F66" s="48" t="s">
        <v>121</v>
      </c>
      <c r="G66" s="86"/>
      <c r="H66" s="49"/>
      <c r="I66" s="6"/>
    </row>
    <row r="67" spans="1:9" x14ac:dyDescent="0.25">
      <c r="A67" s="69" t="s">
        <v>182</v>
      </c>
      <c r="B67" s="70">
        <v>42947</v>
      </c>
      <c r="C67" s="51" t="s">
        <v>1030</v>
      </c>
      <c r="D67" s="60"/>
      <c r="E67" s="60"/>
      <c r="F67" s="51"/>
      <c r="G67" s="37">
        <f>I67/7686.7</f>
        <v>23.166003616636527</v>
      </c>
      <c r="H67" s="61"/>
      <c r="I67" s="7">
        <v>178070.12</v>
      </c>
    </row>
    <row r="68" spans="1:9" x14ac:dyDescent="0.25">
      <c r="A68" s="69"/>
      <c r="B68" s="70"/>
      <c r="C68" s="51"/>
      <c r="D68" s="60"/>
      <c r="E68" s="60"/>
      <c r="F68" s="51"/>
      <c r="G68" s="37"/>
      <c r="H68" s="61"/>
      <c r="I68" s="7"/>
    </row>
    <row r="69" spans="1:9" x14ac:dyDescent="0.25">
      <c r="A69" s="73"/>
      <c r="B69" s="62" t="s">
        <v>119</v>
      </c>
      <c r="C69" s="15" t="s">
        <v>118</v>
      </c>
      <c r="D69" s="14"/>
      <c r="E69" s="14"/>
      <c r="F69" s="15" t="s">
        <v>71</v>
      </c>
      <c r="G69" s="78">
        <f>G67</f>
        <v>23.166003616636527</v>
      </c>
      <c r="H69" s="85"/>
      <c r="I69" s="12">
        <f>SUM(I67)</f>
        <v>178070.12</v>
      </c>
    </row>
    <row r="70" spans="1:9" x14ac:dyDescent="0.25">
      <c r="A70" s="2" t="s">
        <v>122</v>
      </c>
      <c r="B70" s="2"/>
      <c r="C70" s="2" t="s">
        <v>123</v>
      </c>
      <c r="D70" s="2"/>
      <c r="E70" s="2" t="s">
        <v>124</v>
      </c>
      <c r="H70" s="2" t="s">
        <v>125</v>
      </c>
      <c r="I70" s="2" t="s">
        <v>126</v>
      </c>
    </row>
    <row r="71" spans="1:9" x14ac:dyDescent="0.25">
      <c r="A71" s="2"/>
      <c r="B71" s="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="110" zoomScaleNormal="110" workbookViewId="0">
      <selection activeCell="B1" sqref="B1"/>
    </sheetView>
  </sheetViews>
  <sheetFormatPr defaultRowHeight="15" x14ac:dyDescent="0.25"/>
  <cols>
    <col min="1" max="1" width="5" style="3" customWidth="1"/>
    <col min="2" max="2" width="33.85546875" style="3" customWidth="1"/>
    <col min="3" max="3" width="15.5703125" style="3" customWidth="1"/>
    <col min="4" max="4" width="11.42578125" style="3" customWidth="1"/>
    <col min="5" max="6" width="9.140625" style="3"/>
    <col min="7" max="7" width="11.28515625" style="3" customWidth="1"/>
    <col min="8" max="8" width="11.5703125" style="3" customWidth="1"/>
    <col min="9" max="9" width="18.5703125" style="3" customWidth="1"/>
    <col min="10" max="16384" width="9.140625" style="3"/>
  </cols>
  <sheetData>
    <row r="1" spans="1:9" x14ac:dyDescent="0.25">
      <c r="A1" s="1" t="s">
        <v>1031</v>
      </c>
      <c r="B1" s="1"/>
      <c r="C1" s="1"/>
    </row>
    <row r="2" spans="1:9" x14ac:dyDescent="0.25">
      <c r="A2" s="1" t="s">
        <v>1032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1033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1034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1035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1036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1037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1038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1039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1040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1041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1042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233</v>
      </c>
    </row>
    <row r="15" spans="1:9" x14ac:dyDescent="0.25">
      <c r="A15" s="7"/>
      <c r="B15" s="7"/>
      <c r="C15" s="7" t="s">
        <v>1043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27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 t="s">
        <v>110</v>
      </c>
      <c r="B18" s="12" t="s">
        <v>35</v>
      </c>
      <c r="C18" s="78">
        <v>7.56</v>
      </c>
      <c r="D18" s="17">
        <v>-3616.54</v>
      </c>
      <c r="E18" s="17">
        <v>24359.759999999998</v>
      </c>
      <c r="F18" s="17">
        <v>20915.54</v>
      </c>
      <c r="G18" s="16">
        <f t="shared" ref="G18:G24" si="0">E18</f>
        <v>24359.759999999998</v>
      </c>
      <c r="H18" s="16">
        <f>D18+F18-G18</f>
        <v>-7060.7599999999984</v>
      </c>
      <c r="I18" s="17">
        <f>H18:H19</f>
        <v>-7060.7599999999984</v>
      </c>
    </row>
    <row r="19" spans="1:9" x14ac:dyDescent="0.25">
      <c r="A19" s="73" t="s">
        <v>113</v>
      </c>
      <c r="B19" s="62" t="s">
        <v>37</v>
      </c>
      <c r="C19" s="79">
        <v>2.62</v>
      </c>
      <c r="D19" s="22"/>
      <c r="E19" s="54">
        <f>E18*34.5%</f>
        <v>8404.1171999999988</v>
      </c>
      <c r="F19" s="54">
        <f>F18*34.5%</f>
        <v>7215.8612999999996</v>
      </c>
      <c r="G19" s="37">
        <f>E19</f>
        <v>8404.1171999999988</v>
      </c>
      <c r="H19" s="38"/>
      <c r="I19" s="22"/>
    </row>
    <row r="20" spans="1:9" x14ac:dyDescent="0.25">
      <c r="A20" s="24" t="s">
        <v>38</v>
      </c>
      <c r="B20" s="6" t="s">
        <v>39</v>
      </c>
      <c r="C20" s="86">
        <v>1.33</v>
      </c>
      <c r="D20" s="75"/>
      <c r="E20" s="75">
        <f>E18*18%</f>
        <v>4384.7567999999992</v>
      </c>
      <c r="F20" s="75">
        <f>F18*18%</f>
        <v>3764.7972</v>
      </c>
      <c r="G20" s="105">
        <f t="shared" si="0"/>
        <v>4384.7567999999992</v>
      </c>
      <c r="H20" s="105"/>
      <c r="I20" s="75"/>
    </row>
    <row r="21" spans="1:9" x14ac:dyDescent="0.25">
      <c r="A21" s="24" t="s">
        <v>40</v>
      </c>
      <c r="B21" s="6" t="s">
        <v>41</v>
      </c>
      <c r="C21" s="86">
        <v>1.22</v>
      </c>
      <c r="D21" s="29"/>
      <c r="E21" s="29">
        <f>E18*16%</f>
        <v>3897.5616</v>
      </c>
      <c r="F21" s="29">
        <f>F18*16%</f>
        <v>3346.4864000000002</v>
      </c>
      <c r="G21" s="39">
        <f t="shared" si="0"/>
        <v>3897.5616</v>
      </c>
      <c r="H21" s="40"/>
      <c r="I21" s="29"/>
    </row>
    <row r="22" spans="1:9" x14ac:dyDescent="0.25">
      <c r="A22" s="24" t="s">
        <v>42</v>
      </c>
      <c r="B22" s="6" t="s">
        <v>43</v>
      </c>
      <c r="C22" s="86">
        <v>2.39</v>
      </c>
      <c r="D22" s="29"/>
      <c r="E22" s="29">
        <f>E18*31.5/100</f>
        <v>7673.3243999999995</v>
      </c>
      <c r="F22" s="29">
        <f>F18*31.5%</f>
        <v>6588.3951000000006</v>
      </c>
      <c r="G22" s="40">
        <f>E22</f>
        <v>7673.3243999999995</v>
      </c>
      <c r="H22" s="29"/>
      <c r="I22" s="29"/>
    </row>
    <row r="23" spans="1:9" x14ac:dyDescent="0.25">
      <c r="A23" s="24" t="s">
        <v>44</v>
      </c>
      <c r="B23" s="6" t="s">
        <v>1044</v>
      </c>
      <c r="C23" s="106">
        <v>1.45139</v>
      </c>
      <c r="D23" s="29"/>
      <c r="E23" s="29">
        <v>3845.64</v>
      </c>
      <c r="F23" s="29">
        <v>2771</v>
      </c>
      <c r="G23" s="39">
        <f>E23</f>
        <v>3845.64</v>
      </c>
      <c r="H23" s="34">
        <f>F23-E23</f>
        <v>-1074.6399999999999</v>
      </c>
      <c r="I23" s="43">
        <f>H23</f>
        <v>-1074.6399999999999</v>
      </c>
    </row>
    <row r="24" spans="1:9" x14ac:dyDescent="0.25">
      <c r="A24" s="11" t="s">
        <v>48</v>
      </c>
      <c r="B24" s="11" t="s">
        <v>49</v>
      </c>
      <c r="C24" s="11" t="s">
        <v>50</v>
      </c>
      <c r="D24" s="43">
        <v>-3230.22</v>
      </c>
      <c r="E24" s="11">
        <v>10987.71</v>
      </c>
      <c r="F24" s="11">
        <v>8849.68</v>
      </c>
      <c r="G24" s="41">
        <f t="shared" si="0"/>
        <v>10987.71</v>
      </c>
      <c r="H24" s="34">
        <f>D24+F24-G24</f>
        <v>-5368.2499999999982</v>
      </c>
      <c r="I24" s="43">
        <f>H24</f>
        <v>-5368.2499999999982</v>
      </c>
    </row>
    <row r="25" spans="1:9" x14ac:dyDescent="0.25">
      <c r="A25" s="12" t="s">
        <v>51</v>
      </c>
      <c r="B25" s="12" t="s">
        <v>459</v>
      </c>
      <c r="C25" s="15">
        <v>1.65</v>
      </c>
      <c r="D25" s="16">
        <v>31548.639999999999</v>
      </c>
      <c r="E25" s="12">
        <v>5356.2</v>
      </c>
      <c r="F25" s="12">
        <f>F26+F27</f>
        <v>4565.1499999999996</v>
      </c>
      <c r="G25" s="12">
        <f>G26</f>
        <v>0</v>
      </c>
      <c r="H25" s="16">
        <f>D25+F25-G25</f>
        <v>36113.79</v>
      </c>
      <c r="I25" s="17"/>
    </row>
    <row r="26" spans="1:9" x14ac:dyDescent="0.25">
      <c r="A26" s="18"/>
      <c r="B26" s="7" t="s">
        <v>53</v>
      </c>
      <c r="C26" s="5"/>
      <c r="D26" s="21"/>
      <c r="E26" s="18">
        <v>0</v>
      </c>
      <c r="F26" s="18">
        <v>4565.1499999999996</v>
      </c>
      <c r="G26" s="18">
        <v>0</v>
      </c>
      <c r="H26" s="21"/>
      <c r="I26" s="44"/>
    </row>
    <row r="27" spans="1:9" x14ac:dyDescent="0.25">
      <c r="A27" s="11"/>
      <c r="B27" s="9" t="s">
        <v>54</v>
      </c>
      <c r="C27" s="41"/>
      <c r="D27" s="34"/>
      <c r="E27" s="11"/>
      <c r="F27" s="11">
        <v>0</v>
      </c>
      <c r="G27" s="11"/>
      <c r="H27" s="34"/>
      <c r="I27" s="43"/>
    </row>
    <row r="28" spans="1:9" x14ac:dyDescent="0.25">
      <c r="A28" s="12" t="s">
        <v>55</v>
      </c>
      <c r="B28" s="12" t="s">
        <v>909</v>
      </c>
      <c r="C28" s="41">
        <v>0</v>
      </c>
      <c r="D28" s="42">
        <v>5365.93</v>
      </c>
      <c r="E28" s="11">
        <v>0</v>
      </c>
      <c r="F28" s="11">
        <f>F29</f>
        <v>0</v>
      </c>
      <c r="G28" s="11">
        <f>G29</f>
        <v>0</v>
      </c>
      <c r="H28" s="42">
        <f>D28+F28-G28</f>
        <v>5365.93</v>
      </c>
      <c r="I28" s="43"/>
    </row>
    <row r="29" spans="1:9" x14ac:dyDescent="0.25">
      <c r="A29" s="9"/>
      <c r="B29" s="9" t="s">
        <v>145</v>
      </c>
      <c r="C29" s="10">
        <v>0</v>
      </c>
      <c r="D29" s="8"/>
      <c r="E29" s="9">
        <v>0</v>
      </c>
      <c r="F29" s="9">
        <v>0</v>
      </c>
      <c r="G29" s="9">
        <f>I53</f>
        <v>0</v>
      </c>
      <c r="H29" s="8"/>
      <c r="I29" s="29"/>
    </row>
    <row r="30" spans="1:9" x14ac:dyDescent="0.25">
      <c r="A30" s="60"/>
      <c r="B30" s="60"/>
      <c r="C30" s="60"/>
      <c r="D30" s="60"/>
      <c r="E30" s="60"/>
      <c r="F30" s="60"/>
      <c r="G30" s="60"/>
      <c r="H30" s="60"/>
      <c r="I30" s="37"/>
    </row>
    <row r="31" spans="1:9" x14ac:dyDescent="0.25">
      <c r="A31" s="1" t="s">
        <v>1045</v>
      </c>
      <c r="B31" s="2"/>
      <c r="C31" s="2"/>
      <c r="D31" s="60" t="s">
        <v>71</v>
      </c>
      <c r="E31" s="60"/>
      <c r="F31" s="60"/>
      <c r="G31" s="60"/>
      <c r="H31" s="60"/>
      <c r="I31" s="37"/>
    </row>
    <row r="32" spans="1:9" x14ac:dyDescent="0.25">
      <c r="A32" s="1" t="s">
        <v>1046</v>
      </c>
      <c r="B32" s="1"/>
      <c r="H32" s="60"/>
      <c r="I32" s="60"/>
    </row>
    <row r="33" spans="1:9" x14ac:dyDescent="0.25">
      <c r="A33" s="5" t="s">
        <v>69</v>
      </c>
      <c r="D33" s="60"/>
    </row>
    <row r="34" spans="1:9" x14ac:dyDescent="0.25">
      <c r="A34" s="1" t="s">
        <v>70</v>
      </c>
      <c r="B34" s="5"/>
      <c r="C34" s="5"/>
      <c r="D34" s="52"/>
      <c r="E34" s="5"/>
      <c r="F34" s="5"/>
      <c r="G34" s="5"/>
      <c r="H34" s="5"/>
      <c r="I34" s="5"/>
    </row>
    <row r="35" spans="1:9" x14ac:dyDescent="0.25">
      <c r="A35" s="6" t="s">
        <v>71</v>
      </c>
      <c r="B35" s="68" t="s">
        <v>72</v>
      </c>
      <c r="C35" s="6" t="s">
        <v>73</v>
      </c>
      <c r="D35" s="75" t="s">
        <v>15</v>
      </c>
      <c r="E35" s="6" t="s">
        <v>1047</v>
      </c>
      <c r="F35" s="58" t="s">
        <v>76</v>
      </c>
      <c r="G35" s="48" t="s">
        <v>77</v>
      </c>
      <c r="H35" s="75" t="s">
        <v>15</v>
      </c>
      <c r="I35" s="49" t="s">
        <v>19</v>
      </c>
    </row>
    <row r="36" spans="1:9" x14ac:dyDescent="0.25">
      <c r="A36" s="7"/>
      <c r="B36" s="5" t="s">
        <v>79</v>
      </c>
      <c r="C36" s="7" t="s">
        <v>80</v>
      </c>
      <c r="D36" s="22" t="s">
        <v>25</v>
      </c>
      <c r="E36" s="7" t="s">
        <v>87</v>
      </c>
      <c r="F36" s="60" t="s">
        <v>83</v>
      </c>
      <c r="G36" s="51" t="s">
        <v>84</v>
      </c>
      <c r="H36" s="22" t="s">
        <v>25</v>
      </c>
      <c r="I36" s="61" t="s">
        <v>86</v>
      </c>
    </row>
    <row r="37" spans="1:9" x14ac:dyDescent="0.25">
      <c r="A37" s="7"/>
      <c r="B37" s="60"/>
      <c r="C37" s="7"/>
      <c r="D37" s="22" t="s">
        <v>66</v>
      </c>
      <c r="E37" s="7"/>
      <c r="F37" s="60" t="s">
        <v>87</v>
      </c>
      <c r="G37" s="51" t="s">
        <v>88</v>
      </c>
      <c r="H37" s="22" t="s">
        <v>30</v>
      </c>
      <c r="I37" s="61" t="s">
        <v>239</v>
      </c>
    </row>
    <row r="38" spans="1:9" x14ac:dyDescent="0.25">
      <c r="A38" s="6"/>
      <c r="B38" s="6"/>
      <c r="C38" s="68"/>
      <c r="D38" s="6"/>
      <c r="E38" s="58"/>
      <c r="F38" s="6"/>
      <c r="G38" s="58"/>
      <c r="H38" s="6"/>
      <c r="I38" s="49"/>
    </row>
    <row r="39" spans="1:9" x14ac:dyDescent="0.25">
      <c r="A39" s="9">
        <v>1</v>
      </c>
      <c r="B39" s="9" t="s">
        <v>90</v>
      </c>
      <c r="C39" s="41" t="s">
        <v>91</v>
      </c>
      <c r="D39" s="9">
        <v>-7288.18</v>
      </c>
      <c r="E39" s="9">
        <v>50941.72</v>
      </c>
      <c r="F39" s="9">
        <v>44499.53</v>
      </c>
      <c r="G39" s="65">
        <f>E39</f>
        <v>50941.72</v>
      </c>
      <c r="H39" s="9">
        <f>D39+F39-E39</f>
        <v>-13730.370000000003</v>
      </c>
      <c r="I39" s="9">
        <f>H39</f>
        <v>-13730.370000000003</v>
      </c>
    </row>
    <row r="40" spans="1:9" x14ac:dyDescent="0.25">
      <c r="A40" s="8"/>
      <c r="B40" s="9" t="s">
        <v>521</v>
      </c>
      <c r="C40" s="41" t="s">
        <v>93</v>
      </c>
      <c r="D40" s="9"/>
      <c r="E40" s="10"/>
      <c r="F40" s="8"/>
      <c r="G40" s="95"/>
      <c r="H40" s="50"/>
      <c r="I40" s="50"/>
    </row>
    <row r="41" spans="1:9" x14ac:dyDescent="0.25">
      <c r="A41" s="1" t="s">
        <v>219</v>
      </c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5" t="s">
        <v>220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48" t="s">
        <v>12</v>
      </c>
      <c r="B43" s="6" t="s">
        <v>221</v>
      </c>
      <c r="C43" s="58" t="s">
        <v>103</v>
      </c>
      <c r="D43" s="58"/>
      <c r="E43" s="58"/>
      <c r="F43" s="48" t="s">
        <v>222</v>
      </c>
      <c r="G43" s="58"/>
      <c r="H43" s="49"/>
      <c r="I43" s="6" t="s">
        <v>105</v>
      </c>
    </row>
    <row r="44" spans="1:9" x14ac:dyDescent="0.25">
      <c r="A44" s="51" t="s">
        <v>106</v>
      </c>
      <c r="B44" s="7" t="s">
        <v>223</v>
      </c>
      <c r="C44" s="60"/>
      <c r="D44" s="60"/>
      <c r="E44" s="60"/>
      <c r="F44" s="51" t="s">
        <v>224</v>
      </c>
      <c r="G44" s="60"/>
      <c r="H44" s="61"/>
      <c r="I44" s="7" t="s">
        <v>108</v>
      </c>
    </row>
    <row r="45" spans="1:9" x14ac:dyDescent="0.25">
      <c r="A45" s="51"/>
      <c r="B45" s="7"/>
      <c r="C45" s="60"/>
      <c r="D45" s="60"/>
      <c r="E45" s="60"/>
      <c r="F45" s="51" t="s">
        <v>225</v>
      </c>
      <c r="G45" s="60"/>
      <c r="H45" s="61"/>
      <c r="I45" s="7"/>
    </row>
    <row r="46" spans="1:9" x14ac:dyDescent="0.25">
      <c r="A46" s="51"/>
      <c r="B46" s="62"/>
      <c r="C46" s="60"/>
      <c r="D46" s="60"/>
      <c r="E46" s="60"/>
      <c r="F46" s="51" t="s">
        <v>226</v>
      </c>
      <c r="G46" s="60"/>
      <c r="H46" s="61"/>
      <c r="I46" s="7"/>
    </row>
    <row r="47" spans="1:9" x14ac:dyDescent="0.25">
      <c r="A47" s="67" t="s">
        <v>110</v>
      </c>
      <c r="B47" s="18"/>
      <c r="C47" s="68" t="s">
        <v>111</v>
      </c>
      <c r="D47" s="68"/>
      <c r="E47" s="68"/>
      <c r="F47" s="48"/>
      <c r="G47" s="58"/>
      <c r="H47" s="49"/>
      <c r="I47" s="6"/>
    </row>
    <row r="48" spans="1:9" x14ac:dyDescent="0.25">
      <c r="A48" s="82"/>
      <c r="B48" s="18"/>
      <c r="C48" s="60" t="s">
        <v>112</v>
      </c>
      <c r="D48" s="5"/>
      <c r="E48" s="5"/>
      <c r="F48" s="51"/>
      <c r="G48" s="60"/>
      <c r="H48" s="61"/>
      <c r="I48" s="7"/>
    </row>
    <row r="49" spans="1:9" x14ac:dyDescent="0.25">
      <c r="A49" s="69"/>
      <c r="B49" s="7"/>
      <c r="C49" s="5" t="s">
        <v>118</v>
      </c>
      <c r="D49" s="60"/>
      <c r="E49" s="60"/>
      <c r="F49" s="51"/>
      <c r="G49" s="20">
        <v>0</v>
      </c>
      <c r="H49" s="71"/>
      <c r="I49" s="18">
        <v>0</v>
      </c>
    </row>
    <row r="50" spans="1:9" x14ac:dyDescent="0.25">
      <c r="A50" s="6"/>
      <c r="B50" s="6"/>
      <c r="C50" s="48"/>
      <c r="D50" s="58"/>
      <c r="E50" s="49"/>
      <c r="F50" s="48"/>
      <c r="G50" s="58"/>
      <c r="H50" s="49"/>
      <c r="I50" s="6"/>
    </row>
    <row r="51" spans="1:9" x14ac:dyDescent="0.25">
      <c r="A51" s="25" t="s">
        <v>48</v>
      </c>
      <c r="B51" s="25" t="s">
        <v>119</v>
      </c>
      <c r="C51" s="57" t="s">
        <v>120</v>
      </c>
      <c r="D51" s="58"/>
      <c r="E51" s="49"/>
      <c r="F51" s="48" t="s">
        <v>121</v>
      </c>
      <c r="G51" s="58"/>
      <c r="H51" s="49"/>
      <c r="I51" s="126"/>
    </row>
    <row r="52" spans="1:9" x14ac:dyDescent="0.25">
      <c r="A52" s="69"/>
      <c r="B52" s="70" t="s">
        <v>71</v>
      </c>
      <c r="C52" s="51"/>
      <c r="D52" s="60"/>
      <c r="E52" s="61"/>
      <c r="F52" s="51"/>
      <c r="G52" s="37"/>
      <c r="H52" s="61"/>
      <c r="I52" s="7"/>
    </row>
    <row r="53" spans="1:9" x14ac:dyDescent="0.25">
      <c r="A53" s="73"/>
      <c r="B53" s="87"/>
      <c r="C53" s="15" t="s">
        <v>118</v>
      </c>
      <c r="D53" s="74"/>
      <c r="E53" s="53"/>
      <c r="F53" s="15"/>
      <c r="G53" s="78">
        <f>SUM(G52:G52)</f>
        <v>0</v>
      </c>
      <c r="H53" s="85"/>
      <c r="I53" s="12">
        <f>SUM(I52:I52)</f>
        <v>0</v>
      </c>
    </row>
    <row r="54" spans="1:9" x14ac:dyDescent="0.25">
      <c r="A54" s="2" t="s">
        <v>122</v>
      </c>
      <c r="B54" s="2"/>
      <c r="C54" s="2" t="s">
        <v>1048</v>
      </c>
      <c r="D54" s="2"/>
      <c r="E54" s="2" t="s">
        <v>124</v>
      </c>
      <c r="G54" s="2" t="s">
        <v>125</v>
      </c>
      <c r="H54" s="2" t="s">
        <v>126</v>
      </c>
    </row>
    <row r="56" spans="1:9" x14ac:dyDescent="0.25">
      <c r="A56" s="60"/>
      <c r="B56" s="60"/>
      <c r="C56" s="60"/>
      <c r="D56" s="118"/>
      <c r="E56" s="60"/>
      <c r="F56" s="60"/>
      <c r="G56" s="60"/>
      <c r="H56" s="60"/>
      <c r="I56" s="60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110" zoomScaleNormal="110" workbookViewId="0">
      <selection activeCell="B3" sqref="B3"/>
    </sheetView>
  </sheetViews>
  <sheetFormatPr defaultRowHeight="15" x14ac:dyDescent="0.25"/>
  <cols>
    <col min="1" max="1" width="4.140625" style="3" customWidth="1"/>
    <col min="2" max="2" width="33.28515625" style="3" customWidth="1"/>
    <col min="3" max="3" width="14.28515625" style="3" customWidth="1"/>
    <col min="4" max="4" width="11" style="3" customWidth="1"/>
    <col min="5" max="6" width="9.140625" style="3"/>
    <col min="7" max="7" width="11.28515625" style="3" customWidth="1"/>
    <col min="8" max="8" width="12.85546875" style="3" customWidth="1"/>
    <col min="9" max="9" width="18.28515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1049</v>
      </c>
      <c r="B6" s="1"/>
      <c r="C6" s="1"/>
      <c r="D6" s="1"/>
      <c r="E6" s="1"/>
      <c r="F6" s="1"/>
      <c r="G6" s="2"/>
      <c r="H6" s="2"/>
      <c r="I6" s="2"/>
    </row>
    <row r="7" spans="1:9" x14ac:dyDescent="0.25">
      <c r="A7" s="2" t="s">
        <v>1050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1051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1052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239" t="s">
        <v>18</v>
      </c>
      <c r="H13" s="6" t="s">
        <v>15</v>
      </c>
      <c r="I13" s="49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51" t="s">
        <v>24</v>
      </c>
      <c r="H14" s="7" t="s">
        <v>25</v>
      </c>
      <c r="I14" s="61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51" t="s">
        <v>29</v>
      </c>
      <c r="H15" s="7" t="s">
        <v>30</v>
      </c>
      <c r="I15" s="61" t="s">
        <v>293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51" t="s">
        <v>33</v>
      </c>
      <c r="H16" s="227" t="s">
        <v>33</v>
      </c>
      <c r="I16" s="61" t="s">
        <v>669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9">
        <v>7</v>
      </c>
      <c r="H17" s="62">
        <v>8</v>
      </c>
      <c r="I17" s="9">
        <v>9</v>
      </c>
    </row>
    <row r="18" spans="1:9" x14ac:dyDescent="0.25">
      <c r="A18" s="11">
        <v>1</v>
      </c>
      <c r="B18" s="12" t="s">
        <v>323</v>
      </c>
      <c r="C18" s="12">
        <v>7.56</v>
      </c>
      <c r="D18" s="17">
        <v>-38831.46</v>
      </c>
      <c r="E18" s="12">
        <v>301862.03999999998</v>
      </c>
      <c r="F18" s="15">
        <v>299507.59999999998</v>
      </c>
      <c r="G18" s="54">
        <f t="shared" ref="G18:G23" si="0">E18</f>
        <v>301862.03999999998</v>
      </c>
      <c r="H18" s="13">
        <f>D18+F18-G18</f>
        <v>-41185.899999999994</v>
      </c>
      <c r="I18" s="17">
        <f>H18</f>
        <v>-41185.899999999994</v>
      </c>
    </row>
    <row r="19" spans="1:9" x14ac:dyDescent="0.25">
      <c r="A19" s="73" t="s">
        <v>113</v>
      </c>
      <c r="B19" s="62" t="s">
        <v>37</v>
      </c>
      <c r="C19" s="62">
        <v>2.62</v>
      </c>
      <c r="D19" s="54"/>
      <c r="E19" s="54">
        <f>E18*34.5/100</f>
        <v>104142.40379999999</v>
      </c>
      <c r="F19" s="55">
        <f>F18*34.5/100</f>
        <v>103330.12199999999</v>
      </c>
      <c r="G19" s="22">
        <f>E19</f>
        <v>104142.40379999999</v>
      </c>
      <c r="H19" s="80"/>
      <c r="I19" s="54"/>
    </row>
    <row r="20" spans="1:9" x14ac:dyDescent="0.25">
      <c r="A20" s="24" t="s">
        <v>38</v>
      </c>
      <c r="B20" s="6" t="s">
        <v>39</v>
      </c>
      <c r="C20" s="6">
        <v>1.33</v>
      </c>
      <c r="D20" s="75"/>
      <c r="E20" s="75">
        <f>E18*18/100</f>
        <v>54335.167199999996</v>
      </c>
      <c r="F20" s="105">
        <f>F18*18/100</f>
        <v>53911.367999999995</v>
      </c>
      <c r="G20" s="29">
        <f t="shared" si="0"/>
        <v>54335.167199999996</v>
      </c>
      <c r="H20" s="29"/>
      <c r="I20" s="75"/>
    </row>
    <row r="21" spans="1:9" x14ac:dyDescent="0.25">
      <c r="A21" s="24" t="s">
        <v>40</v>
      </c>
      <c r="B21" s="6" t="s">
        <v>41</v>
      </c>
      <c r="C21" s="6">
        <v>1.22</v>
      </c>
      <c r="D21" s="75"/>
      <c r="E21" s="75">
        <f>E18*16/100</f>
        <v>48297.926399999997</v>
      </c>
      <c r="F21" s="105">
        <f>F18*16/100</f>
        <v>47921.215999999993</v>
      </c>
      <c r="G21" s="29">
        <f>E21</f>
        <v>48297.926399999997</v>
      </c>
      <c r="H21" s="37"/>
      <c r="I21" s="75"/>
    </row>
    <row r="22" spans="1:9" x14ac:dyDescent="0.25">
      <c r="A22" s="24" t="s">
        <v>42</v>
      </c>
      <c r="B22" s="6" t="s">
        <v>43</v>
      </c>
      <c r="C22" s="6">
        <v>2.39</v>
      </c>
      <c r="D22" s="29"/>
      <c r="E22" s="29">
        <f>E18*31.5/100</f>
        <v>95086.542600000001</v>
      </c>
      <c r="F22" s="105">
        <f>F18*31.5/100</f>
        <v>94344.893999999986</v>
      </c>
      <c r="G22" s="22">
        <f t="shared" si="0"/>
        <v>95086.542600000001</v>
      </c>
      <c r="H22" s="30"/>
      <c r="I22" s="29"/>
    </row>
    <row r="23" spans="1:9" x14ac:dyDescent="0.25">
      <c r="A23" s="76" t="s">
        <v>44</v>
      </c>
      <c r="B23" s="9" t="s">
        <v>45</v>
      </c>
      <c r="C23" s="10">
        <v>0.52268000000000003</v>
      </c>
      <c r="D23" s="54"/>
      <c r="E23" s="79">
        <v>12759.68</v>
      </c>
      <c r="F23" s="29">
        <v>14323.93</v>
      </c>
      <c r="G23" s="29">
        <f t="shared" si="0"/>
        <v>12759.68</v>
      </c>
      <c r="H23" s="26">
        <f>F23-E23</f>
        <v>1564.25</v>
      </c>
      <c r="I23" s="17"/>
    </row>
    <row r="24" spans="1:9" x14ac:dyDescent="0.25">
      <c r="A24" s="76" t="s">
        <v>46</v>
      </c>
      <c r="B24" s="9" t="s">
        <v>1053</v>
      </c>
      <c r="C24" s="10">
        <v>0.72921999999999998</v>
      </c>
      <c r="D24" s="54"/>
      <c r="E24" s="79">
        <v>27826</v>
      </c>
      <c r="F24" s="40">
        <v>24334.240000000002</v>
      </c>
      <c r="G24" s="29">
        <f>E24</f>
        <v>27826</v>
      </c>
      <c r="H24" s="26">
        <f>F24-E24</f>
        <v>-3491.7599999999984</v>
      </c>
      <c r="I24" s="17">
        <f>H24</f>
        <v>-3491.7599999999984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3">
        <v>-14481.9</v>
      </c>
      <c r="E25" s="11">
        <v>135158.51999999999</v>
      </c>
      <c r="F25" s="42">
        <v>129168.34</v>
      </c>
      <c r="G25" s="43">
        <f>E25</f>
        <v>135158.51999999999</v>
      </c>
      <c r="H25" s="223">
        <f>D25+F25-G25</f>
        <v>-20472.079999999987</v>
      </c>
      <c r="I25" s="43">
        <f>H25</f>
        <v>-20472.079999999987</v>
      </c>
    </row>
    <row r="26" spans="1:9" x14ac:dyDescent="0.25">
      <c r="A26" s="12" t="s">
        <v>51</v>
      </c>
      <c r="B26" s="12" t="s">
        <v>52</v>
      </c>
      <c r="C26" s="12">
        <v>1.65</v>
      </c>
      <c r="D26" s="43">
        <v>317338.67</v>
      </c>
      <c r="E26" s="12">
        <v>65884.800000000003</v>
      </c>
      <c r="F26" s="12">
        <f>F27+F28</f>
        <v>66716.240000000005</v>
      </c>
      <c r="G26" s="11">
        <f>G27</f>
        <v>40231.930000000008</v>
      </c>
      <c r="H26" s="43">
        <f>D26+F26-G26</f>
        <v>343822.98</v>
      </c>
      <c r="I26" s="17"/>
    </row>
    <row r="27" spans="1:9" x14ac:dyDescent="0.25">
      <c r="A27" s="12"/>
      <c r="B27" s="9" t="s">
        <v>53</v>
      </c>
      <c r="C27" s="12"/>
      <c r="D27" s="43"/>
      <c r="E27" s="12"/>
      <c r="F27" s="12">
        <v>66288.02</v>
      </c>
      <c r="G27" s="11">
        <f>I59</f>
        <v>40231.930000000008</v>
      </c>
      <c r="H27" s="43"/>
      <c r="I27" s="43"/>
    </row>
    <row r="28" spans="1:9" x14ac:dyDescent="0.25">
      <c r="A28" s="12"/>
      <c r="B28" s="9" t="s">
        <v>54</v>
      </c>
      <c r="C28" s="14"/>
      <c r="D28" s="44"/>
      <c r="E28" s="12"/>
      <c r="F28" s="12">
        <v>428.22</v>
      </c>
      <c r="G28" s="15"/>
      <c r="H28" s="17"/>
      <c r="I28" s="44"/>
    </row>
    <row r="29" spans="1:9" x14ac:dyDescent="0.25">
      <c r="A29" s="11" t="s">
        <v>55</v>
      </c>
      <c r="B29" s="11" t="s">
        <v>56</v>
      </c>
      <c r="C29" s="41"/>
      <c r="D29" s="43">
        <v>7221.36</v>
      </c>
      <c r="E29" s="11">
        <v>0</v>
      </c>
      <c r="F29" s="11">
        <f>F30</f>
        <v>0</v>
      </c>
      <c r="G29" s="42">
        <f>I63</f>
        <v>0</v>
      </c>
      <c r="H29" s="43">
        <f>D29+F29-G29</f>
        <v>7221.36</v>
      </c>
      <c r="I29" s="43"/>
    </row>
    <row r="30" spans="1:9" x14ac:dyDescent="0.25">
      <c r="A30" s="9"/>
      <c r="B30" s="9" t="s">
        <v>149</v>
      </c>
      <c r="C30" s="10"/>
      <c r="D30" s="54"/>
      <c r="E30" s="9">
        <v>0</v>
      </c>
      <c r="F30" s="9">
        <v>0</v>
      </c>
      <c r="G30" s="8">
        <f>G29</f>
        <v>0</v>
      </c>
      <c r="H30" s="54"/>
      <c r="I30" s="29"/>
    </row>
    <row r="31" spans="1:9" x14ac:dyDescent="0.25">
      <c r="A31" s="9"/>
      <c r="B31" s="9" t="s">
        <v>54</v>
      </c>
      <c r="C31" s="10"/>
      <c r="D31" s="29"/>
      <c r="E31" s="9"/>
      <c r="F31" s="9"/>
      <c r="G31" s="10"/>
      <c r="H31" s="29"/>
      <c r="I31" s="54"/>
    </row>
    <row r="32" spans="1:9" x14ac:dyDescent="0.25">
      <c r="A32" s="1" t="s">
        <v>58</v>
      </c>
      <c r="B32" s="2"/>
      <c r="C32" s="2"/>
      <c r="E32" s="2"/>
      <c r="F32" s="2"/>
      <c r="G32" s="60"/>
      <c r="H32" s="60"/>
      <c r="I32" s="37"/>
    </row>
    <row r="33" spans="1:9" x14ac:dyDescent="0.25">
      <c r="A33" s="1"/>
      <c r="B33" s="2"/>
      <c r="C33" s="2"/>
      <c r="E33" s="2"/>
      <c r="F33" s="2"/>
      <c r="G33" s="60"/>
      <c r="H33" s="60"/>
      <c r="I33" s="37"/>
    </row>
    <row r="34" spans="1:9" x14ac:dyDescent="0.25">
      <c r="A34" s="240" t="s">
        <v>59</v>
      </c>
      <c r="B34" s="241" t="s">
        <v>1054</v>
      </c>
      <c r="C34" s="241" t="s">
        <v>64</v>
      </c>
      <c r="D34" s="241" t="s">
        <v>62</v>
      </c>
      <c r="E34" s="241" t="s">
        <v>1055</v>
      </c>
      <c r="F34" s="241" t="s">
        <v>1056</v>
      </c>
      <c r="G34" s="241"/>
      <c r="H34" s="241" t="s">
        <v>1056</v>
      </c>
    </row>
    <row r="35" spans="1:9" x14ac:dyDescent="0.25">
      <c r="A35" s="227"/>
      <c r="B35" s="227" t="s">
        <v>1057</v>
      </c>
      <c r="C35" s="190" t="s">
        <v>66</v>
      </c>
      <c r="D35" s="227" t="s">
        <v>23</v>
      </c>
      <c r="E35" s="227" t="s">
        <v>585</v>
      </c>
      <c r="F35" s="190" t="s">
        <v>28</v>
      </c>
      <c r="G35" s="227"/>
      <c r="H35" s="190" t="s">
        <v>28</v>
      </c>
    </row>
    <row r="36" spans="1:9" x14ac:dyDescent="0.25">
      <c r="A36" s="241"/>
      <c r="B36" s="236"/>
      <c r="C36" s="242">
        <v>10900.5</v>
      </c>
      <c r="D36" s="241">
        <v>5553</v>
      </c>
      <c r="E36" s="242">
        <f>D36*15%</f>
        <v>832.94999999999993</v>
      </c>
      <c r="F36" s="242">
        <f>C36+(D36-E36)</f>
        <v>15620.55</v>
      </c>
      <c r="G36" s="242"/>
      <c r="H36" s="242">
        <f>F36</f>
        <v>15620.55</v>
      </c>
    </row>
    <row r="37" spans="1:9" x14ac:dyDescent="0.25">
      <c r="A37" s="62"/>
      <c r="B37" s="62"/>
      <c r="C37" s="62"/>
      <c r="D37" s="54"/>
      <c r="E37" s="54"/>
      <c r="F37" s="54"/>
      <c r="G37" s="54"/>
      <c r="H37" s="111"/>
      <c r="I37" s="60"/>
    </row>
    <row r="38" spans="1:9" x14ac:dyDescent="0.25">
      <c r="A38" s="60"/>
      <c r="B38" s="60"/>
      <c r="C38" s="60"/>
      <c r="D38" s="37"/>
      <c r="E38" s="37"/>
      <c r="F38" s="37"/>
      <c r="G38" s="37"/>
      <c r="H38" s="118"/>
      <c r="I38" s="60"/>
    </row>
    <row r="39" spans="1:9" x14ac:dyDescent="0.25">
      <c r="A39" s="5" t="s">
        <v>69</v>
      </c>
      <c r="B39" s="5"/>
      <c r="C39" s="5"/>
      <c r="D39" s="56"/>
      <c r="E39" s="5"/>
      <c r="F39" s="5"/>
      <c r="G39" s="5"/>
      <c r="H39" s="5"/>
      <c r="I39" s="5"/>
    </row>
    <row r="40" spans="1:9" x14ac:dyDescent="0.25">
      <c r="A40" s="1" t="s">
        <v>70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 t="s">
        <v>71</v>
      </c>
      <c r="B41" s="57" t="s">
        <v>72</v>
      </c>
      <c r="C41" s="6" t="s">
        <v>73</v>
      </c>
      <c r="D41" s="58" t="s">
        <v>74</v>
      </c>
      <c r="E41" s="6" t="s">
        <v>75</v>
      </c>
      <c r="F41" s="58" t="s">
        <v>76</v>
      </c>
      <c r="G41" s="6" t="s">
        <v>77</v>
      </c>
      <c r="H41" s="58" t="s">
        <v>78</v>
      </c>
      <c r="I41" s="6" t="s">
        <v>19</v>
      </c>
    </row>
    <row r="42" spans="1:9" x14ac:dyDescent="0.25">
      <c r="A42" s="7"/>
      <c r="B42" s="59" t="s">
        <v>79</v>
      </c>
      <c r="C42" s="7" t="s">
        <v>80</v>
      </c>
      <c r="D42" s="60" t="s">
        <v>81</v>
      </c>
      <c r="E42" s="7" t="s">
        <v>82</v>
      </c>
      <c r="F42" s="60" t="s">
        <v>83</v>
      </c>
      <c r="G42" s="7" t="s">
        <v>84</v>
      </c>
      <c r="H42" s="60" t="s">
        <v>1058</v>
      </c>
      <c r="I42" s="7" t="s">
        <v>86</v>
      </c>
    </row>
    <row r="43" spans="1:9" x14ac:dyDescent="0.25">
      <c r="A43" s="7"/>
      <c r="B43" s="51"/>
      <c r="C43" s="7"/>
      <c r="D43" s="60"/>
      <c r="E43" s="7"/>
      <c r="F43" s="60" t="s">
        <v>87</v>
      </c>
      <c r="G43" s="7" t="s">
        <v>88</v>
      </c>
      <c r="H43" s="60"/>
      <c r="I43" s="7" t="s">
        <v>239</v>
      </c>
    </row>
    <row r="44" spans="1:9" x14ac:dyDescent="0.25">
      <c r="A44" s="9">
        <v>1</v>
      </c>
      <c r="B44" s="9" t="s">
        <v>90</v>
      </c>
      <c r="C44" s="42" t="s">
        <v>91</v>
      </c>
      <c r="D44" s="9">
        <v>-57551.59</v>
      </c>
      <c r="E44" s="95">
        <v>455116.18</v>
      </c>
      <c r="F44" s="8">
        <v>455495.74</v>
      </c>
      <c r="G44" s="9">
        <f>E44</f>
        <v>455116.18</v>
      </c>
      <c r="H44" s="9">
        <f>D44+F44-G44</f>
        <v>-57172.02999999997</v>
      </c>
      <c r="I44" s="9">
        <f>H44</f>
        <v>-57172.02999999997</v>
      </c>
    </row>
    <row r="45" spans="1:9" x14ac:dyDescent="0.25">
      <c r="A45" s="9"/>
      <c r="B45" s="9" t="s">
        <v>1059</v>
      </c>
      <c r="C45" s="41" t="s">
        <v>93</v>
      </c>
      <c r="D45" s="7"/>
      <c r="E45" s="65"/>
      <c r="F45" s="8"/>
      <c r="G45" s="62"/>
      <c r="H45" s="62"/>
      <c r="I45" s="61"/>
    </row>
    <row r="46" spans="1:9" x14ac:dyDescent="0.25">
      <c r="A46" s="9">
        <v>2</v>
      </c>
      <c r="B46" s="9" t="s">
        <v>98</v>
      </c>
      <c r="C46" s="41" t="s">
        <v>99</v>
      </c>
      <c r="D46" s="9">
        <v>-273296.77</v>
      </c>
      <c r="E46" s="10">
        <v>872360.93</v>
      </c>
      <c r="F46" s="8">
        <v>870834.13</v>
      </c>
      <c r="G46" s="62">
        <f>E46</f>
        <v>872360.93</v>
      </c>
      <c r="H46" s="62">
        <f>D46+F46-G46</f>
        <v>-274823.57000000007</v>
      </c>
      <c r="I46" s="50">
        <f>H46</f>
        <v>-274823.57000000007</v>
      </c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1" t="s">
        <v>100</v>
      </c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" t="s">
        <v>101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48" t="s">
        <v>12</v>
      </c>
      <c r="B50" s="6" t="s">
        <v>102</v>
      </c>
      <c r="C50" s="58" t="s">
        <v>103</v>
      </c>
      <c r="D50" s="58"/>
      <c r="E50" s="58"/>
      <c r="F50" s="48" t="s">
        <v>398</v>
      </c>
      <c r="G50" s="58"/>
      <c r="H50" s="49"/>
      <c r="I50" s="6" t="s">
        <v>105</v>
      </c>
    </row>
    <row r="51" spans="1:9" x14ac:dyDescent="0.25">
      <c r="A51" s="51" t="s">
        <v>106</v>
      </c>
      <c r="B51" s="7"/>
      <c r="C51" s="60"/>
      <c r="D51" s="60"/>
      <c r="E51" s="60"/>
      <c r="F51" s="51" t="s">
        <v>1001</v>
      </c>
      <c r="G51" s="60"/>
      <c r="H51" s="61"/>
      <c r="I51" s="7" t="s">
        <v>108</v>
      </c>
    </row>
    <row r="52" spans="1:9" x14ac:dyDescent="0.25">
      <c r="A52" s="51"/>
      <c r="B52" s="62"/>
      <c r="C52" s="60"/>
      <c r="D52" s="60"/>
      <c r="E52" s="60"/>
      <c r="F52" s="51" t="s">
        <v>400</v>
      </c>
      <c r="G52" s="60"/>
      <c r="H52" s="61"/>
      <c r="I52" s="7"/>
    </row>
    <row r="53" spans="1:9" x14ac:dyDescent="0.25">
      <c r="A53" s="67" t="s">
        <v>110</v>
      </c>
      <c r="B53" s="18"/>
      <c r="C53" s="68" t="s">
        <v>111</v>
      </c>
      <c r="D53" s="68"/>
      <c r="E53" s="68"/>
      <c r="F53" s="48"/>
      <c r="G53" s="58"/>
      <c r="H53" s="49"/>
      <c r="I53" s="6"/>
    </row>
    <row r="54" spans="1:9" x14ac:dyDescent="0.25">
      <c r="A54" s="69"/>
      <c r="B54" s="7"/>
      <c r="C54" s="60" t="s">
        <v>112</v>
      </c>
      <c r="D54" s="60"/>
      <c r="E54" s="60"/>
      <c r="F54" s="51" t="s">
        <v>71</v>
      </c>
      <c r="G54" s="37" t="s">
        <v>71</v>
      </c>
      <c r="H54" s="61" t="s">
        <v>71</v>
      </c>
      <c r="I54" s="7" t="s">
        <v>71</v>
      </c>
    </row>
    <row r="55" spans="1:9" x14ac:dyDescent="0.25">
      <c r="A55" s="69" t="s">
        <v>113</v>
      </c>
      <c r="B55" s="70">
        <v>42794</v>
      </c>
      <c r="C55" s="60" t="s">
        <v>587</v>
      </c>
      <c r="D55" s="60"/>
      <c r="E55" s="60"/>
      <c r="F55" s="51"/>
      <c r="G55" s="37">
        <f>I55/3355.2</f>
        <v>0.68850143061516456</v>
      </c>
      <c r="H55" s="61"/>
      <c r="I55" s="7">
        <v>2310.06</v>
      </c>
    </row>
    <row r="56" spans="1:9" x14ac:dyDescent="0.25">
      <c r="A56" s="69" t="s">
        <v>38</v>
      </c>
      <c r="B56" s="70">
        <v>43052</v>
      </c>
      <c r="C56" s="60" t="s">
        <v>631</v>
      </c>
      <c r="D56" s="60"/>
      <c r="E56" s="60"/>
      <c r="F56" s="51"/>
      <c r="G56" s="37">
        <f>I56/3355.2</f>
        <v>5.9902718168812594</v>
      </c>
      <c r="H56" s="61"/>
      <c r="I56" s="7">
        <v>20098.560000000001</v>
      </c>
    </row>
    <row r="57" spans="1:9" x14ac:dyDescent="0.25">
      <c r="A57" s="69" t="s">
        <v>40</v>
      </c>
      <c r="B57" s="70" t="s">
        <v>180</v>
      </c>
      <c r="C57" s="60" t="s">
        <v>1060</v>
      </c>
      <c r="D57" s="60"/>
      <c r="E57" s="60"/>
      <c r="F57" s="51"/>
      <c r="G57" s="37">
        <f>I57/3355.2</f>
        <v>5.3121453266571299</v>
      </c>
      <c r="H57" s="61"/>
      <c r="I57" s="7">
        <v>17823.310000000001</v>
      </c>
    </row>
    <row r="58" spans="1:9" x14ac:dyDescent="0.25">
      <c r="A58" s="69"/>
      <c r="B58" s="70"/>
      <c r="C58" s="60"/>
      <c r="D58" s="60"/>
      <c r="E58" s="60"/>
      <c r="F58" s="51"/>
      <c r="G58" s="37"/>
      <c r="H58" s="61"/>
      <c r="I58" s="7"/>
    </row>
    <row r="59" spans="1:9" x14ac:dyDescent="0.25">
      <c r="A59" s="69"/>
      <c r="B59" s="70"/>
      <c r="C59" s="5" t="s">
        <v>118</v>
      </c>
      <c r="D59" s="5"/>
      <c r="E59" s="5"/>
      <c r="F59" s="59"/>
      <c r="G59" s="20">
        <f>SUM(G55:G58)</f>
        <v>11.990918574153554</v>
      </c>
      <c r="H59" s="71"/>
      <c r="I59" s="18">
        <f>SUM(I55:I58)</f>
        <v>40231.930000000008</v>
      </c>
    </row>
    <row r="60" spans="1:9" x14ac:dyDescent="0.25">
      <c r="A60" s="6"/>
      <c r="B60" s="6"/>
      <c r="C60" s="48"/>
      <c r="D60" s="58"/>
      <c r="E60" s="49"/>
      <c r="F60" s="48"/>
      <c r="G60" s="58"/>
      <c r="H60" s="49"/>
      <c r="I60" s="6"/>
    </row>
    <row r="61" spans="1:9" x14ac:dyDescent="0.25">
      <c r="A61" s="25" t="s">
        <v>48</v>
      </c>
      <c r="B61" s="25" t="s">
        <v>119</v>
      </c>
      <c r="C61" s="68" t="s">
        <v>120</v>
      </c>
      <c r="D61" s="58"/>
      <c r="E61" s="58"/>
      <c r="F61" s="48" t="s">
        <v>121</v>
      </c>
      <c r="G61" s="86"/>
      <c r="H61" s="49"/>
      <c r="I61" s="49"/>
    </row>
    <row r="62" spans="1:9" x14ac:dyDescent="0.25">
      <c r="A62" s="69" t="s">
        <v>71</v>
      </c>
      <c r="B62" s="70"/>
      <c r="C62" s="60"/>
      <c r="D62" s="60"/>
      <c r="E62" s="60"/>
      <c r="F62" s="51"/>
      <c r="G62" s="37"/>
      <c r="H62" s="61"/>
      <c r="I62" s="61"/>
    </row>
    <row r="63" spans="1:9" x14ac:dyDescent="0.25">
      <c r="A63" s="62"/>
      <c r="B63" s="62" t="s">
        <v>119</v>
      </c>
      <c r="C63" s="74" t="s">
        <v>118</v>
      </c>
      <c r="D63" s="74"/>
      <c r="E63" s="74"/>
      <c r="F63" s="52" t="s">
        <v>71</v>
      </c>
      <c r="G63" s="79">
        <f>SUM(G62:G62)</f>
        <v>0</v>
      </c>
      <c r="H63" s="53"/>
      <c r="I63" s="53">
        <f>SUM(I61:I62)</f>
        <v>0</v>
      </c>
    </row>
    <row r="64" spans="1:9" x14ac:dyDescent="0.25">
      <c r="A64" s="2"/>
      <c r="B64" s="2"/>
      <c r="C64" s="2" t="s">
        <v>71</v>
      </c>
      <c r="E64" s="2"/>
      <c r="F64" s="2"/>
      <c r="G64" s="2"/>
      <c r="H64" s="2"/>
    </row>
    <row r="65" spans="1:9" x14ac:dyDescent="0.25">
      <c r="A65" s="2" t="s">
        <v>1061</v>
      </c>
      <c r="B65" s="2"/>
      <c r="C65" s="2" t="s">
        <v>123</v>
      </c>
      <c r="D65" s="2"/>
      <c r="E65" s="2" t="s">
        <v>124</v>
      </c>
      <c r="H65" s="2" t="s">
        <v>125</v>
      </c>
      <c r="I65" s="2" t="s">
        <v>126</v>
      </c>
    </row>
    <row r="67" spans="1:9" x14ac:dyDescent="0.25">
      <c r="A67" s="60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37" zoomScale="110" zoomScaleNormal="110" workbookViewId="0">
      <selection activeCell="A29" sqref="A29"/>
    </sheetView>
  </sheetViews>
  <sheetFormatPr defaultRowHeight="15" x14ac:dyDescent="0.25"/>
  <cols>
    <col min="1" max="1" width="5" style="3" customWidth="1"/>
    <col min="2" max="2" width="32.140625" style="3" customWidth="1"/>
    <col min="3" max="3" width="12.7109375" style="3" customWidth="1"/>
    <col min="4" max="7" width="9.140625" style="3"/>
    <col min="8" max="8" width="11.42578125" style="3" customWidth="1"/>
    <col min="9" max="9" width="21.140625" style="3" customWidth="1"/>
    <col min="10" max="16384" width="9.140625" style="3"/>
  </cols>
  <sheetData>
    <row r="1" spans="1:9" x14ac:dyDescent="0.25">
      <c r="A1" s="1" t="s">
        <v>1062</v>
      </c>
      <c r="B1" s="47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1063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1064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1065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1066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9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323</v>
      </c>
      <c r="C18" s="78">
        <v>7.56</v>
      </c>
      <c r="D18" s="17">
        <v>-6919.77</v>
      </c>
      <c r="E18" s="17">
        <v>23033.88</v>
      </c>
      <c r="F18" s="13">
        <v>20608.45</v>
      </c>
      <c r="G18" s="16">
        <f>E18</f>
        <v>23033.88</v>
      </c>
      <c r="H18" s="21">
        <f>D18+F18-G18</f>
        <v>-9345.2000000000007</v>
      </c>
      <c r="I18" s="17">
        <f>H18</f>
        <v>-9345.2000000000007</v>
      </c>
    </row>
    <row r="19" spans="1:9" x14ac:dyDescent="0.25">
      <c r="A19" s="7" t="s">
        <v>36</v>
      </c>
      <c r="B19" s="7" t="s">
        <v>457</v>
      </c>
      <c r="C19" s="37"/>
      <c r="D19" s="75"/>
      <c r="E19" s="22"/>
      <c r="F19" s="22"/>
      <c r="G19" s="37"/>
      <c r="H19" s="45" t="s">
        <v>71</v>
      </c>
      <c r="I19" s="23"/>
    </row>
    <row r="20" spans="1:9" x14ac:dyDescent="0.25">
      <c r="A20" s="62"/>
      <c r="B20" s="62" t="s">
        <v>458</v>
      </c>
      <c r="C20" s="79">
        <v>2.62</v>
      </c>
      <c r="D20" s="54"/>
      <c r="E20" s="54">
        <f>E18*34.5%</f>
        <v>7946.6885999999995</v>
      </c>
      <c r="F20" s="54">
        <f>F18*34.5%</f>
        <v>7109.91525</v>
      </c>
      <c r="G20" s="37">
        <f t="shared" ref="G20:G25" si="0">E20</f>
        <v>7946.6885999999995</v>
      </c>
      <c r="H20" s="54"/>
      <c r="I20" s="23"/>
    </row>
    <row r="21" spans="1:9" x14ac:dyDescent="0.25">
      <c r="A21" s="24" t="s">
        <v>38</v>
      </c>
      <c r="B21" s="6" t="s">
        <v>39</v>
      </c>
      <c r="C21" s="86">
        <v>1.33</v>
      </c>
      <c r="D21" s="75"/>
      <c r="E21" s="75">
        <f>E18*18%</f>
        <v>4146.0983999999999</v>
      </c>
      <c r="F21" s="75">
        <f>F18*18%</f>
        <v>3709.5210000000002</v>
      </c>
      <c r="G21" s="29">
        <f t="shared" si="0"/>
        <v>4146.0983999999999</v>
      </c>
      <c r="H21" s="55"/>
      <c r="I21" s="75"/>
    </row>
    <row r="22" spans="1:9" x14ac:dyDescent="0.25">
      <c r="A22" s="24" t="s">
        <v>40</v>
      </c>
      <c r="B22" s="6" t="s">
        <v>41</v>
      </c>
      <c r="C22" s="86">
        <v>1.22</v>
      </c>
      <c r="D22" s="29"/>
      <c r="E22" s="29">
        <f>E18*16%</f>
        <v>3685.4208000000003</v>
      </c>
      <c r="F22" s="29">
        <f>F18*16%</f>
        <v>3297.3520000000003</v>
      </c>
      <c r="G22" s="37">
        <f t="shared" si="0"/>
        <v>3685.4208000000003</v>
      </c>
      <c r="H22" s="55"/>
      <c r="I22" s="29"/>
    </row>
    <row r="23" spans="1:9" x14ac:dyDescent="0.25">
      <c r="A23" s="36" t="s">
        <v>42</v>
      </c>
      <c r="B23" s="6" t="s">
        <v>43</v>
      </c>
      <c r="C23" s="86">
        <v>2.39</v>
      </c>
      <c r="D23" s="29"/>
      <c r="E23" s="22">
        <f>E18*31.5%</f>
        <v>7255.6722</v>
      </c>
      <c r="F23" s="22">
        <f>F18*31.5%</f>
        <v>6491.6617500000002</v>
      </c>
      <c r="G23" s="29">
        <f t="shared" si="0"/>
        <v>7255.6722</v>
      </c>
      <c r="H23" s="55"/>
      <c r="I23" s="29"/>
    </row>
    <row r="24" spans="1:9" x14ac:dyDescent="0.25">
      <c r="A24" s="36" t="s">
        <v>44</v>
      </c>
      <c r="B24" s="9" t="s">
        <v>47</v>
      </c>
      <c r="C24" s="119">
        <v>0.44751999999999997</v>
      </c>
      <c r="D24" s="9">
        <v>-14.47</v>
      </c>
      <c r="E24" s="10">
        <v>1261.92</v>
      </c>
      <c r="F24" s="9">
        <v>1007.5</v>
      </c>
      <c r="G24" s="10">
        <f t="shared" si="0"/>
        <v>1261.92</v>
      </c>
      <c r="H24" s="11">
        <f>D24+F24-G24</f>
        <v>-268.8900000000001</v>
      </c>
      <c r="I24" s="72">
        <f>H24</f>
        <v>-268.8900000000001</v>
      </c>
    </row>
    <row r="25" spans="1:9" x14ac:dyDescent="0.25">
      <c r="A25" s="18" t="s">
        <v>51</v>
      </c>
      <c r="B25" s="12" t="s">
        <v>49</v>
      </c>
      <c r="C25" s="12" t="s">
        <v>1067</v>
      </c>
      <c r="D25" s="44">
        <v>-2801.56</v>
      </c>
      <c r="E25" s="12">
        <v>10313.4</v>
      </c>
      <c r="F25" s="12">
        <v>8812.52</v>
      </c>
      <c r="G25" s="14">
        <f t="shared" si="0"/>
        <v>10313.4</v>
      </c>
      <c r="H25" s="16">
        <f>D25+F25-G25</f>
        <v>-4302.4399999999987</v>
      </c>
      <c r="I25" s="43">
        <f>H25</f>
        <v>-4302.4399999999987</v>
      </c>
    </row>
    <row r="26" spans="1:9" x14ac:dyDescent="0.25">
      <c r="A26" s="11" t="s">
        <v>55</v>
      </c>
      <c r="B26" s="12" t="s">
        <v>459</v>
      </c>
      <c r="C26" s="18">
        <v>1.65</v>
      </c>
      <c r="D26" s="11">
        <v>47856.62</v>
      </c>
      <c r="E26" s="18">
        <v>5027.5200000000004</v>
      </c>
      <c r="F26" s="18">
        <f>F27+F28</f>
        <v>8467.869999999999</v>
      </c>
      <c r="G26" s="18">
        <v>0</v>
      </c>
      <c r="H26" s="59">
        <f>D26+F26-G26</f>
        <v>56324.490000000005</v>
      </c>
      <c r="I26" s="44"/>
    </row>
    <row r="27" spans="1:9" x14ac:dyDescent="0.25">
      <c r="A27" s="11"/>
      <c r="B27" s="9" t="s">
        <v>53</v>
      </c>
      <c r="C27" s="42"/>
      <c r="D27" s="42"/>
      <c r="E27" s="11">
        <v>0</v>
      </c>
      <c r="F27" s="11">
        <v>4498.1499999999996</v>
      </c>
      <c r="G27" s="11"/>
      <c r="H27" s="42"/>
      <c r="I27" s="43"/>
    </row>
    <row r="28" spans="1:9" x14ac:dyDescent="0.25">
      <c r="A28" s="12"/>
      <c r="B28" s="9" t="s">
        <v>54</v>
      </c>
      <c r="C28" s="5"/>
      <c r="D28" s="42"/>
      <c r="E28" s="11"/>
      <c r="F28" s="11">
        <v>3969.72</v>
      </c>
      <c r="G28" s="11"/>
      <c r="H28" s="42"/>
      <c r="I28" s="43"/>
    </row>
    <row r="29" spans="1:9" x14ac:dyDescent="0.25">
      <c r="A29" s="11" t="s">
        <v>59</v>
      </c>
      <c r="B29" s="12" t="s">
        <v>909</v>
      </c>
      <c r="C29" s="41">
        <v>0</v>
      </c>
      <c r="D29" s="42">
        <v>20969.22</v>
      </c>
      <c r="E29" s="11"/>
      <c r="F29" s="11">
        <f>F30</f>
        <v>0</v>
      </c>
      <c r="G29" s="11">
        <v>0</v>
      </c>
      <c r="H29" s="42">
        <f>D29+F29-G29</f>
        <v>20969.22</v>
      </c>
      <c r="I29" s="43"/>
    </row>
    <row r="30" spans="1:9" x14ac:dyDescent="0.25">
      <c r="A30" s="9"/>
      <c r="B30" s="9" t="s">
        <v>53</v>
      </c>
      <c r="C30" s="10"/>
      <c r="D30" s="8"/>
      <c r="E30" s="9">
        <v>0</v>
      </c>
      <c r="F30" s="9">
        <v>0</v>
      </c>
      <c r="G30" s="9">
        <v>0</v>
      </c>
      <c r="H30" s="8"/>
      <c r="I30" s="29"/>
    </row>
    <row r="31" spans="1:9" x14ac:dyDescent="0.25">
      <c r="A31" s="1" t="s">
        <v>58</v>
      </c>
      <c r="B31" s="60"/>
      <c r="C31" s="60"/>
      <c r="D31" s="60"/>
      <c r="E31" s="60"/>
      <c r="F31" s="60"/>
      <c r="G31" s="60"/>
      <c r="H31" s="60"/>
      <c r="I31" s="37"/>
    </row>
    <row r="32" spans="1:9" x14ac:dyDescent="0.25">
      <c r="A32" s="1"/>
      <c r="B32" s="2"/>
      <c r="C32" s="2"/>
      <c r="E32" s="2"/>
      <c r="F32" s="2"/>
      <c r="G32" s="2"/>
      <c r="H32" s="2"/>
      <c r="I32" s="2"/>
    </row>
    <row r="33" spans="1:9" x14ac:dyDescent="0.25">
      <c r="A33" s="1"/>
      <c r="B33" s="2"/>
      <c r="C33" s="2"/>
      <c r="E33" s="2"/>
      <c r="F33" s="2"/>
      <c r="G33" s="2"/>
      <c r="H33" s="2"/>
      <c r="I33" s="2"/>
    </row>
    <row r="34" spans="1:9" x14ac:dyDescent="0.25">
      <c r="A34" s="5" t="s">
        <v>69</v>
      </c>
      <c r="B34" s="2"/>
      <c r="C34" s="2"/>
      <c r="E34" s="2"/>
      <c r="F34" s="2"/>
      <c r="G34" s="2"/>
      <c r="H34" s="2"/>
      <c r="I34" s="2"/>
    </row>
    <row r="35" spans="1:9" x14ac:dyDescent="0.25">
      <c r="A35" s="1" t="s">
        <v>70</v>
      </c>
    </row>
    <row r="36" spans="1:9" x14ac:dyDescent="0.25">
      <c r="A36" s="118"/>
      <c r="B36" s="5"/>
      <c r="C36" s="5"/>
      <c r="D36" s="56"/>
    </row>
    <row r="37" spans="1:9" x14ac:dyDescent="0.25">
      <c r="A37" s="60"/>
      <c r="E37" s="5"/>
      <c r="F37" s="5"/>
      <c r="G37" s="5"/>
      <c r="H37" s="5"/>
      <c r="I37" s="5"/>
    </row>
    <row r="38" spans="1:9" x14ac:dyDescent="0.25">
      <c r="A38" s="6"/>
      <c r="B38" s="68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48" t="s">
        <v>77</v>
      </c>
      <c r="H38" s="75" t="s">
        <v>15</v>
      </c>
      <c r="I38" s="49" t="s">
        <v>19</v>
      </c>
    </row>
    <row r="39" spans="1:9" x14ac:dyDescent="0.25">
      <c r="A39" s="7"/>
      <c r="B39" s="5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51" t="s">
        <v>84</v>
      </c>
      <c r="H39" s="22" t="s">
        <v>25</v>
      </c>
      <c r="I39" s="61" t="s">
        <v>86</v>
      </c>
    </row>
    <row r="40" spans="1:9" x14ac:dyDescent="0.25">
      <c r="A40" s="62"/>
      <c r="B40" s="60"/>
      <c r="C40" s="7"/>
      <c r="D40" s="60"/>
      <c r="E40" s="7"/>
      <c r="F40" s="60" t="s">
        <v>87</v>
      </c>
      <c r="G40" s="51" t="s">
        <v>88</v>
      </c>
      <c r="H40" s="22" t="s">
        <v>30</v>
      </c>
      <c r="I40" s="61" t="s">
        <v>239</v>
      </c>
    </row>
    <row r="41" spans="1:9" x14ac:dyDescent="0.25">
      <c r="A41" s="12">
        <v>1</v>
      </c>
      <c r="B41" s="50" t="s">
        <v>90</v>
      </c>
      <c r="C41" s="41" t="s">
        <v>91</v>
      </c>
      <c r="D41" s="9">
        <v>-43961.47</v>
      </c>
      <c r="E41" s="9">
        <v>57548.31</v>
      </c>
      <c r="F41" s="9">
        <v>34711.910000000003</v>
      </c>
      <c r="G41" s="65">
        <f>E41</f>
        <v>57548.31</v>
      </c>
      <c r="H41" s="9">
        <f>D41+F41-G41</f>
        <v>-66797.87</v>
      </c>
      <c r="I41" s="9">
        <f>H41</f>
        <v>-66797.87</v>
      </c>
    </row>
    <row r="42" spans="1:9" x14ac:dyDescent="0.25">
      <c r="A42" s="41"/>
      <c r="B42" s="9" t="s">
        <v>521</v>
      </c>
      <c r="C42" s="41" t="s">
        <v>1068</v>
      </c>
      <c r="D42" s="9"/>
      <c r="E42" s="10"/>
      <c r="F42" s="9"/>
      <c r="G42" s="65"/>
      <c r="H42" s="9"/>
      <c r="I42" s="9"/>
    </row>
    <row r="43" spans="1:9" x14ac:dyDescent="0.25">
      <c r="A43" s="5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60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6"/>
      <c r="B45" s="49" t="s">
        <v>221</v>
      </c>
      <c r="C45" s="58" t="s">
        <v>103</v>
      </c>
      <c r="D45" s="58"/>
      <c r="E45" s="58"/>
      <c r="F45" s="48" t="s">
        <v>222</v>
      </c>
      <c r="G45" s="58"/>
      <c r="H45" s="49"/>
      <c r="I45" s="6" t="s">
        <v>105</v>
      </c>
    </row>
    <row r="46" spans="1:9" x14ac:dyDescent="0.25">
      <c r="A46" s="7"/>
      <c r="B46" s="61" t="s">
        <v>223</v>
      </c>
      <c r="C46" s="60"/>
      <c r="D46" s="60"/>
      <c r="E46" s="60"/>
      <c r="F46" s="51" t="s">
        <v>224</v>
      </c>
      <c r="G46" s="60"/>
      <c r="H46" s="61"/>
      <c r="I46" s="7" t="s">
        <v>108</v>
      </c>
    </row>
    <row r="47" spans="1:9" x14ac:dyDescent="0.25">
      <c r="A47" s="7"/>
      <c r="B47" s="61"/>
      <c r="C47" s="60"/>
      <c r="D47" s="60"/>
      <c r="E47" s="60"/>
      <c r="F47" s="51" t="s">
        <v>225</v>
      </c>
      <c r="G47" s="60"/>
      <c r="H47" s="61"/>
      <c r="I47" s="7"/>
    </row>
    <row r="48" spans="1:9" x14ac:dyDescent="0.25">
      <c r="A48" s="225"/>
      <c r="B48" s="53"/>
      <c r="C48" s="60"/>
      <c r="D48" s="60"/>
      <c r="E48" s="60"/>
      <c r="F48" s="51" t="s">
        <v>226</v>
      </c>
      <c r="G48" s="60"/>
      <c r="H48" s="61"/>
      <c r="I48" s="7"/>
    </row>
    <row r="49" spans="1:9" x14ac:dyDescent="0.25">
      <c r="A49" s="104" t="s">
        <v>401</v>
      </c>
      <c r="B49" s="71"/>
      <c r="C49" s="68" t="s">
        <v>111</v>
      </c>
      <c r="D49" s="68"/>
      <c r="E49" s="68"/>
      <c r="F49" s="48"/>
      <c r="G49" s="58"/>
      <c r="H49" s="49"/>
      <c r="I49" s="6"/>
    </row>
    <row r="50" spans="1:9" x14ac:dyDescent="0.25">
      <c r="A50" s="104"/>
      <c r="B50" s="61"/>
      <c r="C50" s="60" t="s">
        <v>118</v>
      </c>
      <c r="D50" s="60"/>
      <c r="E50" s="60"/>
      <c r="F50" s="51" t="s">
        <v>71</v>
      </c>
      <c r="G50" s="37">
        <v>0</v>
      </c>
      <c r="H50" s="61" t="s">
        <v>71</v>
      </c>
      <c r="I50" s="7">
        <v>0</v>
      </c>
    </row>
    <row r="51" spans="1:9" x14ac:dyDescent="0.25">
      <c r="A51" s="11"/>
      <c r="B51" s="49"/>
      <c r="C51" s="48"/>
      <c r="D51" s="58"/>
      <c r="E51" s="49"/>
      <c r="F51" s="48"/>
      <c r="G51" s="58"/>
      <c r="H51" s="49"/>
      <c r="I51" s="6"/>
    </row>
    <row r="52" spans="1:9" x14ac:dyDescent="0.25">
      <c r="A52" s="104" t="s">
        <v>1069</v>
      </c>
      <c r="B52" s="72" t="s">
        <v>119</v>
      </c>
      <c r="C52" s="57" t="s">
        <v>120</v>
      </c>
      <c r="D52" s="58"/>
      <c r="E52" s="49"/>
      <c r="F52" s="48" t="s">
        <v>121</v>
      </c>
      <c r="G52" s="58"/>
      <c r="H52" s="49"/>
      <c r="I52" s="6"/>
    </row>
    <row r="53" spans="1:9" x14ac:dyDescent="0.25">
      <c r="A53" s="69"/>
      <c r="B53" s="113"/>
      <c r="C53" s="51"/>
      <c r="D53" s="60"/>
      <c r="E53" s="61"/>
      <c r="F53" s="59"/>
      <c r="G53" s="37"/>
      <c r="H53" s="71"/>
      <c r="I53" s="7"/>
    </row>
    <row r="54" spans="1:9" x14ac:dyDescent="0.25">
      <c r="A54" s="62"/>
      <c r="B54" s="53"/>
      <c r="C54" s="52" t="s">
        <v>118</v>
      </c>
      <c r="D54" s="74"/>
      <c r="E54" s="53"/>
      <c r="F54" s="52"/>
      <c r="G54" s="74">
        <v>0</v>
      </c>
      <c r="H54" s="53"/>
      <c r="I54" s="62">
        <v>0</v>
      </c>
    </row>
    <row r="55" spans="1:9" x14ac:dyDescent="0.25">
      <c r="A55" s="2" t="s">
        <v>1070</v>
      </c>
      <c r="B55" s="2"/>
      <c r="C55" s="2"/>
      <c r="D55" s="2" t="s">
        <v>123</v>
      </c>
      <c r="E55" s="2"/>
      <c r="F55" s="2" t="s">
        <v>124</v>
      </c>
      <c r="G55" s="2"/>
      <c r="H55" s="2" t="s">
        <v>125</v>
      </c>
      <c r="I55" s="2" t="s">
        <v>886</v>
      </c>
    </row>
    <row r="56" spans="1:9" x14ac:dyDescent="0.25">
      <c r="A56" s="2"/>
      <c r="B56" s="2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2" zoomScale="110" zoomScaleNormal="110" workbookViewId="0">
      <selection activeCell="M36" sqref="M36"/>
    </sheetView>
  </sheetViews>
  <sheetFormatPr defaultRowHeight="15" x14ac:dyDescent="0.25"/>
  <cols>
    <col min="1" max="1" width="4.28515625" style="3" customWidth="1"/>
    <col min="2" max="2" width="31.7109375" style="3" customWidth="1"/>
    <col min="3" max="3" width="12.7109375" style="3" customWidth="1"/>
    <col min="4" max="4" width="13" style="3" customWidth="1"/>
    <col min="5" max="5" width="9.140625" style="3"/>
    <col min="6" max="6" width="11.5703125" style="3" customWidth="1"/>
    <col min="7" max="7" width="9.140625" style="3"/>
    <col min="8" max="8" width="13.28515625" style="3" customWidth="1"/>
    <col min="9" max="9" width="16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452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1071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1072</v>
      </c>
      <c r="B8" s="2"/>
      <c r="C8" s="2"/>
      <c r="D8" s="1"/>
      <c r="E8" s="2"/>
      <c r="F8" s="2"/>
      <c r="G8" s="2"/>
      <c r="H8" s="2"/>
      <c r="I8" s="2"/>
    </row>
    <row r="9" spans="1:9" x14ac:dyDescent="0.25">
      <c r="A9" s="2" t="s">
        <v>1073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1074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268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6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15</v>
      </c>
      <c r="I15" s="6" t="s">
        <v>19</v>
      </c>
    </row>
    <row r="16" spans="1:9" x14ac:dyDescent="0.25">
      <c r="A16" s="7" t="s">
        <v>20</v>
      </c>
      <c r="B16" s="7"/>
      <c r="C16" s="7" t="s">
        <v>232</v>
      </c>
      <c r="D16" s="7" t="s">
        <v>22</v>
      </c>
      <c r="E16" s="7" t="s">
        <v>23</v>
      </c>
      <c r="F16" s="7" t="s">
        <v>23</v>
      </c>
      <c r="G16" s="7" t="s">
        <v>24</v>
      </c>
      <c r="H16" s="7" t="s">
        <v>25</v>
      </c>
      <c r="I16" s="7" t="s">
        <v>26</v>
      </c>
    </row>
    <row r="17" spans="1:9" x14ac:dyDescent="0.25">
      <c r="A17" s="7"/>
      <c r="B17" s="7"/>
      <c r="C17" s="7" t="s">
        <v>27</v>
      </c>
      <c r="D17" s="7" t="s">
        <v>28</v>
      </c>
      <c r="E17" s="7"/>
      <c r="F17" s="7"/>
      <c r="G17" s="7" t="s">
        <v>29</v>
      </c>
      <c r="H17" s="7" t="s">
        <v>30</v>
      </c>
      <c r="I17" s="7" t="s">
        <v>31</v>
      </c>
    </row>
    <row r="18" spans="1:9" x14ac:dyDescent="0.25">
      <c r="A18" s="7"/>
      <c r="B18" s="7"/>
      <c r="C18" s="7" t="s">
        <v>32</v>
      </c>
      <c r="D18" s="7" t="s">
        <v>33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30</v>
      </c>
    </row>
    <row r="19" spans="1:9" x14ac:dyDescent="0.25">
      <c r="A19" s="8">
        <v>1</v>
      </c>
      <c r="B19" s="9">
        <v>2</v>
      </c>
      <c r="C19" s="10">
        <v>3</v>
      </c>
      <c r="D19" s="6">
        <v>4</v>
      </c>
      <c r="E19" s="10">
        <v>5</v>
      </c>
      <c r="F19" s="9">
        <v>6</v>
      </c>
      <c r="G19" s="10">
        <v>7</v>
      </c>
      <c r="H19" s="8">
        <v>8</v>
      </c>
      <c r="I19" s="9">
        <v>9</v>
      </c>
    </row>
    <row r="20" spans="1:9" x14ac:dyDescent="0.25">
      <c r="A20" s="57">
        <v>1</v>
      </c>
      <c r="B20" s="25" t="s">
        <v>191</v>
      </c>
      <c r="C20" s="68" t="s">
        <v>71</v>
      </c>
      <c r="D20" s="57"/>
      <c r="E20" s="45" t="s">
        <v>71</v>
      </c>
      <c r="F20" s="25" t="s">
        <v>71</v>
      </c>
      <c r="G20" s="68"/>
      <c r="H20" s="57" t="s">
        <v>71</v>
      </c>
      <c r="I20" s="45" t="s">
        <v>71</v>
      </c>
    </row>
    <row r="21" spans="1:9" x14ac:dyDescent="0.25">
      <c r="A21" s="15"/>
      <c r="B21" s="12" t="s">
        <v>192</v>
      </c>
      <c r="C21" s="14">
        <v>7.56</v>
      </c>
      <c r="D21" s="15">
        <v>-17276.87</v>
      </c>
      <c r="E21" s="12">
        <v>22689.119999999999</v>
      </c>
      <c r="F21" s="12">
        <v>36097.25</v>
      </c>
      <c r="G21" s="14">
        <f>E21</f>
        <v>22689.119999999999</v>
      </c>
      <c r="H21" s="15">
        <f>D21+F21-G21</f>
        <v>-3868.739999999998</v>
      </c>
      <c r="I21" s="17">
        <f>H21</f>
        <v>-3868.739999999998</v>
      </c>
    </row>
    <row r="22" spans="1:9" x14ac:dyDescent="0.25">
      <c r="A22" s="7" t="s">
        <v>36</v>
      </c>
      <c r="B22" s="7" t="s">
        <v>457</v>
      </c>
      <c r="C22" s="60"/>
      <c r="D22" s="51" t="s">
        <v>71</v>
      </c>
      <c r="E22" s="7"/>
      <c r="F22" s="22"/>
      <c r="G22" s="60"/>
      <c r="H22" s="51" t="s">
        <v>71</v>
      </c>
      <c r="I22" s="22" t="s">
        <v>71</v>
      </c>
    </row>
    <row r="23" spans="1:9" x14ac:dyDescent="0.25">
      <c r="A23" s="62"/>
      <c r="B23" s="62" t="s">
        <v>458</v>
      </c>
      <c r="C23" s="74">
        <v>2.62</v>
      </c>
      <c r="D23" s="55"/>
      <c r="E23" s="54">
        <f>E21*34.5%</f>
        <v>7827.7463999999991</v>
      </c>
      <c r="F23" s="54">
        <f>F21*34.5%</f>
        <v>12453.551249999999</v>
      </c>
      <c r="G23" s="79">
        <f t="shared" ref="G23:G28" si="0">E23</f>
        <v>7827.7463999999991</v>
      </c>
      <c r="H23" s="55"/>
      <c r="I23" s="54"/>
    </row>
    <row r="24" spans="1:9" x14ac:dyDescent="0.25">
      <c r="A24" s="24" t="s">
        <v>38</v>
      </c>
      <c r="B24" s="6" t="s">
        <v>39</v>
      </c>
      <c r="C24" s="58">
        <v>1.33</v>
      </c>
      <c r="D24" s="38"/>
      <c r="E24" s="75">
        <f>E21*18%</f>
        <v>4084.0415999999996</v>
      </c>
      <c r="F24" s="75">
        <f>F21*18%</f>
        <v>6497.5050000000001</v>
      </c>
      <c r="G24" s="86">
        <f t="shared" si="0"/>
        <v>4084.0415999999996</v>
      </c>
      <c r="H24" s="38"/>
      <c r="I24" s="22"/>
    </row>
    <row r="25" spans="1:9" x14ac:dyDescent="0.25">
      <c r="A25" s="24" t="s">
        <v>40</v>
      </c>
      <c r="B25" s="6" t="s">
        <v>41</v>
      </c>
      <c r="C25" s="58">
        <v>1.22</v>
      </c>
      <c r="D25" s="105"/>
      <c r="E25" s="75">
        <f>E21*16/100</f>
        <v>3630.2592</v>
      </c>
      <c r="F25" s="75">
        <f>F21*16%</f>
        <v>5775.56</v>
      </c>
      <c r="G25" s="86">
        <f t="shared" si="0"/>
        <v>3630.2592</v>
      </c>
      <c r="H25" s="105"/>
      <c r="I25" s="75"/>
    </row>
    <row r="26" spans="1:9" x14ac:dyDescent="0.25">
      <c r="A26" s="24" t="s">
        <v>42</v>
      </c>
      <c r="B26" s="6" t="s">
        <v>43</v>
      </c>
      <c r="C26" s="58">
        <v>2.39</v>
      </c>
      <c r="D26" s="105"/>
      <c r="E26" s="75">
        <f>E21*31.5%</f>
        <v>7147.0727999999999</v>
      </c>
      <c r="F26" s="75">
        <f>F21*31.5%</f>
        <v>11370.633750000001</v>
      </c>
      <c r="G26" s="86">
        <f t="shared" si="0"/>
        <v>7147.0727999999999</v>
      </c>
      <c r="H26" s="105"/>
      <c r="I26" s="75"/>
    </row>
    <row r="27" spans="1:9" x14ac:dyDescent="0.25">
      <c r="A27" s="24" t="s">
        <v>44</v>
      </c>
      <c r="B27" s="6" t="s">
        <v>1053</v>
      </c>
      <c r="C27" s="58">
        <v>1.8937900000000001</v>
      </c>
      <c r="D27" s="105"/>
      <c r="E27" s="75">
        <v>4485.3100000000004</v>
      </c>
      <c r="F27" s="75">
        <v>3801.26</v>
      </c>
      <c r="G27" s="86">
        <f t="shared" si="0"/>
        <v>4485.3100000000004</v>
      </c>
      <c r="H27" s="28">
        <f>F27-E27</f>
        <v>-684.05000000000018</v>
      </c>
      <c r="I27" s="45">
        <f>H27</f>
        <v>-684.05000000000018</v>
      </c>
    </row>
    <row r="28" spans="1:9" x14ac:dyDescent="0.25">
      <c r="A28" s="11" t="s">
        <v>48</v>
      </c>
      <c r="B28" s="11" t="s">
        <v>49</v>
      </c>
      <c r="C28" s="41" t="s">
        <v>50</v>
      </c>
      <c r="D28" s="42">
        <v>-12732.7</v>
      </c>
      <c r="E28" s="11">
        <v>10159.08</v>
      </c>
      <c r="F28" s="11">
        <v>15702.41</v>
      </c>
      <c r="G28" s="41">
        <f t="shared" si="0"/>
        <v>10159.08</v>
      </c>
      <c r="H28" s="42">
        <f>D28+F28-G28</f>
        <v>-7189.3700000000008</v>
      </c>
      <c r="I28" s="43">
        <f>H28</f>
        <v>-7189.3700000000008</v>
      </c>
    </row>
    <row r="29" spans="1:9" x14ac:dyDescent="0.25">
      <c r="A29" s="18" t="s">
        <v>51</v>
      </c>
      <c r="B29" s="18" t="s">
        <v>459</v>
      </c>
      <c r="C29" s="5">
        <v>1.65</v>
      </c>
      <c r="D29" s="59">
        <v>34641.660000000003</v>
      </c>
      <c r="E29" s="18">
        <v>4952.28</v>
      </c>
      <c r="F29" s="18">
        <v>9349.66</v>
      </c>
      <c r="G29" s="5">
        <f>I53</f>
        <v>0</v>
      </c>
      <c r="H29" s="59">
        <f>D29+F29-G29</f>
        <v>43991.320000000007</v>
      </c>
      <c r="I29" s="44"/>
    </row>
    <row r="30" spans="1:9" x14ac:dyDescent="0.25">
      <c r="A30" s="25" t="s">
        <v>55</v>
      </c>
      <c r="B30" s="25" t="s">
        <v>146</v>
      </c>
      <c r="C30" s="68"/>
      <c r="D30" s="57" t="s">
        <v>71</v>
      </c>
      <c r="E30" s="25"/>
      <c r="F30" s="25"/>
      <c r="G30" s="68" t="s">
        <v>147</v>
      </c>
      <c r="H30" s="57" t="s">
        <v>71</v>
      </c>
      <c r="I30" s="45"/>
    </row>
    <row r="31" spans="1:9" x14ac:dyDescent="0.25">
      <c r="A31" s="11"/>
      <c r="B31" s="11" t="s">
        <v>276</v>
      </c>
      <c r="C31" s="46"/>
      <c r="D31" s="42">
        <v>12511.05</v>
      </c>
      <c r="E31" s="11">
        <v>0</v>
      </c>
      <c r="F31" s="11">
        <v>231.06</v>
      </c>
      <c r="G31" s="41">
        <v>0</v>
      </c>
      <c r="H31" s="42">
        <f>D31+F31-G31</f>
        <v>12742.109999999999</v>
      </c>
      <c r="I31" s="43"/>
    </row>
    <row r="32" spans="1:9" x14ac:dyDescent="0.25">
      <c r="A32" s="9"/>
      <c r="B32" s="9" t="s">
        <v>1075</v>
      </c>
      <c r="C32" s="10"/>
      <c r="D32" s="40"/>
      <c r="E32" s="29"/>
      <c r="F32" s="29"/>
      <c r="G32" s="39"/>
      <c r="H32" s="40"/>
      <c r="I32" s="29"/>
    </row>
    <row r="33" spans="1:9" x14ac:dyDescent="0.25">
      <c r="A33" s="1" t="s">
        <v>58</v>
      </c>
      <c r="B33" s="2"/>
      <c r="C33" s="2"/>
      <c r="E33" s="2"/>
      <c r="F33" s="2"/>
      <c r="G33" s="60"/>
      <c r="H33" s="60"/>
      <c r="I33" s="60"/>
    </row>
    <row r="34" spans="1:9" x14ac:dyDescent="0.25">
      <c r="A34" s="6" t="s">
        <v>71</v>
      </c>
      <c r="B34" s="57" t="s">
        <v>72</v>
      </c>
      <c r="C34" s="6" t="s">
        <v>73</v>
      </c>
      <c r="D34" s="58" t="s">
        <v>74</v>
      </c>
      <c r="E34" s="6" t="s">
        <v>75</v>
      </c>
      <c r="F34" s="58" t="s">
        <v>76</v>
      </c>
      <c r="G34" s="6" t="s">
        <v>77</v>
      </c>
      <c r="H34" s="58" t="s">
        <v>78</v>
      </c>
      <c r="I34" s="6" t="s">
        <v>19</v>
      </c>
    </row>
    <row r="35" spans="1:9" x14ac:dyDescent="0.25">
      <c r="A35" s="7"/>
      <c r="B35" s="59" t="s">
        <v>79</v>
      </c>
      <c r="C35" s="7" t="s">
        <v>80</v>
      </c>
      <c r="D35" s="60" t="s">
        <v>81</v>
      </c>
      <c r="E35" s="7" t="s">
        <v>82</v>
      </c>
      <c r="F35" s="60" t="s">
        <v>83</v>
      </c>
      <c r="G35" s="7" t="s">
        <v>84</v>
      </c>
      <c r="H35" s="60" t="s">
        <v>911</v>
      </c>
      <c r="I35" s="7" t="s">
        <v>86</v>
      </c>
    </row>
    <row r="36" spans="1:9" x14ac:dyDescent="0.25">
      <c r="A36" s="7"/>
      <c r="B36" s="51"/>
      <c r="C36" s="7"/>
      <c r="D36" s="60"/>
      <c r="E36" s="7"/>
      <c r="F36" s="60" t="s">
        <v>87</v>
      </c>
      <c r="G36" s="7" t="s">
        <v>88</v>
      </c>
      <c r="H36" s="60" t="s">
        <v>33</v>
      </c>
      <c r="I36" s="7" t="s">
        <v>239</v>
      </c>
    </row>
    <row r="37" spans="1:9" x14ac:dyDescent="0.25">
      <c r="A37" s="62"/>
      <c r="B37" s="62"/>
      <c r="C37" s="14"/>
      <c r="D37" s="62"/>
      <c r="E37" s="74"/>
      <c r="F37" s="52"/>
      <c r="G37" s="62"/>
      <c r="H37" s="53"/>
      <c r="I37" s="62"/>
    </row>
    <row r="38" spans="1:9" x14ac:dyDescent="0.25">
      <c r="A38" s="9">
        <v>1</v>
      </c>
      <c r="B38" s="9" t="s">
        <v>90</v>
      </c>
      <c r="C38" s="41" t="s">
        <v>91</v>
      </c>
      <c r="D38" s="7">
        <v>-44440.87</v>
      </c>
      <c r="E38" s="95">
        <v>36897.089999999997</v>
      </c>
      <c r="F38" s="9">
        <v>57009.83</v>
      </c>
      <c r="G38" s="66">
        <f>E38</f>
        <v>36897.089999999997</v>
      </c>
      <c r="H38" s="51">
        <f>D38+F38-G38</f>
        <v>-24328.129999999997</v>
      </c>
      <c r="I38" s="7">
        <f>H38</f>
        <v>-24328.129999999997</v>
      </c>
    </row>
    <row r="39" spans="1:9" x14ac:dyDescent="0.25">
      <c r="A39" s="9"/>
      <c r="B39" s="9" t="s">
        <v>412</v>
      </c>
      <c r="C39" s="41" t="s">
        <v>93</v>
      </c>
      <c r="D39" s="9"/>
      <c r="E39" s="9"/>
      <c r="F39" s="9"/>
      <c r="G39" s="10"/>
      <c r="H39" s="8"/>
      <c r="I39" s="9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 t="s">
        <v>71</v>
      </c>
      <c r="C42" s="2"/>
      <c r="D42" s="2"/>
      <c r="E42" s="2"/>
      <c r="F42" s="2" t="s">
        <v>71</v>
      </c>
      <c r="G42" s="2"/>
      <c r="H42" s="2"/>
      <c r="I42" s="2"/>
    </row>
    <row r="43" spans="1:9" x14ac:dyDescent="0.25">
      <c r="A43" s="1" t="s">
        <v>494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5" t="s">
        <v>495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8" t="s">
        <v>12</v>
      </c>
      <c r="B45" s="6" t="s">
        <v>221</v>
      </c>
      <c r="C45" s="58" t="s">
        <v>103</v>
      </c>
      <c r="D45" s="58"/>
      <c r="E45" s="58"/>
      <c r="F45" s="48" t="s">
        <v>222</v>
      </c>
      <c r="G45" s="58"/>
      <c r="H45" s="49"/>
      <c r="I45" s="6" t="s">
        <v>105</v>
      </c>
    </row>
    <row r="46" spans="1:9" x14ac:dyDescent="0.25">
      <c r="A46" s="51" t="s">
        <v>106</v>
      </c>
      <c r="B46" s="7" t="s">
        <v>223</v>
      </c>
      <c r="C46" s="60"/>
      <c r="D46" s="60"/>
      <c r="E46" s="60"/>
      <c r="F46" s="51" t="s">
        <v>224</v>
      </c>
      <c r="G46" s="60"/>
      <c r="H46" s="61"/>
      <c r="I46" s="7" t="s">
        <v>108</v>
      </c>
    </row>
    <row r="47" spans="1:9" x14ac:dyDescent="0.25">
      <c r="A47" s="51"/>
      <c r="B47" s="7"/>
      <c r="C47" s="60"/>
      <c r="D47" s="60"/>
      <c r="E47" s="60"/>
      <c r="F47" s="51" t="s">
        <v>1076</v>
      </c>
      <c r="G47" s="60"/>
      <c r="H47" s="61"/>
      <c r="I47" s="7"/>
    </row>
    <row r="48" spans="1:9" x14ac:dyDescent="0.25">
      <c r="A48" s="51"/>
      <c r="B48" s="7"/>
      <c r="C48" s="60"/>
      <c r="D48" s="60"/>
      <c r="E48" s="60"/>
      <c r="F48" s="51" t="s">
        <v>774</v>
      </c>
      <c r="G48" s="60"/>
      <c r="H48" s="61"/>
      <c r="I48" s="7"/>
    </row>
    <row r="49" spans="1:9" x14ac:dyDescent="0.25">
      <c r="A49" s="52"/>
      <c r="B49" s="62"/>
      <c r="C49" s="60"/>
      <c r="D49" s="60"/>
      <c r="E49" s="60"/>
      <c r="F49" s="51"/>
      <c r="G49" s="60"/>
      <c r="H49" s="61"/>
      <c r="I49" s="62"/>
    </row>
    <row r="50" spans="1:9" x14ac:dyDescent="0.25">
      <c r="A50" s="67" t="s">
        <v>110</v>
      </c>
      <c r="B50" s="18"/>
      <c r="C50" s="68" t="s">
        <v>111</v>
      </c>
      <c r="D50" s="68"/>
      <c r="E50" s="68"/>
      <c r="F50" s="48"/>
      <c r="G50" s="58"/>
      <c r="H50" s="49"/>
      <c r="I50" s="6"/>
    </row>
    <row r="51" spans="1:9" x14ac:dyDescent="0.25">
      <c r="A51" s="69"/>
      <c r="B51" s="7"/>
      <c r="C51" s="60" t="s">
        <v>112</v>
      </c>
      <c r="D51" s="60"/>
      <c r="E51" s="60"/>
      <c r="F51" s="51" t="s">
        <v>71</v>
      </c>
      <c r="G51" s="60"/>
      <c r="H51" s="61" t="s">
        <v>71</v>
      </c>
      <c r="I51" s="7" t="s">
        <v>71</v>
      </c>
    </row>
    <row r="52" spans="1:9" x14ac:dyDescent="0.25">
      <c r="A52" s="69"/>
      <c r="B52" s="70"/>
      <c r="C52" s="60"/>
      <c r="D52" s="60"/>
      <c r="E52" s="60"/>
      <c r="F52" s="51"/>
      <c r="G52" s="37"/>
      <c r="H52" s="61"/>
      <c r="I52" s="7"/>
    </row>
    <row r="53" spans="1:9" x14ac:dyDescent="0.25">
      <c r="A53" s="69"/>
      <c r="B53" s="7"/>
      <c r="C53" s="5" t="s">
        <v>118</v>
      </c>
      <c r="D53" s="5"/>
      <c r="E53" s="5"/>
      <c r="F53" s="15"/>
      <c r="G53" s="78">
        <f>SUM(G51:G52)</f>
        <v>0</v>
      </c>
      <c r="H53" s="85"/>
      <c r="I53" s="18">
        <f>SUM(I52)</f>
        <v>0</v>
      </c>
    </row>
    <row r="54" spans="1:9" x14ac:dyDescent="0.25">
      <c r="A54" s="6"/>
      <c r="B54" s="6"/>
      <c r="C54" s="48"/>
      <c r="D54" s="58"/>
      <c r="E54" s="49"/>
      <c r="F54" s="51"/>
      <c r="G54" s="60"/>
      <c r="H54" s="61"/>
      <c r="I54" s="6"/>
    </row>
    <row r="55" spans="1:9" x14ac:dyDescent="0.25">
      <c r="A55" s="25" t="s">
        <v>48</v>
      </c>
      <c r="B55" s="25" t="s">
        <v>119</v>
      </c>
      <c r="C55" s="57" t="s">
        <v>120</v>
      </c>
      <c r="D55" s="58"/>
      <c r="E55" s="49"/>
      <c r="F55" s="48" t="s">
        <v>121</v>
      </c>
      <c r="G55" s="58"/>
      <c r="H55" s="49"/>
      <c r="I55" s="6"/>
    </row>
    <row r="56" spans="1:9" x14ac:dyDescent="0.25">
      <c r="A56" s="73"/>
      <c r="B56" s="62" t="s">
        <v>119</v>
      </c>
      <c r="C56" s="52" t="s">
        <v>118</v>
      </c>
      <c r="D56" s="74"/>
      <c r="E56" s="53"/>
      <c r="F56" s="52" t="s">
        <v>71</v>
      </c>
      <c r="G56" s="74"/>
      <c r="H56" s="53"/>
      <c r="I56" s="62">
        <v>0</v>
      </c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 t="s">
        <v>680</v>
      </c>
      <c r="B59" s="2"/>
      <c r="C59" s="2" t="s">
        <v>71</v>
      </c>
      <c r="D59" s="2" t="s">
        <v>1077</v>
      </c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6" zoomScale="110" zoomScaleNormal="110" workbookViewId="0">
      <selection activeCell="A64" sqref="A64"/>
    </sheetView>
  </sheetViews>
  <sheetFormatPr defaultRowHeight="15" x14ac:dyDescent="0.25"/>
  <cols>
    <col min="1" max="1" width="5" style="3" customWidth="1"/>
    <col min="2" max="2" width="31.28515625" style="3" customWidth="1"/>
    <col min="3" max="3" width="12.28515625" style="3" customWidth="1"/>
    <col min="4" max="4" width="11.42578125" style="3" customWidth="1"/>
    <col min="5" max="6" width="9.140625" style="3"/>
    <col min="7" max="7" width="9.85546875" style="3" customWidth="1"/>
    <col min="8" max="8" width="12.5703125" style="3" customWidth="1"/>
    <col min="9" max="9" width="20.8554687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452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1078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1079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1080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1081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1082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1083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549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573</v>
      </c>
    </row>
    <row r="17" spans="1:9" x14ac:dyDescent="0.25">
      <c r="A17" s="8">
        <v>1</v>
      </c>
      <c r="B17" s="9">
        <v>2</v>
      </c>
      <c r="C17" s="8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8"/>
      <c r="B18" s="52"/>
      <c r="C18" s="52"/>
      <c r="D18" s="62"/>
      <c r="E18" s="74"/>
      <c r="F18" s="62"/>
      <c r="G18" s="74"/>
      <c r="H18" s="62"/>
      <c r="I18" s="62"/>
    </row>
    <row r="19" spans="1:9" x14ac:dyDescent="0.25">
      <c r="A19" s="11" t="s">
        <v>110</v>
      </c>
      <c r="B19" s="15" t="s">
        <v>1084</v>
      </c>
      <c r="C19" s="12">
        <v>7.56</v>
      </c>
      <c r="D19" s="17">
        <v>-7786.41</v>
      </c>
      <c r="E19" s="14">
        <v>96489.84</v>
      </c>
      <c r="F19" s="12">
        <v>95158.46</v>
      </c>
      <c r="G19" s="15">
        <f t="shared" ref="G19:G26" si="0">E19</f>
        <v>96489.84</v>
      </c>
      <c r="H19" s="17">
        <f>D19+F19-G19</f>
        <v>-9117.7899999999936</v>
      </c>
      <c r="I19" s="17">
        <f>H19</f>
        <v>-9117.7899999999936</v>
      </c>
    </row>
    <row r="20" spans="1:9" x14ac:dyDescent="0.25">
      <c r="A20" s="69" t="s">
        <v>36</v>
      </c>
      <c r="B20" s="62" t="s">
        <v>37</v>
      </c>
      <c r="C20" s="74">
        <v>2.62</v>
      </c>
      <c r="D20" s="54"/>
      <c r="E20" s="54">
        <f>E19*34.5%</f>
        <v>33288.994799999993</v>
      </c>
      <c r="F20" s="54">
        <f>F19*34.5%</f>
        <v>32829.668700000002</v>
      </c>
      <c r="G20" s="55">
        <f t="shared" si="0"/>
        <v>33288.994799999993</v>
      </c>
      <c r="H20" s="55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22"/>
      <c r="E21" s="86">
        <f>E19*18%</f>
        <v>17368.171199999997</v>
      </c>
      <c r="F21" s="75">
        <f>F19*18%</f>
        <v>17128.522799999999</v>
      </c>
      <c r="G21" s="37">
        <f t="shared" si="0"/>
        <v>17368.171199999997</v>
      </c>
      <c r="H21" s="22"/>
      <c r="I21" s="22"/>
    </row>
    <row r="22" spans="1:9" x14ac:dyDescent="0.25">
      <c r="A22" s="24" t="s">
        <v>40</v>
      </c>
      <c r="B22" s="6" t="s">
        <v>41</v>
      </c>
      <c r="C22" s="58">
        <v>1.22</v>
      </c>
      <c r="D22" s="29"/>
      <c r="E22" s="39">
        <f>E19*16%</f>
        <v>15438.374400000001</v>
      </c>
      <c r="F22" s="29">
        <f>F19*16%</f>
        <v>15225.353600000002</v>
      </c>
      <c r="G22" s="40">
        <f t="shared" si="0"/>
        <v>15438.374400000001</v>
      </c>
      <c r="H22" s="29"/>
      <c r="I22" s="29"/>
    </row>
    <row r="23" spans="1:9" x14ac:dyDescent="0.25">
      <c r="A23" s="24" t="s">
        <v>42</v>
      </c>
      <c r="B23" s="6" t="s">
        <v>43</v>
      </c>
      <c r="C23" s="58">
        <v>2.39</v>
      </c>
      <c r="D23" s="22"/>
      <c r="E23" s="37">
        <f>E19*31.5%</f>
        <v>30394.299599999998</v>
      </c>
      <c r="F23" s="22">
        <f>F19*31.5%</f>
        <v>29974.914900000003</v>
      </c>
      <c r="G23" s="37">
        <f t="shared" si="0"/>
        <v>30394.299599999998</v>
      </c>
      <c r="H23" s="22"/>
      <c r="I23" s="22"/>
    </row>
    <row r="24" spans="1:9" x14ac:dyDescent="0.25">
      <c r="A24" s="24" t="s">
        <v>44</v>
      </c>
      <c r="B24" s="6" t="s">
        <v>249</v>
      </c>
      <c r="C24" s="58">
        <v>2.853E-2</v>
      </c>
      <c r="D24" s="29"/>
      <c r="E24" s="39">
        <v>364.2</v>
      </c>
      <c r="F24" s="29">
        <v>346.56</v>
      </c>
      <c r="G24" s="39">
        <f>E24</f>
        <v>364.2</v>
      </c>
      <c r="H24" s="43">
        <f>F24-E24</f>
        <v>-17.639999999999986</v>
      </c>
      <c r="I24" s="43">
        <f>H24</f>
        <v>-17.639999999999986</v>
      </c>
    </row>
    <row r="25" spans="1:9" x14ac:dyDescent="0.25">
      <c r="A25" s="24" t="s">
        <v>46</v>
      </c>
      <c r="B25" s="6" t="s">
        <v>47</v>
      </c>
      <c r="C25" s="58">
        <v>0.76366000000000001</v>
      </c>
      <c r="D25" s="6">
        <v>-143.61000000000001</v>
      </c>
      <c r="E25" s="6">
        <v>9079.43</v>
      </c>
      <c r="F25" s="6">
        <v>7572.4</v>
      </c>
      <c r="G25" s="60">
        <f>E25</f>
        <v>9079.43</v>
      </c>
      <c r="H25" s="42">
        <f>D25+F25-G25</f>
        <v>-1650.6400000000003</v>
      </c>
      <c r="I25" s="11">
        <f>H25</f>
        <v>-1650.6400000000003</v>
      </c>
    </row>
    <row r="26" spans="1:9" x14ac:dyDescent="0.25">
      <c r="A26" s="11" t="s">
        <v>48</v>
      </c>
      <c r="B26" s="11" t="s">
        <v>49</v>
      </c>
      <c r="C26" s="41" t="s">
        <v>50</v>
      </c>
      <c r="D26" s="11">
        <v>-1778.36</v>
      </c>
      <c r="E26" s="41">
        <v>43203.45</v>
      </c>
      <c r="F26" s="11">
        <v>40922.53</v>
      </c>
      <c r="G26" s="41">
        <f t="shared" si="0"/>
        <v>43203.45</v>
      </c>
      <c r="H26" s="11">
        <f>D26+F26-G26</f>
        <v>-4059.2799999999988</v>
      </c>
      <c r="I26" s="11">
        <f>H26</f>
        <v>-4059.2799999999988</v>
      </c>
    </row>
    <row r="27" spans="1:9" x14ac:dyDescent="0.25">
      <c r="A27" s="25" t="s">
        <v>51</v>
      </c>
      <c r="B27" s="12" t="s">
        <v>1085</v>
      </c>
      <c r="C27" s="12">
        <v>1.65</v>
      </c>
      <c r="D27" s="12">
        <v>46914.84</v>
      </c>
      <c r="E27" s="85">
        <v>21060.240000000002</v>
      </c>
      <c r="F27" s="12">
        <f>F28+F29</f>
        <v>24856.39</v>
      </c>
      <c r="G27" s="15">
        <f>I64</f>
        <v>20464.480000000003</v>
      </c>
      <c r="H27" s="12">
        <f>D27+F27-G27</f>
        <v>51306.749999999993</v>
      </c>
      <c r="I27" s="12"/>
    </row>
    <row r="28" spans="1:9" x14ac:dyDescent="0.25">
      <c r="A28" s="25"/>
      <c r="B28" s="9" t="s">
        <v>53</v>
      </c>
      <c r="C28" s="85"/>
      <c r="D28" s="11"/>
      <c r="E28" s="41">
        <v>0</v>
      </c>
      <c r="F28" s="11">
        <v>20974.63</v>
      </c>
      <c r="G28" s="41">
        <f>I64</f>
        <v>20464.480000000003</v>
      </c>
      <c r="H28" s="11"/>
      <c r="I28" s="11"/>
    </row>
    <row r="29" spans="1:9" x14ac:dyDescent="0.25">
      <c r="A29" s="25"/>
      <c r="B29" s="9" t="s">
        <v>54</v>
      </c>
      <c r="C29" s="85"/>
      <c r="D29" s="18"/>
      <c r="E29" s="5"/>
      <c r="F29" s="18">
        <v>3881.76</v>
      </c>
      <c r="G29" s="5"/>
      <c r="H29" s="18"/>
      <c r="I29" s="18"/>
    </row>
    <row r="30" spans="1:9" x14ac:dyDescent="0.25">
      <c r="A30" s="11" t="s">
        <v>55</v>
      </c>
      <c r="B30" s="11" t="s">
        <v>146</v>
      </c>
      <c r="C30" s="46"/>
      <c r="D30" s="11" t="s">
        <v>71</v>
      </c>
      <c r="E30" s="41"/>
      <c r="F30" s="11"/>
      <c r="G30" s="41" t="s">
        <v>147</v>
      </c>
      <c r="H30" s="11" t="s">
        <v>71</v>
      </c>
      <c r="I30" s="11"/>
    </row>
    <row r="31" spans="1:9" x14ac:dyDescent="0.25">
      <c r="A31" s="12"/>
      <c r="B31" s="12" t="s">
        <v>276</v>
      </c>
      <c r="C31" s="14">
        <v>0</v>
      </c>
      <c r="D31" s="11">
        <v>32305.45</v>
      </c>
      <c r="E31" s="41">
        <v>0</v>
      </c>
      <c r="F31" s="11">
        <f>F32</f>
        <v>24.15</v>
      </c>
      <c r="G31" s="41">
        <f>G32</f>
        <v>0</v>
      </c>
      <c r="H31" s="11">
        <f>D31+F31-G31</f>
        <v>32329.600000000002</v>
      </c>
      <c r="I31" s="9" t="s">
        <v>71</v>
      </c>
    </row>
    <row r="32" spans="1:9" x14ac:dyDescent="0.25">
      <c r="A32" s="9"/>
      <c r="B32" s="9" t="s">
        <v>53</v>
      </c>
      <c r="C32" s="10">
        <v>0</v>
      </c>
      <c r="D32" s="9"/>
      <c r="E32" s="10">
        <v>0</v>
      </c>
      <c r="F32" s="9">
        <v>24.15</v>
      </c>
      <c r="G32" s="10">
        <f>I68</f>
        <v>0</v>
      </c>
      <c r="H32" s="9"/>
      <c r="I32" s="9"/>
    </row>
    <row r="33" spans="1:9" x14ac:dyDescent="0.25">
      <c r="A33" s="60"/>
      <c r="B33" s="60"/>
      <c r="C33" s="60"/>
      <c r="D33" s="60"/>
      <c r="E33" s="60"/>
      <c r="F33" s="60"/>
      <c r="G33" s="60"/>
      <c r="H33" s="60"/>
      <c r="I33" s="60"/>
    </row>
    <row r="34" spans="1:9" x14ac:dyDescent="0.25">
      <c r="A34" s="1" t="s">
        <v>58</v>
      </c>
      <c r="B34" s="1"/>
      <c r="C34" s="1"/>
      <c r="D34" s="47"/>
      <c r="E34" s="1"/>
      <c r="F34" s="1"/>
      <c r="G34" s="1"/>
      <c r="H34" s="1"/>
      <c r="I34" s="1"/>
    </row>
    <row r="35" spans="1:9" x14ac:dyDescent="0.25">
      <c r="A35" s="6" t="s">
        <v>59</v>
      </c>
      <c r="B35" s="58" t="s">
        <v>60</v>
      </c>
      <c r="C35" s="6" t="s">
        <v>61</v>
      </c>
      <c r="D35" s="6" t="s">
        <v>62</v>
      </c>
      <c r="E35" s="6" t="s">
        <v>507</v>
      </c>
      <c r="F35" s="49" t="s">
        <v>61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1086</v>
      </c>
      <c r="D36" s="62" t="s">
        <v>23</v>
      </c>
      <c r="E36" s="62" t="s">
        <v>312</v>
      </c>
      <c r="F36" s="53" t="s">
        <v>30</v>
      </c>
      <c r="G36" s="62"/>
      <c r="H36" s="74"/>
      <c r="I36" s="53"/>
    </row>
    <row r="37" spans="1:9" x14ac:dyDescent="0.25">
      <c r="A37" s="62"/>
      <c r="B37" s="74" t="s">
        <v>68</v>
      </c>
      <c r="C37" s="62">
        <v>2538</v>
      </c>
      <c r="D37" s="62">
        <v>3600</v>
      </c>
      <c r="E37" s="62">
        <f>D37*15%</f>
        <v>540</v>
      </c>
      <c r="F37" s="53">
        <f>D37-E37</f>
        <v>3060</v>
      </c>
      <c r="G37" s="62"/>
      <c r="H37" s="74">
        <f>F37-G37</f>
        <v>3060</v>
      </c>
      <c r="I37" s="53"/>
    </row>
    <row r="38" spans="1:9" x14ac:dyDescent="0.25">
      <c r="A38" s="1"/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47"/>
      <c r="E39" s="1"/>
      <c r="F39" s="1"/>
      <c r="G39" s="1"/>
      <c r="H39" s="1"/>
      <c r="I39" s="1"/>
    </row>
    <row r="40" spans="1:9" x14ac:dyDescent="0.25">
      <c r="A40" s="5" t="s">
        <v>69</v>
      </c>
      <c r="B40" s="2"/>
      <c r="C40" s="2"/>
      <c r="E40" s="2"/>
      <c r="F40" s="2"/>
      <c r="G40" s="2"/>
      <c r="H40" s="2"/>
      <c r="I40" s="2"/>
    </row>
    <row r="41" spans="1:9" x14ac:dyDescent="0.25">
      <c r="A41" s="1" t="s">
        <v>70</v>
      </c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77</v>
      </c>
      <c r="H42" s="58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84</v>
      </c>
      <c r="G43" s="7" t="s">
        <v>84</v>
      </c>
      <c r="H43" s="60" t="s">
        <v>85</v>
      </c>
      <c r="I43" s="7" t="s">
        <v>86</v>
      </c>
    </row>
    <row r="44" spans="1:9" x14ac:dyDescent="0.25">
      <c r="A44" s="7"/>
      <c r="B44" s="51"/>
      <c r="C44" s="7"/>
      <c r="D44" s="60"/>
      <c r="E44" s="7"/>
      <c r="F44" s="60" t="s">
        <v>87</v>
      </c>
      <c r="G44" s="62" t="s">
        <v>88</v>
      </c>
      <c r="H44" s="60"/>
      <c r="I44" s="7" t="s">
        <v>30</v>
      </c>
    </row>
    <row r="45" spans="1:9" x14ac:dyDescent="0.25">
      <c r="A45" s="6"/>
      <c r="B45" s="6"/>
      <c r="C45" s="68"/>
      <c r="D45" s="6"/>
      <c r="E45" s="6"/>
      <c r="F45" s="6"/>
      <c r="G45" s="60"/>
      <c r="H45" s="8"/>
      <c r="I45" s="9"/>
    </row>
    <row r="46" spans="1:9" x14ac:dyDescent="0.25">
      <c r="A46" s="9">
        <v>1</v>
      </c>
      <c r="B46" s="9" t="s">
        <v>90</v>
      </c>
      <c r="C46" s="41" t="s">
        <v>91</v>
      </c>
      <c r="D46" s="9">
        <v>-29050.34</v>
      </c>
      <c r="E46" s="95">
        <v>119992.53</v>
      </c>
      <c r="F46" s="9">
        <v>113232.41</v>
      </c>
      <c r="G46" s="65">
        <f>E46</f>
        <v>119992.53</v>
      </c>
      <c r="H46" s="7">
        <f>D46+F46-G46</f>
        <v>-35810.459999999992</v>
      </c>
      <c r="I46" s="61">
        <f>H46</f>
        <v>-35810.459999999992</v>
      </c>
    </row>
    <row r="47" spans="1:9" x14ac:dyDescent="0.25">
      <c r="A47" s="9"/>
      <c r="B47" s="9" t="s">
        <v>92</v>
      </c>
      <c r="C47" s="41" t="s">
        <v>93</v>
      </c>
      <c r="D47" s="9"/>
      <c r="E47" s="95"/>
      <c r="F47" s="9"/>
      <c r="G47" s="65"/>
      <c r="H47" s="9"/>
      <c r="I47" s="50"/>
    </row>
    <row r="48" spans="1:9" x14ac:dyDescent="0.25">
      <c r="A48" s="9">
        <v>2</v>
      </c>
      <c r="B48" s="9" t="s">
        <v>98</v>
      </c>
      <c r="C48" s="41" t="s">
        <v>203</v>
      </c>
      <c r="D48" s="9">
        <v>-156030.94</v>
      </c>
      <c r="E48" s="9">
        <v>373274.19</v>
      </c>
      <c r="F48" s="9">
        <v>372866.14</v>
      </c>
      <c r="G48" s="10">
        <f>E48</f>
        <v>373274.19</v>
      </c>
      <c r="H48" s="9">
        <f>D48+F48-G48</f>
        <v>-156438.99</v>
      </c>
      <c r="I48" s="9">
        <f>H48</f>
        <v>-156438.99</v>
      </c>
    </row>
    <row r="49" spans="1:9" x14ac:dyDescent="0.25">
      <c r="A49" s="2"/>
      <c r="B49" s="2"/>
      <c r="C49" s="2"/>
      <c r="E49" s="2"/>
      <c r="F49" s="2"/>
      <c r="G49" s="2"/>
      <c r="H49" s="2"/>
      <c r="I49" s="2"/>
    </row>
    <row r="50" spans="1:9" x14ac:dyDescent="0.25">
      <c r="A50" s="2"/>
      <c r="B50" s="2" t="s">
        <v>71</v>
      </c>
      <c r="C50" s="2"/>
      <c r="D50" s="2"/>
      <c r="E50" s="2"/>
      <c r="F50" s="2" t="s">
        <v>71</v>
      </c>
      <c r="G50" s="2"/>
      <c r="H50" s="2"/>
      <c r="I50" s="2"/>
    </row>
    <row r="51" spans="1:9" x14ac:dyDescent="0.25">
      <c r="A51" s="1" t="s">
        <v>746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1087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750</v>
      </c>
      <c r="G55" s="60"/>
      <c r="H55" s="61"/>
      <c r="I55" s="7"/>
    </row>
    <row r="56" spans="1:9" x14ac:dyDescent="0.25">
      <c r="A56" s="51"/>
      <c r="B56" s="7"/>
      <c r="C56" s="60"/>
      <c r="D56" s="60"/>
      <c r="E56" s="60"/>
      <c r="F56" s="51" t="s">
        <v>258</v>
      </c>
      <c r="G56" s="60"/>
      <c r="H56" s="61"/>
      <c r="I56" s="7"/>
    </row>
    <row r="57" spans="1:9" x14ac:dyDescent="0.25">
      <c r="A57" s="52"/>
      <c r="B57" s="62"/>
      <c r="C57" s="60"/>
      <c r="D57" s="60"/>
      <c r="E57" s="60"/>
      <c r="F57" s="51"/>
      <c r="G57" s="60"/>
      <c r="H57" s="61"/>
      <c r="I57" s="62"/>
    </row>
    <row r="58" spans="1:9" x14ac:dyDescent="0.25">
      <c r="A58" s="67" t="s">
        <v>110</v>
      </c>
      <c r="B58" s="18"/>
      <c r="C58" s="68" t="s">
        <v>111</v>
      </c>
      <c r="D58" s="68"/>
      <c r="E58" s="68"/>
      <c r="F58" s="48"/>
      <c r="G58" s="58"/>
      <c r="H58" s="49"/>
      <c r="I58" s="6"/>
    </row>
    <row r="59" spans="1:9" x14ac:dyDescent="0.25">
      <c r="A59" s="69"/>
      <c r="B59" s="7"/>
      <c r="C59" s="60" t="s">
        <v>112</v>
      </c>
      <c r="D59" s="60"/>
      <c r="E59" s="60"/>
      <c r="F59" s="51" t="s">
        <v>71</v>
      </c>
      <c r="G59" s="37"/>
      <c r="H59" s="61" t="s">
        <v>71</v>
      </c>
      <c r="I59" s="7" t="s">
        <v>71</v>
      </c>
    </row>
    <row r="60" spans="1:9" x14ac:dyDescent="0.25">
      <c r="A60" s="69" t="s">
        <v>113</v>
      </c>
      <c r="B60" s="70">
        <v>42760</v>
      </c>
      <c r="C60" s="193" t="s">
        <v>1088</v>
      </c>
      <c r="D60" s="60"/>
      <c r="E60" s="60"/>
      <c r="F60" s="51"/>
      <c r="G60" s="37">
        <f>I60/1282.6</f>
        <v>2.2742398253547482</v>
      </c>
      <c r="H60" s="61"/>
      <c r="I60" s="7">
        <v>2916.94</v>
      </c>
    </row>
    <row r="61" spans="1:9" x14ac:dyDescent="0.25">
      <c r="A61" s="69" t="s">
        <v>38</v>
      </c>
      <c r="B61" s="70">
        <v>42851</v>
      </c>
      <c r="C61" s="60" t="s">
        <v>259</v>
      </c>
      <c r="D61" s="60"/>
      <c r="E61" s="60"/>
      <c r="F61" s="51"/>
      <c r="G61" s="37">
        <f>I61/1282.6</f>
        <v>5.3017308591922658</v>
      </c>
      <c r="H61" s="61"/>
      <c r="I61" s="7">
        <v>6800</v>
      </c>
    </row>
    <row r="62" spans="1:9" x14ac:dyDescent="0.25">
      <c r="A62" s="69" t="s">
        <v>40</v>
      </c>
      <c r="B62" s="70">
        <v>42978</v>
      </c>
      <c r="C62" s="60" t="s">
        <v>361</v>
      </c>
      <c r="D62" s="60"/>
      <c r="E62" s="60"/>
      <c r="F62" s="51"/>
      <c r="G62" s="37">
        <f>I62/1282.6</f>
        <v>8.3794947762357719</v>
      </c>
      <c r="H62" s="61"/>
      <c r="I62" s="7">
        <v>10747.54</v>
      </c>
    </row>
    <row r="63" spans="1:9" x14ac:dyDescent="0.25">
      <c r="A63" s="69"/>
      <c r="B63" s="70"/>
      <c r="C63" s="60"/>
      <c r="D63" s="60"/>
      <c r="E63" s="60"/>
      <c r="F63" s="51"/>
      <c r="G63" s="37" t="s">
        <v>71</v>
      </c>
      <c r="H63" s="61"/>
      <c r="I63" s="7"/>
    </row>
    <row r="64" spans="1:9" x14ac:dyDescent="0.25">
      <c r="A64" s="69"/>
      <c r="B64" s="7"/>
      <c r="C64" s="5" t="s">
        <v>118</v>
      </c>
      <c r="D64" s="5"/>
      <c r="E64" s="5"/>
      <c r="F64" s="59"/>
      <c r="G64" s="20">
        <f>SUM(G60:G63)</f>
        <v>15.955465460782786</v>
      </c>
      <c r="H64" s="71"/>
      <c r="I64" s="18">
        <f>SUM(I60:I63)</f>
        <v>20464.480000000003</v>
      </c>
    </row>
    <row r="65" spans="1:9" x14ac:dyDescent="0.25">
      <c r="A65" s="6"/>
      <c r="B65" s="6"/>
      <c r="C65" s="48"/>
      <c r="D65" s="58"/>
      <c r="E65" s="49"/>
      <c r="F65" s="48"/>
      <c r="G65" s="86"/>
      <c r="H65" s="49"/>
      <c r="I65" s="6"/>
    </row>
    <row r="66" spans="1:9" x14ac:dyDescent="0.25">
      <c r="A66" s="6" t="s">
        <v>48</v>
      </c>
      <c r="B66" s="25" t="s">
        <v>119</v>
      </c>
      <c r="C66" s="57" t="s">
        <v>120</v>
      </c>
      <c r="D66" s="58"/>
      <c r="E66" s="49"/>
      <c r="F66" s="48" t="s">
        <v>121</v>
      </c>
      <c r="G66" s="58"/>
      <c r="H66" s="49"/>
      <c r="I66" s="6"/>
    </row>
    <row r="67" spans="1:9" x14ac:dyDescent="0.25">
      <c r="A67" s="69"/>
      <c r="B67" s="140"/>
      <c r="C67" s="51"/>
      <c r="D67" s="60"/>
      <c r="E67" s="61"/>
      <c r="F67" s="51"/>
      <c r="G67" s="60"/>
      <c r="H67" s="61"/>
      <c r="I67" s="7"/>
    </row>
    <row r="68" spans="1:9" x14ac:dyDescent="0.25">
      <c r="A68" s="73"/>
      <c r="B68" s="62" t="s">
        <v>119</v>
      </c>
      <c r="C68" s="15" t="s">
        <v>118</v>
      </c>
      <c r="D68" s="14"/>
      <c r="E68" s="85"/>
      <c r="F68" s="15" t="s">
        <v>71</v>
      </c>
      <c r="G68" s="78">
        <f>SUM(G67:G67)</f>
        <v>0</v>
      </c>
      <c r="H68" s="85"/>
      <c r="I68" s="12">
        <f>SUM(I67:I67)</f>
        <v>0</v>
      </c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 t="s">
        <v>576</v>
      </c>
      <c r="B71" s="2"/>
      <c r="C71" s="2" t="s">
        <v>1089</v>
      </c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7" zoomScale="110" zoomScaleNormal="110" workbookViewId="0">
      <selection activeCell="H61" sqref="H61"/>
    </sheetView>
  </sheetViews>
  <sheetFormatPr defaultRowHeight="15" x14ac:dyDescent="0.25"/>
  <cols>
    <col min="1" max="1" width="5.28515625" style="3" customWidth="1"/>
    <col min="2" max="2" width="32.28515625" style="3" customWidth="1"/>
    <col min="3" max="3" width="15.42578125" style="3" customWidth="1"/>
    <col min="4" max="4" width="10.42578125" style="3" customWidth="1"/>
    <col min="5" max="7" width="9.140625" style="3"/>
    <col min="8" max="8" width="12" style="3" customWidth="1"/>
    <col min="9" max="9" width="16.4257812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 t="s">
        <v>4</v>
      </c>
      <c r="B6" s="1"/>
      <c r="C6" s="1"/>
      <c r="D6" s="1"/>
      <c r="E6" s="1"/>
      <c r="F6" s="1"/>
      <c r="G6" s="1"/>
      <c r="H6" s="1"/>
      <c r="I6" s="1"/>
    </row>
    <row r="7" spans="1:10" x14ac:dyDescent="0.25">
      <c r="A7" s="1" t="s">
        <v>1090</v>
      </c>
      <c r="B7" s="2"/>
      <c r="C7" s="2"/>
      <c r="D7" s="2"/>
      <c r="E7" s="2"/>
      <c r="F7" s="2"/>
      <c r="G7" s="2"/>
      <c r="H7" s="2"/>
      <c r="I7" s="2"/>
    </row>
    <row r="8" spans="1:10" x14ac:dyDescent="0.25">
      <c r="A8" s="2" t="s">
        <v>1091</v>
      </c>
      <c r="B8" s="1"/>
      <c r="C8" s="1"/>
      <c r="D8" s="1"/>
      <c r="E8" s="1"/>
      <c r="F8" s="2"/>
      <c r="G8" s="2"/>
      <c r="H8" s="2"/>
      <c r="I8" s="2"/>
    </row>
    <row r="9" spans="1:10" x14ac:dyDescent="0.25">
      <c r="A9" s="2" t="s">
        <v>1092</v>
      </c>
      <c r="B9" s="2"/>
      <c r="C9" s="2"/>
      <c r="D9" s="1"/>
      <c r="E9" s="2"/>
      <c r="F9" s="2"/>
      <c r="G9" s="2"/>
      <c r="H9" s="2"/>
      <c r="I9" s="2"/>
    </row>
    <row r="10" spans="1:10" x14ac:dyDescent="0.25">
      <c r="A10" s="2" t="s">
        <v>190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118"/>
    </row>
    <row r="12" spans="1:10" x14ac:dyDescent="0.25">
      <c r="A12" s="1" t="s">
        <v>9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10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5" t="s">
        <v>11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6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15</v>
      </c>
      <c r="I15" s="6" t="s">
        <v>19</v>
      </c>
    </row>
    <row r="16" spans="1:10" x14ac:dyDescent="0.25">
      <c r="A16" s="7" t="s">
        <v>20</v>
      </c>
      <c r="B16" s="7"/>
      <c r="C16" s="7" t="s">
        <v>232</v>
      </c>
      <c r="D16" s="7" t="s">
        <v>22</v>
      </c>
      <c r="E16" s="7" t="s">
        <v>23</v>
      </c>
      <c r="F16" s="7" t="s">
        <v>23</v>
      </c>
      <c r="G16" s="7" t="s">
        <v>24</v>
      </c>
      <c r="H16" s="7" t="s">
        <v>25</v>
      </c>
      <c r="I16" s="7" t="s">
        <v>26</v>
      </c>
    </row>
    <row r="17" spans="1:9" x14ac:dyDescent="0.25">
      <c r="A17" s="7"/>
      <c r="B17" s="7"/>
      <c r="C17" s="7" t="s">
        <v>27</v>
      </c>
      <c r="D17" s="7" t="s">
        <v>28</v>
      </c>
      <c r="E17" s="7"/>
      <c r="F17" s="7"/>
      <c r="G17" s="7" t="s">
        <v>29</v>
      </c>
      <c r="H17" s="7" t="s">
        <v>30</v>
      </c>
      <c r="I17" s="7" t="s">
        <v>31</v>
      </c>
    </row>
    <row r="18" spans="1:9" x14ac:dyDescent="0.25">
      <c r="A18" s="7"/>
      <c r="B18" s="7"/>
      <c r="C18" s="7" t="s">
        <v>139</v>
      </c>
      <c r="D18" s="7" t="s">
        <v>33</v>
      </c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34</v>
      </c>
    </row>
    <row r="19" spans="1:9" x14ac:dyDescent="0.25">
      <c r="A19" s="8">
        <v>1</v>
      </c>
      <c r="B19" s="9">
        <v>2</v>
      </c>
      <c r="C19" s="58">
        <v>3</v>
      </c>
      <c r="D19" s="9">
        <v>4</v>
      </c>
      <c r="E19" s="10">
        <v>5</v>
      </c>
      <c r="F19" s="9">
        <v>6</v>
      </c>
      <c r="G19" s="10">
        <v>7</v>
      </c>
      <c r="H19" s="9">
        <v>8</v>
      </c>
      <c r="I19" s="9">
        <v>9</v>
      </c>
    </row>
    <row r="20" spans="1:9" x14ac:dyDescent="0.25">
      <c r="A20" s="57">
        <v>1</v>
      </c>
      <c r="B20" s="57" t="s">
        <v>191</v>
      </c>
      <c r="C20" s="243"/>
      <c r="D20" s="25"/>
      <c r="E20" s="26" t="s">
        <v>71</v>
      </c>
      <c r="F20" s="25" t="s">
        <v>71</v>
      </c>
      <c r="G20" s="68"/>
      <c r="H20" s="25" t="s">
        <v>71</v>
      </c>
      <c r="I20" s="45" t="s">
        <v>71</v>
      </c>
    </row>
    <row r="21" spans="1:9" x14ac:dyDescent="0.25">
      <c r="A21" s="15"/>
      <c r="B21" s="15" t="s">
        <v>192</v>
      </c>
      <c r="C21" s="12">
        <v>7.56</v>
      </c>
      <c r="D21" s="17">
        <v>363.94</v>
      </c>
      <c r="E21" s="14">
        <v>30019.200000000001</v>
      </c>
      <c r="F21" s="12">
        <v>29554.61</v>
      </c>
      <c r="G21" s="14">
        <f>E21</f>
        <v>30019.200000000001</v>
      </c>
      <c r="H21" s="17">
        <f>D21+F21-G21</f>
        <v>-100.65000000000146</v>
      </c>
      <c r="I21" s="17">
        <f>H21</f>
        <v>-100.65000000000146</v>
      </c>
    </row>
    <row r="22" spans="1:9" x14ac:dyDescent="0.25">
      <c r="A22" s="7" t="s">
        <v>36</v>
      </c>
      <c r="B22" s="7" t="s">
        <v>457</v>
      </c>
      <c r="C22" s="60"/>
      <c r="D22" s="22"/>
      <c r="E22" s="37"/>
      <c r="F22" s="22"/>
      <c r="G22" s="51"/>
      <c r="H22" s="7"/>
      <c r="I22" s="22"/>
    </row>
    <row r="23" spans="1:9" x14ac:dyDescent="0.25">
      <c r="A23" s="62"/>
      <c r="B23" s="62" t="s">
        <v>458</v>
      </c>
      <c r="C23" s="74">
        <v>2.62</v>
      </c>
      <c r="D23" s="54"/>
      <c r="E23" s="79">
        <f>E21*34.5/100</f>
        <v>10356.624</v>
      </c>
      <c r="F23" s="54">
        <f>F21*34.5/100</f>
        <v>10196.34045</v>
      </c>
      <c r="G23" s="55">
        <f t="shared" ref="G23:G28" si="0">E23</f>
        <v>10356.624</v>
      </c>
      <c r="H23" s="54"/>
      <c r="I23" s="54"/>
    </row>
    <row r="24" spans="1:9" x14ac:dyDescent="0.25">
      <c r="A24" s="24" t="s">
        <v>38</v>
      </c>
      <c r="B24" s="6" t="s">
        <v>39</v>
      </c>
      <c r="C24" s="58">
        <v>1.33</v>
      </c>
      <c r="D24" s="22"/>
      <c r="E24" s="86">
        <f>E21*18/100</f>
        <v>5403.4560000000001</v>
      </c>
      <c r="F24" s="75">
        <f>F21*18/100</f>
        <v>5319.8297999999995</v>
      </c>
      <c r="G24" s="37">
        <f t="shared" si="0"/>
        <v>5403.4560000000001</v>
      </c>
      <c r="H24" s="22"/>
      <c r="I24" s="22"/>
    </row>
    <row r="25" spans="1:9" x14ac:dyDescent="0.25">
      <c r="A25" s="24" t="s">
        <v>40</v>
      </c>
      <c r="B25" s="6" t="s">
        <v>41</v>
      </c>
      <c r="C25" s="58">
        <v>1.22</v>
      </c>
      <c r="D25" s="75"/>
      <c r="E25" s="86">
        <f>E21*16/100</f>
        <v>4803.0720000000001</v>
      </c>
      <c r="F25" s="75">
        <f>F21*16/100</f>
        <v>4728.7376000000004</v>
      </c>
      <c r="G25" s="40">
        <f t="shared" si="0"/>
        <v>4803.0720000000001</v>
      </c>
      <c r="H25" s="29"/>
      <c r="I25" s="75"/>
    </row>
    <row r="26" spans="1:9" x14ac:dyDescent="0.25">
      <c r="A26" s="24" t="s">
        <v>42</v>
      </c>
      <c r="B26" s="6" t="s">
        <v>43</v>
      </c>
      <c r="C26" s="58">
        <v>2.39</v>
      </c>
      <c r="D26" s="75"/>
      <c r="E26" s="86">
        <f>E21*31.5/100</f>
        <v>9456.0480000000007</v>
      </c>
      <c r="F26" s="75">
        <f>F21*31.5/100</f>
        <v>9309.7021499999992</v>
      </c>
      <c r="G26" s="55">
        <f t="shared" si="0"/>
        <v>9456.0480000000007</v>
      </c>
      <c r="H26" s="54"/>
      <c r="I26" s="75"/>
    </row>
    <row r="27" spans="1:9" x14ac:dyDescent="0.25">
      <c r="A27" s="24" t="s">
        <v>44</v>
      </c>
      <c r="B27" s="6" t="s">
        <v>274</v>
      </c>
      <c r="C27" s="58">
        <v>0.73387000000000002</v>
      </c>
      <c r="D27" s="75"/>
      <c r="E27" s="86">
        <v>2880.55</v>
      </c>
      <c r="F27" s="75">
        <v>2543.91</v>
      </c>
      <c r="G27" s="79">
        <f t="shared" si="0"/>
        <v>2880.55</v>
      </c>
      <c r="H27" s="54">
        <f>F27-E27</f>
        <v>-336.64000000000033</v>
      </c>
      <c r="I27" s="45">
        <f>H27</f>
        <v>-336.64000000000033</v>
      </c>
    </row>
    <row r="28" spans="1:9" x14ac:dyDescent="0.25">
      <c r="A28" s="11" t="s">
        <v>48</v>
      </c>
      <c r="B28" s="11" t="s">
        <v>49</v>
      </c>
      <c r="C28" s="41" t="s">
        <v>50</v>
      </c>
      <c r="D28" s="11">
        <v>-904.18</v>
      </c>
      <c r="E28" s="41">
        <v>13441.23</v>
      </c>
      <c r="F28" s="11">
        <v>12557.88</v>
      </c>
      <c r="G28" s="41">
        <f t="shared" si="0"/>
        <v>13441.23</v>
      </c>
      <c r="H28" s="11">
        <f>D28+F28-G28</f>
        <v>-1787.5300000000007</v>
      </c>
      <c r="I28" s="11">
        <f>H28</f>
        <v>-1787.5300000000007</v>
      </c>
    </row>
    <row r="29" spans="1:9" x14ac:dyDescent="0.25">
      <c r="A29" s="25" t="s">
        <v>51</v>
      </c>
      <c r="B29" s="25" t="s">
        <v>216</v>
      </c>
      <c r="C29" s="68"/>
      <c r="D29" s="25"/>
      <c r="E29" s="68"/>
      <c r="F29" s="25"/>
      <c r="G29" s="68"/>
      <c r="H29" s="25"/>
      <c r="I29" s="25"/>
    </row>
    <row r="30" spans="1:9" x14ac:dyDescent="0.25">
      <c r="A30" s="18"/>
      <c r="B30" s="12" t="s">
        <v>217</v>
      </c>
      <c r="C30" s="14">
        <v>1.65</v>
      </c>
      <c r="D30" s="12">
        <v>17855.13</v>
      </c>
      <c r="E30" s="14">
        <v>6552.12</v>
      </c>
      <c r="F30" s="12">
        <v>6450.72</v>
      </c>
      <c r="G30" s="14">
        <f>I59</f>
        <v>8033.09</v>
      </c>
      <c r="H30" s="12">
        <f>D30+F30-G30</f>
        <v>16272.760000000002</v>
      </c>
      <c r="I30" s="12"/>
    </row>
    <row r="31" spans="1:9" x14ac:dyDescent="0.25">
      <c r="A31" s="11" t="s">
        <v>55</v>
      </c>
      <c r="B31" s="11" t="s">
        <v>909</v>
      </c>
      <c r="C31" s="41"/>
      <c r="D31" s="11">
        <v>20232.900000000001</v>
      </c>
      <c r="E31" s="41">
        <v>0</v>
      </c>
      <c r="F31" s="11">
        <f>F32</f>
        <v>0</v>
      </c>
      <c r="G31" s="41">
        <v>0</v>
      </c>
      <c r="H31" s="11">
        <f>D31+F31-G31</f>
        <v>20232.900000000001</v>
      </c>
      <c r="I31" s="11"/>
    </row>
    <row r="32" spans="1:9" x14ac:dyDescent="0.25">
      <c r="A32" s="9"/>
      <c r="B32" s="9" t="s">
        <v>53</v>
      </c>
      <c r="C32" s="10"/>
      <c r="D32" s="11" t="s">
        <v>71</v>
      </c>
      <c r="E32" s="41">
        <v>0</v>
      </c>
      <c r="F32" s="11">
        <v>0</v>
      </c>
      <c r="G32" s="41">
        <v>0</v>
      </c>
      <c r="H32" s="11"/>
      <c r="I32" s="9"/>
    </row>
    <row r="33" spans="1:9" x14ac:dyDescent="0.25">
      <c r="A33" s="60"/>
      <c r="B33" s="60"/>
      <c r="C33" s="60"/>
      <c r="D33" s="5"/>
      <c r="E33" s="5"/>
      <c r="F33" s="5"/>
      <c r="G33" s="5"/>
      <c r="H33" s="5"/>
      <c r="I33" s="60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1"/>
      <c r="B36" s="2"/>
      <c r="C36" s="2"/>
      <c r="E36" s="2"/>
      <c r="F36" s="2"/>
      <c r="G36" s="2"/>
      <c r="H36" s="2"/>
      <c r="I36" s="2"/>
    </row>
    <row r="37" spans="1:9" x14ac:dyDescent="0.25">
      <c r="A37" s="5" t="s">
        <v>69</v>
      </c>
      <c r="B37" s="2"/>
      <c r="C37" s="2"/>
      <c r="E37" s="2"/>
      <c r="F37" s="2"/>
      <c r="G37" s="2"/>
      <c r="H37" s="2"/>
      <c r="I37" s="2"/>
    </row>
    <row r="38" spans="1:9" x14ac:dyDescent="0.25">
      <c r="A38" s="1" t="s">
        <v>70</v>
      </c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410</v>
      </c>
      <c r="H39" s="58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60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60"/>
      <c r="I41" s="7" t="s">
        <v>239</v>
      </c>
    </row>
    <row r="42" spans="1:9" x14ac:dyDescent="0.25">
      <c r="A42" s="6"/>
      <c r="B42" s="6"/>
      <c r="C42" s="68"/>
      <c r="D42" s="6"/>
      <c r="E42" s="6"/>
      <c r="F42" s="48"/>
      <c r="G42" s="9"/>
      <c r="H42" s="6"/>
      <c r="I42" s="9"/>
    </row>
    <row r="43" spans="1:9" x14ac:dyDescent="0.25">
      <c r="A43" s="9">
        <v>1</v>
      </c>
      <c r="B43" s="9" t="s">
        <v>90</v>
      </c>
      <c r="C43" s="41" t="s">
        <v>91</v>
      </c>
      <c r="D43" s="9">
        <v>-1585.86</v>
      </c>
      <c r="E43" s="214">
        <v>33513.129999999997</v>
      </c>
      <c r="F43" s="9">
        <v>32530.83</v>
      </c>
      <c r="G43" s="52">
        <f>E43</f>
        <v>33513.129999999997</v>
      </c>
      <c r="H43" s="9">
        <f>D43+F43-G43</f>
        <v>-2568.1599999999962</v>
      </c>
      <c r="I43" s="53">
        <f>H43</f>
        <v>-2568.1599999999962</v>
      </c>
    </row>
    <row r="44" spans="1:9" x14ac:dyDescent="0.25">
      <c r="A44" s="9"/>
      <c r="B44" s="9" t="s">
        <v>92</v>
      </c>
      <c r="C44" s="41" t="s">
        <v>93</v>
      </c>
      <c r="D44" s="9"/>
      <c r="E44" s="66"/>
      <c r="F44" s="62"/>
      <c r="G44" s="51"/>
      <c r="H44" s="62"/>
      <c r="I44" s="61"/>
    </row>
    <row r="45" spans="1:9" x14ac:dyDescent="0.25">
      <c r="A45" s="9">
        <v>2</v>
      </c>
      <c r="B45" s="9" t="s">
        <v>98</v>
      </c>
      <c r="C45" s="41" t="s">
        <v>99</v>
      </c>
      <c r="D45" s="9">
        <v>-27228.6</v>
      </c>
      <c r="E45" s="10">
        <v>116130.49</v>
      </c>
      <c r="F45" s="9">
        <v>113806.84</v>
      </c>
      <c r="G45" s="8">
        <f>E45</f>
        <v>116130.49</v>
      </c>
      <c r="H45" s="62">
        <f>D45+F45-G45</f>
        <v>-29552.250000000015</v>
      </c>
      <c r="I45" s="50">
        <f>H45</f>
        <v>-29552.250000000015</v>
      </c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 t="s">
        <v>71</v>
      </c>
      <c r="C48" s="2"/>
      <c r="D48" s="2"/>
      <c r="E48" s="2"/>
      <c r="F48" s="2" t="s">
        <v>71</v>
      </c>
      <c r="G48" s="2"/>
      <c r="H48" s="2"/>
      <c r="I48" s="2"/>
    </row>
    <row r="49" spans="1:9" x14ac:dyDescent="0.25">
      <c r="A49" s="1" t="s">
        <v>1093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1094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222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224</v>
      </c>
      <c r="G52" s="60"/>
      <c r="H52" s="61"/>
      <c r="I52" s="7" t="s">
        <v>108</v>
      </c>
    </row>
    <row r="53" spans="1:9" x14ac:dyDescent="0.25">
      <c r="A53" s="51"/>
      <c r="B53" s="7"/>
      <c r="C53" s="60"/>
      <c r="D53" s="60"/>
      <c r="E53" s="60"/>
      <c r="F53" s="51" t="s">
        <v>257</v>
      </c>
      <c r="G53" s="60"/>
      <c r="H53" s="61"/>
      <c r="I53" s="7"/>
    </row>
    <row r="54" spans="1:9" x14ac:dyDescent="0.25">
      <c r="A54" s="51"/>
      <c r="B54" s="7"/>
      <c r="C54" s="60"/>
      <c r="D54" s="60"/>
      <c r="E54" s="60"/>
      <c r="F54" s="51" t="s">
        <v>1095</v>
      </c>
      <c r="G54" s="60"/>
      <c r="H54" s="61"/>
      <c r="I54" s="7"/>
    </row>
    <row r="55" spans="1:9" x14ac:dyDescent="0.25">
      <c r="A55" s="52"/>
      <c r="B55" s="62"/>
      <c r="C55" s="60"/>
      <c r="D55" s="60"/>
      <c r="E55" s="60"/>
      <c r="F55" s="51" t="s">
        <v>71</v>
      </c>
      <c r="G55" s="60"/>
      <c r="H55" s="61"/>
      <c r="I55" s="62"/>
    </row>
    <row r="56" spans="1:9" x14ac:dyDescent="0.25">
      <c r="A56" s="67" t="s">
        <v>110</v>
      </c>
      <c r="B56" s="18"/>
      <c r="C56" s="68" t="s">
        <v>111</v>
      </c>
      <c r="D56" s="68"/>
      <c r="E56" s="68"/>
      <c r="F56" s="48"/>
      <c r="G56" s="58"/>
      <c r="H56" s="49"/>
      <c r="I56" s="6"/>
    </row>
    <row r="57" spans="1:9" x14ac:dyDescent="0.25">
      <c r="A57" s="69"/>
      <c r="B57" s="7"/>
      <c r="C57" s="60" t="s">
        <v>112</v>
      </c>
      <c r="D57" s="60"/>
      <c r="E57" s="60"/>
      <c r="F57" s="51" t="s">
        <v>71</v>
      </c>
      <c r="G57" s="60"/>
      <c r="H57" s="61" t="s">
        <v>71</v>
      </c>
      <c r="I57" s="7" t="s">
        <v>71</v>
      </c>
    </row>
    <row r="58" spans="1:9" x14ac:dyDescent="0.25">
      <c r="A58" s="69" t="s">
        <v>113</v>
      </c>
      <c r="B58" s="70">
        <v>42803</v>
      </c>
      <c r="C58" s="60" t="s">
        <v>1096</v>
      </c>
      <c r="D58" s="60"/>
      <c r="E58" s="60"/>
      <c r="F58" s="51"/>
      <c r="G58" s="37">
        <f>I58/330.9</f>
        <v>24.276488365064978</v>
      </c>
      <c r="H58" s="61"/>
      <c r="I58" s="7">
        <v>8033.09</v>
      </c>
    </row>
    <row r="59" spans="1:9" x14ac:dyDescent="0.25">
      <c r="A59" s="69"/>
      <c r="B59" s="7"/>
      <c r="C59" s="5" t="s">
        <v>118</v>
      </c>
      <c r="D59" s="5"/>
      <c r="E59" s="5"/>
      <c r="F59" s="59"/>
      <c r="G59" s="20">
        <f>SUM(G58:G58)</f>
        <v>24.276488365064978</v>
      </c>
      <c r="H59" s="71"/>
      <c r="I59" s="18">
        <f>SUM(I58:I58)</f>
        <v>8033.09</v>
      </c>
    </row>
    <row r="60" spans="1:9" x14ac:dyDescent="0.25">
      <c r="A60" s="6"/>
      <c r="B60" s="6"/>
      <c r="C60" s="48"/>
      <c r="D60" s="58"/>
      <c r="E60" s="49"/>
      <c r="F60" s="48"/>
      <c r="G60" s="58"/>
      <c r="H60" s="49"/>
      <c r="I60" s="6"/>
    </row>
    <row r="61" spans="1:9" x14ac:dyDescent="0.25">
      <c r="A61" s="6" t="s">
        <v>48</v>
      </c>
      <c r="B61" s="25" t="s">
        <v>119</v>
      </c>
      <c r="C61" s="57" t="s">
        <v>120</v>
      </c>
      <c r="D61" s="58"/>
      <c r="E61" s="49"/>
      <c r="F61" s="48" t="s">
        <v>121</v>
      </c>
      <c r="G61" s="58"/>
      <c r="H61" s="49"/>
      <c r="I61" s="6"/>
    </row>
    <row r="62" spans="1:9" x14ac:dyDescent="0.25">
      <c r="A62" s="73"/>
      <c r="B62" s="62" t="s">
        <v>119</v>
      </c>
      <c r="C62" s="52" t="s">
        <v>118</v>
      </c>
      <c r="D62" s="74"/>
      <c r="E62" s="53"/>
      <c r="F62" s="52" t="s">
        <v>71</v>
      </c>
      <c r="G62" s="74">
        <v>0</v>
      </c>
      <c r="H62" s="53"/>
      <c r="I62" s="62">
        <v>0</v>
      </c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 t="s">
        <v>122</v>
      </c>
      <c r="B64" s="2"/>
      <c r="C64" s="2" t="s">
        <v>1097</v>
      </c>
      <c r="D64" s="2"/>
      <c r="E64" s="2"/>
      <c r="G64" s="2"/>
      <c r="H64" s="2"/>
      <c r="I64" s="2"/>
    </row>
    <row r="65" spans="1:10" x14ac:dyDescent="0.25">
      <c r="A65" s="2"/>
      <c r="B65" s="2"/>
      <c r="C65" s="2" t="s">
        <v>71</v>
      </c>
      <c r="D65" s="2"/>
      <c r="E65" s="2"/>
      <c r="F65" s="2"/>
      <c r="G65" s="2"/>
      <c r="H65" s="2"/>
      <c r="I65" s="2"/>
    </row>
    <row r="67" spans="1:10" x14ac:dyDescent="0.25">
      <c r="A67" s="2"/>
      <c r="B67" s="2" t="s">
        <v>71</v>
      </c>
      <c r="C67" s="2"/>
      <c r="D67" s="2"/>
      <c r="E67" s="2"/>
      <c r="F67" s="2" t="s">
        <v>71</v>
      </c>
      <c r="G67" s="2"/>
      <c r="H67" s="2"/>
      <c r="I67" s="2"/>
    </row>
    <row r="68" spans="1:10" x14ac:dyDescent="0.25">
      <c r="A68" s="5"/>
      <c r="B68" s="60"/>
      <c r="C68" s="60"/>
      <c r="D68" s="60"/>
      <c r="E68" s="60"/>
      <c r="F68" s="60"/>
      <c r="G68" s="60"/>
      <c r="H68" s="60"/>
      <c r="I68" s="60"/>
      <c r="J68" s="118"/>
    </row>
    <row r="69" spans="1:10" x14ac:dyDescent="0.25">
      <c r="A69" s="5"/>
      <c r="B69" s="60"/>
      <c r="C69" s="60"/>
      <c r="D69" s="60"/>
      <c r="E69" s="60"/>
      <c r="F69" s="60"/>
      <c r="G69" s="60"/>
      <c r="H69" s="60"/>
      <c r="I69" s="60"/>
      <c r="J69" s="118"/>
    </row>
    <row r="70" spans="1:10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118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49" zoomScale="110" zoomScaleNormal="110" workbookViewId="0">
      <selection activeCell="I61" sqref="I61"/>
    </sheetView>
  </sheetViews>
  <sheetFormatPr defaultRowHeight="15" x14ac:dyDescent="0.25"/>
  <cols>
    <col min="1" max="1" width="4.140625" style="3" customWidth="1"/>
    <col min="2" max="2" width="33.85546875" style="3" customWidth="1"/>
    <col min="3" max="3" width="12.85546875" style="3" customWidth="1"/>
    <col min="4" max="4" width="13.7109375" style="3" customWidth="1"/>
    <col min="5" max="5" width="10.85546875" style="3" customWidth="1"/>
    <col min="6" max="6" width="10.140625" style="3" customWidth="1"/>
    <col min="7" max="8" width="11.28515625" style="3" customWidth="1"/>
    <col min="9" max="9" width="21.4257812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1098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1099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1100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66</v>
      </c>
      <c r="I15" s="7" t="s">
        <v>549</v>
      </c>
    </row>
    <row r="16" spans="1:9" x14ac:dyDescent="0.25">
      <c r="A16" s="62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1101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68"/>
      <c r="E18" s="45" t="s">
        <v>71</v>
      </c>
      <c r="F18" s="25" t="s">
        <v>71</v>
      </c>
      <c r="G18" s="57"/>
      <c r="H18" s="25" t="s">
        <v>71</v>
      </c>
      <c r="I18" s="45" t="s">
        <v>71</v>
      </c>
    </row>
    <row r="19" spans="1:9" x14ac:dyDescent="0.25">
      <c r="A19" s="15"/>
      <c r="B19" s="12" t="s">
        <v>192</v>
      </c>
      <c r="C19" s="12">
        <v>7.56</v>
      </c>
      <c r="D19" s="17">
        <v>-30497.62</v>
      </c>
      <c r="E19" s="12">
        <v>65863.600000000006</v>
      </c>
      <c r="F19" s="12">
        <v>61331.51</v>
      </c>
      <c r="G19" s="15">
        <f>E19</f>
        <v>65863.600000000006</v>
      </c>
      <c r="H19" s="17">
        <f>D19+F19-G19</f>
        <v>-35029.710000000006</v>
      </c>
      <c r="I19" s="17">
        <f>H19</f>
        <v>-35029.710000000006</v>
      </c>
    </row>
    <row r="20" spans="1:9" x14ac:dyDescent="0.25">
      <c r="A20" s="7" t="s">
        <v>36</v>
      </c>
      <c r="B20" s="7" t="s">
        <v>457</v>
      </c>
      <c r="C20" s="7"/>
      <c r="D20" s="22"/>
      <c r="E20" s="60"/>
      <c r="F20" s="22"/>
      <c r="G20" s="51"/>
      <c r="H20" s="7"/>
      <c r="I20" s="22"/>
    </row>
    <row r="21" spans="1:9" x14ac:dyDescent="0.25">
      <c r="A21" s="62"/>
      <c r="B21" s="62" t="s">
        <v>458</v>
      </c>
      <c r="C21" s="62">
        <v>2.62</v>
      </c>
      <c r="D21" s="206"/>
      <c r="E21" s="205">
        <f>E19*34.5/100</f>
        <v>22722.942000000003</v>
      </c>
      <c r="F21" s="206">
        <f>F19*34.5/100</f>
        <v>21159.37095</v>
      </c>
      <c r="G21" s="244">
        <f t="shared" ref="G21:G26" si="0">E21</f>
        <v>22722.942000000003</v>
      </c>
      <c r="H21" s="206"/>
      <c r="I21" s="206"/>
    </row>
    <row r="22" spans="1:9" x14ac:dyDescent="0.25">
      <c r="A22" s="24" t="s">
        <v>38</v>
      </c>
      <c r="B22" s="6" t="s">
        <v>39</v>
      </c>
      <c r="C22" s="6">
        <v>1.33</v>
      </c>
      <c r="D22" s="245"/>
      <c r="E22" s="207">
        <f>E19*18/100</f>
        <v>11855.448</v>
      </c>
      <c r="F22" s="245">
        <f>F19*18/100</f>
        <v>11039.6718</v>
      </c>
      <c r="G22" s="246">
        <f t="shared" si="0"/>
        <v>11855.448</v>
      </c>
      <c r="H22" s="245"/>
      <c r="I22" s="245"/>
    </row>
    <row r="23" spans="1:9" x14ac:dyDescent="0.25">
      <c r="A23" s="24" t="s">
        <v>40</v>
      </c>
      <c r="B23" s="6" t="s">
        <v>41</v>
      </c>
      <c r="C23" s="6">
        <v>1.22</v>
      </c>
      <c r="D23" s="245"/>
      <c r="E23" s="207">
        <f>E19*16/100</f>
        <v>10538.176000000001</v>
      </c>
      <c r="F23" s="245">
        <f>F19*16/100</f>
        <v>9813.0416000000005</v>
      </c>
      <c r="G23" s="246">
        <f t="shared" si="0"/>
        <v>10538.176000000001</v>
      </c>
      <c r="H23" s="245"/>
      <c r="I23" s="245"/>
    </row>
    <row r="24" spans="1:9" x14ac:dyDescent="0.25">
      <c r="A24" s="24" t="s">
        <v>42</v>
      </c>
      <c r="B24" s="6" t="s">
        <v>43</v>
      </c>
      <c r="C24" s="6">
        <v>2.39</v>
      </c>
      <c r="D24" s="245"/>
      <c r="E24" s="207">
        <f>E19*31.5/100</f>
        <v>20747.034</v>
      </c>
      <c r="F24" s="245">
        <f>F19*31.5/100</f>
        <v>19319.425650000001</v>
      </c>
      <c r="G24" s="246">
        <f t="shared" si="0"/>
        <v>20747.034</v>
      </c>
      <c r="H24" s="245"/>
      <c r="I24" s="245"/>
    </row>
    <row r="25" spans="1:9" x14ac:dyDescent="0.25">
      <c r="A25" s="24" t="s">
        <v>44</v>
      </c>
      <c r="B25" s="6" t="s">
        <v>47</v>
      </c>
      <c r="C25" s="58">
        <v>1.6932799999999999</v>
      </c>
      <c r="D25" s="245">
        <v>-247.04</v>
      </c>
      <c r="E25" s="58">
        <v>14985.4</v>
      </c>
      <c r="F25" s="6">
        <v>12360.36</v>
      </c>
      <c r="G25" s="9">
        <f t="shared" si="0"/>
        <v>14985.4</v>
      </c>
      <c r="H25" s="6">
        <f>D25+F25-G25</f>
        <v>-2872.08</v>
      </c>
      <c r="I25" s="6">
        <f>H25</f>
        <v>-2872.08</v>
      </c>
    </row>
    <row r="26" spans="1:9" x14ac:dyDescent="0.25">
      <c r="A26" s="25" t="s">
        <v>48</v>
      </c>
      <c r="B26" s="11" t="s">
        <v>49</v>
      </c>
      <c r="C26" s="41" t="s">
        <v>50</v>
      </c>
      <c r="D26" s="247">
        <v>-6842.69</v>
      </c>
      <c r="E26" s="248">
        <v>29425.11</v>
      </c>
      <c r="F26" s="247">
        <v>28015.37</v>
      </c>
      <c r="G26" s="212">
        <f t="shared" si="0"/>
        <v>29425.11</v>
      </c>
      <c r="H26" s="247">
        <f>D26+F26-G26</f>
        <v>-8252.43</v>
      </c>
      <c r="I26" s="247">
        <f>H26</f>
        <v>-8252.43</v>
      </c>
    </row>
    <row r="27" spans="1:9" x14ac:dyDescent="0.25">
      <c r="A27" s="25" t="s">
        <v>51</v>
      </c>
      <c r="B27" s="72" t="s">
        <v>216</v>
      </c>
      <c r="C27" s="68"/>
      <c r="D27" s="45"/>
      <c r="E27" s="249"/>
      <c r="F27" s="250"/>
      <c r="G27" s="250"/>
      <c r="H27" s="250"/>
      <c r="I27" s="45"/>
    </row>
    <row r="28" spans="1:9" x14ac:dyDescent="0.25">
      <c r="A28" s="12"/>
      <c r="B28" s="85" t="s">
        <v>217</v>
      </c>
      <c r="C28" s="14">
        <v>1.65</v>
      </c>
      <c r="D28" s="17">
        <v>21458.6</v>
      </c>
      <c r="E28" s="14">
        <v>14343.48</v>
      </c>
      <c r="F28" s="12">
        <v>14993</v>
      </c>
      <c r="G28" s="12">
        <f>I61</f>
        <v>31323.49</v>
      </c>
      <c r="H28" s="12">
        <f>D28+F28-G28</f>
        <v>5128.1099999999969</v>
      </c>
      <c r="I28" s="17"/>
    </row>
    <row r="29" spans="1:9" x14ac:dyDescent="0.25">
      <c r="A29" s="12"/>
      <c r="B29" s="9" t="s">
        <v>53</v>
      </c>
      <c r="C29" s="14"/>
      <c r="D29" s="17"/>
      <c r="E29" s="14"/>
      <c r="F29" s="12"/>
      <c r="G29" s="15"/>
      <c r="H29" s="12"/>
      <c r="I29" s="17"/>
    </row>
    <row r="30" spans="1:9" x14ac:dyDescent="0.25">
      <c r="A30" s="12"/>
      <c r="B30" s="11"/>
      <c r="C30" s="14"/>
      <c r="D30" s="17"/>
      <c r="E30" s="14"/>
      <c r="F30" s="12"/>
      <c r="G30" s="15"/>
      <c r="H30" s="12"/>
      <c r="I30" s="17"/>
    </row>
    <row r="31" spans="1:9" x14ac:dyDescent="0.25">
      <c r="A31" s="12" t="s">
        <v>55</v>
      </c>
      <c r="B31" s="12" t="s">
        <v>1102</v>
      </c>
      <c r="C31" s="14">
        <v>0</v>
      </c>
      <c r="D31" s="11">
        <v>0</v>
      </c>
      <c r="E31" s="11">
        <v>0</v>
      </c>
      <c r="F31" s="11">
        <f>F32+F33</f>
        <v>5.03</v>
      </c>
      <c r="G31" s="11">
        <f>G32</f>
        <v>0</v>
      </c>
      <c r="H31" s="11">
        <f>D31+F31-G31</f>
        <v>5.03</v>
      </c>
      <c r="I31" s="43"/>
    </row>
    <row r="32" spans="1:9" x14ac:dyDescent="0.25">
      <c r="A32" s="9"/>
      <c r="B32" s="9" t="s">
        <v>53</v>
      </c>
      <c r="C32" s="9"/>
      <c r="D32" s="9"/>
      <c r="E32" s="9">
        <v>0</v>
      </c>
      <c r="F32" s="9">
        <v>5.03</v>
      </c>
      <c r="G32" s="9">
        <f>I65</f>
        <v>0</v>
      </c>
      <c r="H32" s="9">
        <v>0</v>
      </c>
      <c r="I32" s="29"/>
    </row>
    <row r="33" spans="1:9" x14ac:dyDescent="0.25">
      <c r="A33" s="9"/>
      <c r="B33" s="11"/>
      <c r="C33" s="10"/>
      <c r="D33" s="9"/>
      <c r="E33" s="10"/>
      <c r="F33" s="9">
        <v>0</v>
      </c>
      <c r="G33" s="10"/>
      <c r="H33" s="9"/>
      <c r="I33" s="35"/>
    </row>
    <row r="34" spans="1:9" x14ac:dyDescent="0.25">
      <c r="A34" s="1" t="s">
        <v>58</v>
      </c>
      <c r="B34" s="2"/>
      <c r="C34" s="2"/>
      <c r="E34" s="2"/>
      <c r="F34" s="2"/>
      <c r="G34" s="60"/>
      <c r="H34" s="2"/>
      <c r="I34" s="2"/>
    </row>
    <row r="35" spans="1:9" x14ac:dyDescent="0.25">
      <c r="A35" s="6" t="s">
        <v>59</v>
      </c>
      <c r="B35" s="58" t="s">
        <v>60</v>
      </c>
      <c r="C35" s="6" t="s">
        <v>61</v>
      </c>
      <c r="D35" s="6" t="s">
        <v>62</v>
      </c>
      <c r="E35" s="6" t="s">
        <v>507</v>
      </c>
      <c r="F35" s="49" t="s">
        <v>61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66</v>
      </c>
      <c r="D36" s="62" t="s">
        <v>23</v>
      </c>
      <c r="E36" s="213">
        <v>0.15</v>
      </c>
      <c r="F36" s="53" t="s">
        <v>30</v>
      </c>
      <c r="G36" s="62"/>
      <c r="H36" s="74"/>
      <c r="I36" s="53"/>
    </row>
    <row r="37" spans="1:9" x14ac:dyDescent="0.25">
      <c r="A37" s="62"/>
      <c r="B37" s="74" t="s">
        <v>68</v>
      </c>
      <c r="C37" s="62">
        <v>3060</v>
      </c>
      <c r="D37" s="62">
        <v>3060</v>
      </c>
      <c r="E37" s="62">
        <f>D37*15/100</f>
        <v>459</v>
      </c>
      <c r="F37" s="53">
        <f>D37-E37+C37</f>
        <v>5661</v>
      </c>
      <c r="G37" s="62"/>
      <c r="H37" s="74">
        <f>F37-G37</f>
        <v>5661</v>
      </c>
      <c r="I37" s="53"/>
    </row>
    <row r="38" spans="1:9" x14ac:dyDescent="0.25">
      <c r="A38" s="2"/>
      <c r="B38" s="2"/>
      <c r="C38" s="2"/>
      <c r="E38" s="2"/>
      <c r="F38" s="2"/>
      <c r="G38" s="2"/>
      <c r="H38" s="2"/>
      <c r="I38" s="2"/>
    </row>
    <row r="39" spans="1:9" x14ac:dyDescent="0.25">
      <c r="A39" s="5" t="s">
        <v>69</v>
      </c>
      <c r="B39" s="2"/>
      <c r="C39" s="2"/>
      <c r="E39" s="2"/>
      <c r="F39" s="2"/>
      <c r="G39" s="2"/>
      <c r="H39" s="2"/>
      <c r="I39" s="2"/>
    </row>
    <row r="40" spans="1:9" x14ac:dyDescent="0.25">
      <c r="A40" s="1" t="s">
        <v>70</v>
      </c>
      <c r="B40" s="2"/>
      <c r="C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410</v>
      </c>
      <c r="H42" s="58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60" t="s">
        <v>85</v>
      </c>
      <c r="I43" s="7" t="s">
        <v>86</v>
      </c>
    </row>
    <row r="44" spans="1:9" x14ac:dyDescent="0.25">
      <c r="A44" s="7"/>
      <c r="B44" s="51"/>
      <c r="C44" s="7"/>
      <c r="D44" s="60"/>
      <c r="E44" s="7"/>
      <c r="F44" s="60" t="s">
        <v>87</v>
      </c>
      <c r="G44" s="7" t="s">
        <v>88</v>
      </c>
      <c r="H44" s="60"/>
      <c r="I44" s="7" t="s">
        <v>30</v>
      </c>
    </row>
    <row r="45" spans="1:9" x14ac:dyDescent="0.25">
      <c r="A45" s="7"/>
      <c r="B45" s="51"/>
      <c r="C45" s="7"/>
      <c r="D45" s="60"/>
      <c r="E45" s="7"/>
      <c r="F45" s="60"/>
      <c r="G45" s="111"/>
      <c r="H45" s="60"/>
      <c r="I45" s="7"/>
    </row>
    <row r="46" spans="1:9" x14ac:dyDescent="0.25">
      <c r="A46" s="9">
        <v>1</v>
      </c>
      <c r="B46" s="9" t="s">
        <v>90</v>
      </c>
      <c r="C46" s="41" t="s">
        <v>91</v>
      </c>
      <c r="D46" s="9">
        <v>-48494.93</v>
      </c>
      <c r="E46" s="65">
        <v>127737.66</v>
      </c>
      <c r="F46" s="9">
        <v>120347.69</v>
      </c>
      <c r="G46" s="65">
        <f>E46</f>
        <v>127737.66</v>
      </c>
      <c r="H46" s="9">
        <f>D46+F46-G46</f>
        <v>-55884.899999999994</v>
      </c>
      <c r="I46" s="9">
        <f>H46</f>
        <v>-55884.899999999994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9"/>
      <c r="G47" s="65"/>
      <c r="H47" s="9"/>
      <c r="I47" s="9"/>
    </row>
    <row r="48" spans="1:9" x14ac:dyDescent="0.25">
      <c r="A48" s="9">
        <v>2</v>
      </c>
      <c r="B48" s="9" t="s">
        <v>98</v>
      </c>
      <c r="C48" s="41" t="s">
        <v>203</v>
      </c>
      <c r="D48" s="9">
        <v>-201275.1</v>
      </c>
      <c r="E48" s="10">
        <v>254230.9</v>
      </c>
      <c r="F48" s="9">
        <v>245607.06</v>
      </c>
      <c r="G48" s="10">
        <f>E48</f>
        <v>254230.9</v>
      </c>
      <c r="H48" s="9">
        <f>D48+F48-G48</f>
        <v>-209898.94</v>
      </c>
      <c r="I48" s="9">
        <f>H48</f>
        <v>-209898.94</v>
      </c>
    </row>
    <row r="49" spans="1:9" x14ac:dyDescent="0.25">
      <c r="A49" s="2"/>
      <c r="B49" s="2" t="s">
        <v>71</v>
      </c>
      <c r="C49" s="2"/>
      <c r="D49" s="2"/>
      <c r="E49" s="2"/>
      <c r="F49" s="2" t="s">
        <v>71</v>
      </c>
      <c r="G49" s="2"/>
      <c r="H49" s="2"/>
      <c r="I49" s="2"/>
    </row>
    <row r="50" spans="1:9" x14ac:dyDescent="0.25">
      <c r="A50" s="1" t="s">
        <v>1103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5" t="s">
        <v>101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8" t="s">
        <v>12</v>
      </c>
      <c r="B52" s="6" t="s">
        <v>102</v>
      </c>
      <c r="C52" s="58" t="s">
        <v>103</v>
      </c>
      <c r="D52" s="58"/>
      <c r="E52" s="58"/>
      <c r="F52" s="48" t="s">
        <v>104</v>
      </c>
      <c r="G52" s="58"/>
      <c r="H52" s="49"/>
      <c r="I52" s="6" t="s">
        <v>105</v>
      </c>
    </row>
    <row r="53" spans="1:9" x14ac:dyDescent="0.25">
      <c r="A53" s="51" t="s">
        <v>106</v>
      </c>
      <c r="B53" s="7"/>
      <c r="C53" s="60"/>
      <c r="D53" s="60"/>
      <c r="E53" s="60"/>
      <c r="F53" s="51" t="s">
        <v>1104</v>
      </c>
      <c r="G53" s="60"/>
      <c r="H53" s="61"/>
      <c r="I53" s="7" t="s">
        <v>108</v>
      </c>
    </row>
    <row r="54" spans="1:9" x14ac:dyDescent="0.25">
      <c r="A54" s="51"/>
      <c r="B54" s="7"/>
      <c r="C54" s="60"/>
      <c r="D54" s="60"/>
      <c r="E54" s="60"/>
      <c r="F54" s="51" t="s">
        <v>1105</v>
      </c>
      <c r="G54" s="60"/>
      <c r="H54" s="61"/>
      <c r="I54" s="7"/>
    </row>
    <row r="55" spans="1:9" x14ac:dyDescent="0.25">
      <c r="A55" s="51"/>
      <c r="B55" s="7"/>
      <c r="C55" s="60"/>
      <c r="D55" s="60"/>
      <c r="E55" s="60"/>
      <c r="F55" s="51" t="s">
        <v>568</v>
      </c>
      <c r="G55" s="60"/>
      <c r="H55" s="61"/>
      <c r="I55" s="7"/>
    </row>
    <row r="56" spans="1:9" x14ac:dyDescent="0.25">
      <c r="A56" s="52"/>
      <c r="B56" s="62"/>
      <c r="C56" s="60"/>
      <c r="D56" s="60"/>
      <c r="E56" s="60"/>
      <c r="F56" s="51"/>
      <c r="G56" s="60"/>
      <c r="H56" s="61"/>
      <c r="I56" s="62"/>
    </row>
    <row r="57" spans="1:9" x14ac:dyDescent="0.25">
      <c r="A57" s="67" t="s">
        <v>110</v>
      </c>
      <c r="B57" s="18"/>
      <c r="C57" s="68" t="s">
        <v>111</v>
      </c>
      <c r="D57" s="68"/>
      <c r="E57" s="68"/>
      <c r="F57" s="48"/>
      <c r="G57" s="58"/>
      <c r="H57" s="49"/>
      <c r="I57" s="6"/>
    </row>
    <row r="58" spans="1:9" x14ac:dyDescent="0.25">
      <c r="A58" s="69"/>
      <c r="B58" s="7"/>
      <c r="C58" s="60" t="s">
        <v>112</v>
      </c>
      <c r="D58" s="60"/>
      <c r="E58" s="60"/>
      <c r="F58" s="51" t="s">
        <v>71</v>
      </c>
      <c r="G58" s="37"/>
      <c r="H58" s="61" t="s">
        <v>71</v>
      </c>
      <c r="I58" s="7" t="s">
        <v>71</v>
      </c>
    </row>
    <row r="59" spans="1:9" x14ac:dyDescent="0.25">
      <c r="A59" s="69" t="s">
        <v>113</v>
      </c>
      <c r="B59" s="70" t="s">
        <v>448</v>
      </c>
      <c r="C59" s="69" t="s">
        <v>1106</v>
      </c>
      <c r="D59" s="60"/>
      <c r="E59" s="60"/>
      <c r="F59" s="51"/>
      <c r="G59" s="37">
        <f>I59/724.4</f>
        <v>43.240599116510218</v>
      </c>
      <c r="H59" s="61"/>
      <c r="I59" s="7">
        <v>31323.49</v>
      </c>
    </row>
    <row r="60" spans="1:9" x14ac:dyDescent="0.25">
      <c r="A60" s="69" t="s">
        <v>71</v>
      </c>
      <c r="B60" s="70"/>
      <c r="C60" s="60"/>
      <c r="D60" s="60"/>
      <c r="E60" s="60"/>
      <c r="F60" s="51"/>
      <c r="G60" s="37"/>
      <c r="H60" s="61"/>
      <c r="I60" s="7"/>
    </row>
    <row r="61" spans="1:9" x14ac:dyDescent="0.25">
      <c r="A61" s="69" t="s">
        <v>71</v>
      </c>
      <c r="B61" s="70" t="s">
        <v>71</v>
      </c>
      <c r="C61" s="5" t="s">
        <v>118</v>
      </c>
      <c r="D61" s="5"/>
      <c r="E61" s="5"/>
      <c r="F61" s="59"/>
      <c r="G61" s="20">
        <f>SUM(G59:G60)</f>
        <v>43.240599116510218</v>
      </c>
      <c r="H61" s="71"/>
      <c r="I61" s="18">
        <f>SUM(I59:I60)</f>
        <v>31323.49</v>
      </c>
    </row>
    <row r="62" spans="1:9" x14ac:dyDescent="0.25">
      <c r="A62" s="9"/>
      <c r="B62" s="6"/>
      <c r="C62" s="48"/>
      <c r="D62" s="58"/>
      <c r="E62" s="49"/>
      <c r="F62" s="48"/>
      <c r="G62" s="39"/>
      <c r="H62" s="49"/>
      <c r="I62" s="6"/>
    </row>
    <row r="63" spans="1:9" x14ac:dyDescent="0.25">
      <c r="A63" s="25" t="s">
        <v>48</v>
      </c>
      <c r="B63" s="25" t="s">
        <v>119</v>
      </c>
      <c r="C63" s="57" t="s">
        <v>120</v>
      </c>
      <c r="D63" s="58"/>
      <c r="E63" s="49"/>
      <c r="F63" s="48" t="s">
        <v>121</v>
      </c>
      <c r="G63" s="37"/>
      <c r="H63" s="49"/>
      <c r="I63" s="6"/>
    </row>
    <row r="64" spans="1:9" x14ac:dyDescent="0.25">
      <c r="A64" s="218"/>
      <c r="B64" s="140"/>
      <c r="C64" s="59"/>
      <c r="D64" s="60"/>
      <c r="E64" s="61"/>
      <c r="F64" s="51"/>
      <c r="G64" s="37"/>
      <c r="H64" s="61"/>
      <c r="I64" s="7"/>
    </row>
    <row r="65" spans="1:9" x14ac:dyDescent="0.25">
      <c r="A65" s="73"/>
      <c r="B65" s="62" t="s">
        <v>119</v>
      </c>
      <c r="C65" s="52" t="s">
        <v>118</v>
      </c>
      <c r="D65" s="74"/>
      <c r="E65" s="53"/>
      <c r="F65" s="52" t="s">
        <v>71</v>
      </c>
      <c r="G65" s="78">
        <f>SUM(G64:G64)</f>
        <v>0</v>
      </c>
      <c r="H65" s="85"/>
      <c r="I65" s="12">
        <f>SUM(I64:I64)</f>
        <v>0</v>
      </c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 t="s">
        <v>1061</v>
      </c>
      <c r="B67" s="2"/>
      <c r="C67" s="2" t="s">
        <v>1107</v>
      </c>
      <c r="D67" s="2"/>
      <c r="E67" s="2" t="s">
        <v>124</v>
      </c>
      <c r="F67" s="2"/>
      <c r="G67" s="2"/>
      <c r="H67" s="2" t="s">
        <v>1108</v>
      </c>
      <c r="I67" s="2"/>
    </row>
    <row r="68" spans="1:9" x14ac:dyDescent="0.25">
      <c r="A68" s="2"/>
      <c r="B68" s="2"/>
    </row>
    <row r="73" spans="1:9" x14ac:dyDescent="0.25">
      <c r="A73" s="118"/>
      <c r="B73" s="118"/>
      <c r="C73" s="118"/>
      <c r="D73" s="118"/>
      <c r="E73" s="118"/>
      <c r="F73" s="118"/>
      <c r="G73" s="118"/>
      <c r="H73" s="118"/>
      <c r="I73" s="118"/>
    </row>
    <row r="74" spans="1:9" x14ac:dyDescent="0.25">
      <c r="A74" s="118"/>
      <c r="B74" s="118"/>
      <c r="C74" s="118"/>
      <c r="D74" s="118"/>
      <c r="E74" s="118"/>
      <c r="F74" s="118"/>
      <c r="G74" s="118"/>
      <c r="H74" s="118"/>
      <c r="I74" s="118"/>
    </row>
    <row r="75" spans="1:9" x14ac:dyDescent="0.25">
      <c r="A75" s="118"/>
      <c r="B75" s="118"/>
      <c r="C75" s="118"/>
      <c r="D75" s="118"/>
      <c r="E75" s="118"/>
      <c r="F75" s="118"/>
      <c r="G75" s="118"/>
      <c r="H75" s="118"/>
      <c r="I75" s="118"/>
    </row>
    <row r="76" spans="1:9" x14ac:dyDescent="0.25">
      <c r="A76" s="118"/>
      <c r="B76" s="118"/>
      <c r="C76" s="118"/>
      <c r="D76" s="118"/>
      <c r="E76" s="118"/>
      <c r="F76" s="118"/>
      <c r="G76" s="118"/>
      <c r="H76" s="118"/>
      <c r="I76" s="118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9" zoomScale="110" zoomScaleNormal="110" workbookViewId="0">
      <selection activeCell="B31" sqref="B31"/>
    </sheetView>
  </sheetViews>
  <sheetFormatPr defaultRowHeight="15" x14ac:dyDescent="0.25"/>
  <cols>
    <col min="1" max="1" width="4.85546875" style="3" customWidth="1"/>
    <col min="2" max="2" width="31.5703125" style="3" customWidth="1"/>
    <col min="3" max="3" width="12.5703125" style="3" customWidth="1"/>
    <col min="4" max="4" width="11.42578125" style="3" customWidth="1"/>
    <col min="5" max="5" width="11.7109375" style="3" customWidth="1"/>
    <col min="6" max="6" width="9.140625" style="3"/>
    <col min="7" max="7" width="11.42578125" style="3" customWidth="1"/>
    <col min="8" max="8" width="13" style="3" customWidth="1"/>
    <col min="9" max="9" width="19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1109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1110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1111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1112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1113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1114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68" t="s">
        <v>71</v>
      </c>
      <c r="D18" s="57"/>
      <c r="E18" s="45" t="s">
        <v>71</v>
      </c>
      <c r="F18" s="25" t="s">
        <v>71</v>
      </c>
      <c r="G18" s="57"/>
      <c r="H18" s="57" t="s">
        <v>71</v>
      </c>
      <c r="I18" s="45" t="s">
        <v>71</v>
      </c>
    </row>
    <row r="19" spans="1:9" x14ac:dyDescent="0.25">
      <c r="A19" s="15"/>
      <c r="B19" s="12" t="s">
        <v>192</v>
      </c>
      <c r="C19" s="14">
        <v>7.56</v>
      </c>
      <c r="D19" s="17">
        <v>-22795.360000000001</v>
      </c>
      <c r="E19" s="12">
        <v>71205.960000000006</v>
      </c>
      <c r="F19" s="12">
        <v>61069.77</v>
      </c>
      <c r="G19" s="15">
        <f t="shared" ref="G19:G25" si="0">E19</f>
        <v>71205.960000000006</v>
      </c>
      <c r="H19" s="16">
        <f>D19+F19-G19</f>
        <v>-32931.55000000001</v>
      </c>
      <c r="I19" s="17">
        <f>H19</f>
        <v>-32931.55000000001</v>
      </c>
    </row>
    <row r="20" spans="1:9" x14ac:dyDescent="0.25">
      <c r="A20" s="7" t="s">
        <v>36</v>
      </c>
      <c r="B20" s="62" t="s">
        <v>37</v>
      </c>
      <c r="C20" s="74">
        <v>2.62</v>
      </c>
      <c r="D20" s="22"/>
      <c r="E20" s="79">
        <f>E19*34.5/100</f>
        <v>24566.056200000003</v>
      </c>
      <c r="F20" s="54">
        <f>F19*34.5/100</f>
        <v>21069.070649999998</v>
      </c>
      <c r="G20" s="55">
        <f t="shared" si="0"/>
        <v>24566.056200000003</v>
      </c>
      <c r="H20" s="54"/>
      <c r="I20" s="23"/>
    </row>
    <row r="21" spans="1:9" x14ac:dyDescent="0.25">
      <c r="A21" s="24" t="s">
        <v>38</v>
      </c>
      <c r="B21" s="6" t="s">
        <v>39</v>
      </c>
      <c r="C21" s="58">
        <v>1.33</v>
      </c>
      <c r="D21" s="75"/>
      <c r="E21" s="86">
        <f>E19*18/100</f>
        <v>12817.0728</v>
      </c>
      <c r="F21" s="75">
        <f>F19*18/100</f>
        <v>10992.558599999998</v>
      </c>
      <c r="G21" s="105">
        <f t="shared" si="0"/>
        <v>12817.0728</v>
      </c>
      <c r="H21" s="75"/>
      <c r="I21" s="30"/>
    </row>
    <row r="22" spans="1:9" x14ac:dyDescent="0.25">
      <c r="A22" s="24" t="s">
        <v>40</v>
      </c>
      <c r="B22" s="6" t="s">
        <v>41</v>
      </c>
      <c r="C22" s="58">
        <v>1.22</v>
      </c>
      <c r="D22" s="29"/>
      <c r="E22" s="105">
        <f>E19*16/100</f>
        <v>11392.953600000001</v>
      </c>
      <c r="F22" s="75">
        <f>F19*16/100</f>
        <v>9771.1631999999991</v>
      </c>
      <c r="G22" s="75">
        <f t="shared" si="0"/>
        <v>11392.953600000001</v>
      </c>
      <c r="H22" s="75"/>
      <c r="I22" s="29"/>
    </row>
    <row r="23" spans="1:9" x14ac:dyDescent="0.25">
      <c r="A23" s="24" t="s">
        <v>42</v>
      </c>
      <c r="B23" s="6" t="s">
        <v>43</v>
      </c>
      <c r="C23" s="58">
        <v>2.39</v>
      </c>
      <c r="D23" s="29"/>
      <c r="E23" s="40">
        <f>E19*31.5/100</f>
        <v>22429.877400000001</v>
      </c>
      <c r="F23" s="29">
        <f>F19*31.5/100</f>
        <v>19236.97755</v>
      </c>
      <c r="G23" s="29">
        <f t="shared" si="0"/>
        <v>22429.877400000001</v>
      </c>
      <c r="H23" s="29"/>
      <c r="I23" s="35"/>
    </row>
    <row r="24" spans="1:9" x14ac:dyDescent="0.25">
      <c r="A24" s="24" t="s">
        <v>44</v>
      </c>
      <c r="B24" s="6" t="s">
        <v>47</v>
      </c>
      <c r="C24" s="58">
        <v>1.9436899999999999</v>
      </c>
      <c r="D24" s="6">
        <v>-451.28</v>
      </c>
      <c r="E24" s="58">
        <v>17276.04</v>
      </c>
      <c r="F24" s="6">
        <v>13065.98</v>
      </c>
      <c r="G24" s="60">
        <f>E24</f>
        <v>17276.04</v>
      </c>
      <c r="H24" s="11">
        <f>D24+F24-G24</f>
        <v>-4661.340000000002</v>
      </c>
      <c r="I24" s="72">
        <f>H24</f>
        <v>-4661.340000000002</v>
      </c>
    </row>
    <row r="25" spans="1:9" x14ac:dyDescent="0.25">
      <c r="A25" s="25" t="s">
        <v>48</v>
      </c>
      <c r="B25" s="25" t="s">
        <v>49</v>
      </c>
      <c r="C25" s="68" t="s">
        <v>50</v>
      </c>
      <c r="D25" s="43">
        <v>-3438.89</v>
      </c>
      <c r="E25" s="11">
        <v>31882.71</v>
      </c>
      <c r="F25" s="11">
        <v>26083.439999999999</v>
      </c>
      <c r="G25" s="11">
        <f t="shared" si="0"/>
        <v>31882.71</v>
      </c>
      <c r="H25" s="34">
        <f>D25+F25-G25</f>
        <v>-9238.16</v>
      </c>
      <c r="I25" s="43">
        <f>H25</f>
        <v>-9238.16</v>
      </c>
    </row>
    <row r="26" spans="1:9" x14ac:dyDescent="0.25">
      <c r="A26" s="25" t="s">
        <v>51</v>
      </c>
      <c r="B26" s="25" t="s">
        <v>52</v>
      </c>
      <c r="C26" s="25">
        <v>1.65</v>
      </c>
      <c r="D26" s="45">
        <v>-17460.099999999999</v>
      </c>
      <c r="E26" s="25">
        <v>15541.68</v>
      </c>
      <c r="F26" s="25">
        <f>F27+F28</f>
        <v>13329.25</v>
      </c>
      <c r="G26" s="25">
        <f>G27+G28</f>
        <v>156077</v>
      </c>
      <c r="H26" s="28">
        <f>D26+F26-G26</f>
        <v>-160207.85</v>
      </c>
      <c r="I26" s="45">
        <f>H26</f>
        <v>-160207.85</v>
      </c>
    </row>
    <row r="27" spans="1:9" x14ac:dyDescent="0.25">
      <c r="A27" s="25"/>
      <c r="B27" s="6" t="s">
        <v>53</v>
      </c>
      <c r="C27" s="68"/>
      <c r="D27" s="28"/>
      <c r="E27" s="25"/>
      <c r="F27" s="25">
        <v>13329.25</v>
      </c>
      <c r="G27" s="57">
        <f>I49</f>
        <v>156077</v>
      </c>
      <c r="H27" s="28"/>
      <c r="I27" s="45"/>
    </row>
    <row r="28" spans="1:9" x14ac:dyDescent="0.25">
      <c r="A28" s="11"/>
      <c r="B28" s="9" t="s">
        <v>54</v>
      </c>
      <c r="C28" s="41"/>
      <c r="D28" s="34"/>
      <c r="E28" s="11"/>
      <c r="F28" s="11">
        <v>0</v>
      </c>
      <c r="G28" s="42"/>
      <c r="H28" s="34"/>
      <c r="I28" s="43"/>
    </row>
    <row r="29" spans="1:9" x14ac:dyDescent="0.25">
      <c r="A29" s="5" t="s">
        <v>69</v>
      </c>
      <c r="B29" s="5"/>
      <c r="C29" s="5"/>
      <c r="D29" s="56"/>
      <c r="E29" s="5"/>
      <c r="F29" s="5"/>
      <c r="G29" s="5"/>
      <c r="H29" s="5"/>
      <c r="I29" s="5"/>
    </row>
    <row r="30" spans="1:9" x14ac:dyDescent="0.25">
      <c r="A30" s="1" t="s">
        <v>70</v>
      </c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6" t="s">
        <v>71</v>
      </c>
      <c r="B31" s="57" t="s">
        <v>72</v>
      </c>
      <c r="C31" s="6" t="s">
        <v>73</v>
      </c>
      <c r="D31" s="58" t="s">
        <v>74</v>
      </c>
      <c r="E31" s="6" t="s">
        <v>75</v>
      </c>
      <c r="F31" s="58" t="s">
        <v>76</v>
      </c>
      <c r="G31" s="6" t="s">
        <v>77</v>
      </c>
      <c r="H31" s="58" t="s">
        <v>78</v>
      </c>
      <c r="I31" s="6" t="s">
        <v>19</v>
      </c>
    </row>
    <row r="32" spans="1:9" x14ac:dyDescent="0.25">
      <c r="A32" s="7"/>
      <c r="B32" s="59" t="s">
        <v>79</v>
      </c>
      <c r="C32" s="7" t="s">
        <v>80</v>
      </c>
      <c r="D32" s="60" t="s">
        <v>81</v>
      </c>
      <c r="E32" s="7" t="s">
        <v>82</v>
      </c>
      <c r="F32" s="60" t="s">
        <v>83</v>
      </c>
      <c r="G32" s="7" t="s">
        <v>84</v>
      </c>
      <c r="H32" s="60" t="s">
        <v>85</v>
      </c>
      <c r="I32" s="7" t="s">
        <v>86</v>
      </c>
    </row>
    <row r="33" spans="1:9" x14ac:dyDescent="0.25">
      <c r="A33" s="7"/>
      <c r="B33" s="51"/>
      <c r="C33" s="7"/>
      <c r="D33" s="60"/>
      <c r="E33" s="7"/>
      <c r="F33" s="60" t="s">
        <v>87</v>
      </c>
      <c r="G33" s="62" t="s">
        <v>88</v>
      </c>
      <c r="H33" s="60"/>
      <c r="I33" s="7" t="s">
        <v>239</v>
      </c>
    </row>
    <row r="34" spans="1:9" x14ac:dyDescent="0.25">
      <c r="A34" s="6"/>
      <c r="B34" s="6"/>
      <c r="C34" s="68"/>
      <c r="D34" s="6"/>
      <c r="E34" s="58"/>
      <c r="F34" s="6"/>
      <c r="G34" s="60"/>
      <c r="H34" s="9"/>
      <c r="I34" s="49"/>
    </row>
    <row r="35" spans="1:9" x14ac:dyDescent="0.25">
      <c r="A35" s="9">
        <v>1</v>
      </c>
      <c r="B35" s="9" t="s">
        <v>90</v>
      </c>
      <c r="C35" s="41" t="s">
        <v>91</v>
      </c>
      <c r="D35" s="9">
        <v>-8527.48</v>
      </c>
      <c r="E35" s="65">
        <v>141469.9</v>
      </c>
      <c r="F35" s="9">
        <v>109431.93</v>
      </c>
      <c r="G35" s="65">
        <f>E35</f>
        <v>141469.9</v>
      </c>
      <c r="H35" s="7">
        <f>D35+F35-G35</f>
        <v>-40565.449999999997</v>
      </c>
      <c r="I35" s="9">
        <f>H35</f>
        <v>-40565.449999999997</v>
      </c>
    </row>
    <row r="36" spans="1:9" x14ac:dyDescent="0.25">
      <c r="A36" s="9"/>
      <c r="B36" s="9" t="s">
        <v>521</v>
      </c>
      <c r="C36" s="41" t="s">
        <v>93</v>
      </c>
      <c r="D36" s="9"/>
      <c r="E36" s="65"/>
      <c r="F36" s="9"/>
      <c r="G36" s="65"/>
      <c r="H36" s="9"/>
      <c r="I36" s="9"/>
    </row>
    <row r="37" spans="1:9" x14ac:dyDescent="0.25">
      <c r="A37" s="9">
        <v>2</v>
      </c>
      <c r="B37" s="9" t="s">
        <v>98</v>
      </c>
      <c r="C37" s="41" t="s">
        <v>203</v>
      </c>
      <c r="D37" s="9">
        <v>-158416.21</v>
      </c>
      <c r="E37" s="10">
        <v>275463.49</v>
      </c>
      <c r="F37" s="9">
        <v>232441.41</v>
      </c>
      <c r="G37" s="10">
        <f>E37</f>
        <v>275463.49</v>
      </c>
      <c r="H37" s="9">
        <f>F37-E37+D37</f>
        <v>-201438.28999999998</v>
      </c>
      <c r="I37" s="9">
        <f>H37</f>
        <v>-201438.28999999998</v>
      </c>
    </row>
    <row r="38" spans="1:9" x14ac:dyDescent="0.25">
      <c r="A38" s="2"/>
      <c r="B38" s="2" t="s">
        <v>71</v>
      </c>
      <c r="C38" s="2"/>
      <c r="D38" s="2"/>
      <c r="E38" s="2"/>
      <c r="F38" s="2" t="s">
        <v>71</v>
      </c>
      <c r="G38" s="2"/>
      <c r="H38" s="2"/>
      <c r="I38" s="2"/>
    </row>
    <row r="39" spans="1:9" x14ac:dyDescent="0.25">
      <c r="A39" s="1" t="s">
        <v>1115</v>
      </c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5" t="s">
        <v>1116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48" t="s">
        <v>12</v>
      </c>
      <c r="B41" s="6" t="s">
        <v>102</v>
      </c>
      <c r="C41" s="58" t="s">
        <v>103</v>
      </c>
      <c r="D41" s="58"/>
      <c r="E41" s="58"/>
      <c r="F41" s="48" t="s">
        <v>556</v>
      </c>
      <c r="G41" s="58"/>
      <c r="H41" s="49"/>
      <c r="I41" s="6" t="s">
        <v>105</v>
      </c>
    </row>
    <row r="42" spans="1:9" x14ac:dyDescent="0.25">
      <c r="A42" s="51" t="s">
        <v>106</v>
      </c>
      <c r="B42" s="7"/>
      <c r="C42" s="60"/>
      <c r="D42" s="60"/>
      <c r="E42" s="60"/>
      <c r="F42" s="51" t="s">
        <v>1117</v>
      </c>
      <c r="G42" s="60"/>
      <c r="H42" s="61"/>
      <c r="I42" s="7" t="s">
        <v>108</v>
      </c>
    </row>
    <row r="43" spans="1:9" x14ac:dyDescent="0.25">
      <c r="A43" s="51"/>
      <c r="B43" s="7"/>
      <c r="C43" s="60"/>
      <c r="D43" s="60"/>
      <c r="E43" s="60"/>
      <c r="F43" s="51" t="s">
        <v>1118</v>
      </c>
      <c r="G43" s="60"/>
      <c r="H43" s="61"/>
      <c r="I43" s="7"/>
    </row>
    <row r="44" spans="1:9" x14ac:dyDescent="0.25">
      <c r="A44" s="51"/>
      <c r="B44" s="62"/>
      <c r="C44" s="60"/>
      <c r="D44" s="60"/>
      <c r="E44" s="60"/>
      <c r="F44" s="51" t="s">
        <v>568</v>
      </c>
      <c r="G44" s="60"/>
      <c r="H44" s="61"/>
      <c r="I44" s="7"/>
    </row>
    <row r="45" spans="1:9" x14ac:dyDescent="0.25">
      <c r="A45" s="67" t="s">
        <v>110</v>
      </c>
      <c r="B45" s="18"/>
      <c r="C45" s="68" t="s">
        <v>111</v>
      </c>
      <c r="D45" s="68"/>
      <c r="E45" s="68"/>
      <c r="F45" s="48"/>
      <c r="G45" s="58"/>
      <c r="H45" s="49"/>
      <c r="I45" s="6"/>
    </row>
    <row r="46" spans="1:9" x14ac:dyDescent="0.25">
      <c r="A46" s="69"/>
      <c r="B46" s="7"/>
      <c r="C46" s="60" t="s">
        <v>112</v>
      </c>
      <c r="D46" s="60"/>
      <c r="E46" s="60"/>
      <c r="F46" s="51" t="s">
        <v>71</v>
      </c>
      <c r="G46" s="37"/>
      <c r="H46" s="61" t="s">
        <v>71</v>
      </c>
      <c r="I46" s="7" t="s">
        <v>71</v>
      </c>
    </row>
    <row r="47" spans="1:9" x14ac:dyDescent="0.25">
      <c r="A47" s="69" t="s">
        <v>113</v>
      </c>
      <c r="B47" s="70">
        <v>42803</v>
      </c>
      <c r="C47" s="60" t="s">
        <v>1119</v>
      </c>
      <c r="D47" s="60"/>
      <c r="E47" s="60"/>
      <c r="F47" s="51"/>
      <c r="G47" s="37">
        <f>I47/879.4</f>
        <v>177.48123720718672</v>
      </c>
      <c r="H47" s="61"/>
      <c r="I47" s="7">
        <v>156077</v>
      </c>
    </row>
    <row r="48" spans="1:9" x14ac:dyDescent="0.25">
      <c r="A48" s="69"/>
      <c r="B48" s="70"/>
      <c r="C48" s="60"/>
      <c r="D48" s="60"/>
      <c r="E48" s="60"/>
      <c r="F48" s="51"/>
      <c r="G48" s="37"/>
      <c r="H48" s="61"/>
      <c r="I48" s="7"/>
    </row>
    <row r="49" spans="1:9" x14ac:dyDescent="0.25">
      <c r="A49" s="69"/>
      <c r="B49" s="7"/>
      <c r="C49" s="5" t="s">
        <v>118</v>
      </c>
      <c r="D49" s="5"/>
      <c r="E49" s="5"/>
      <c r="F49" s="59"/>
      <c r="G49" s="20">
        <f>SUM(G47:G48)</f>
        <v>177.48123720718672</v>
      </c>
      <c r="H49" s="71"/>
      <c r="I49" s="18">
        <f>SUM(I47:I48)</f>
        <v>156077</v>
      </c>
    </row>
    <row r="50" spans="1:9" x14ac:dyDescent="0.25">
      <c r="A50" s="6"/>
      <c r="B50" s="6"/>
      <c r="C50" s="48"/>
      <c r="D50" s="58"/>
      <c r="E50" s="49"/>
      <c r="F50" s="48"/>
      <c r="G50" s="58"/>
      <c r="H50" s="49"/>
      <c r="I50" s="6"/>
    </row>
    <row r="51" spans="1:9" x14ac:dyDescent="0.25">
      <c r="A51" s="6" t="s">
        <v>48</v>
      </c>
      <c r="B51" s="25" t="s">
        <v>119</v>
      </c>
      <c r="C51" s="57" t="s">
        <v>120</v>
      </c>
      <c r="D51" s="58"/>
      <c r="E51" s="49"/>
      <c r="F51" s="48" t="s">
        <v>121</v>
      </c>
      <c r="G51" s="58"/>
      <c r="H51" s="49"/>
      <c r="I51" s="6"/>
    </row>
    <row r="52" spans="1:9" x14ac:dyDescent="0.25">
      <c r="A52" s="73"/>
      <c r="B52" s="62"/>
      <c r="C52" s="52" t="s">
        <v>118</v>
      </c>
      <c r="D52" s="74"/>
      <c r="E52" s="53"/>
      <c r="F52" s="52"/>
      <c r="G52" s="74"/>
      <c r="H52" s="53"/>
      <c r="I52" s="62">
        <v>0</v>
      </c>
    </row>
    <row r="53" spans="1:9" x14ac:dyDescent="0.25">
      <c r="A53" s="2" t="s">
        <v>317</v>
      </c>
      <c r="B53" s="2"/>
      <c r="C53" s="2" t="s">
        <v>123</v>
      </c>
      <c r="D53" s="2"/>
      <c r="E53" s="2" t="s">
        <v>124</v>
      </c>
      <c r="H53" s="2" t="s">
        <v>125</v>
      </c>
      <c r="I53" s="2" t="s">
        <v>126</v>
      </c>
    </row>
    <row r="54" spans="1:9" x14ac:dyDescent="0.25">
      <c r="A54" s="2"/>
      <c r="B54" s="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="110" zoomScaleNormal="110" workbookViewId="0">
      <selection activeCell="B2" sqref="B2"/>
    </sheetView>
  </sheetViews>
  <sheetFormatPr defaultRowHeight="15" x14ac:dyDescent="0.25"/>
  <cols>
    <col min="1" max="1" width="5" style="3" customWidth="1"/>
    <col min="2" max="2" width="32.140625" style="3" customWidth="1"/>
    <col min="3" max="3" width="13.5703125" style="3" customWidth="1"/>
    <col min="4" max="7" width="9.140625" style="3"/>
    <col min="8" max="8" width="11.7109375" style="3" customWidth="1"/>
    <col min="9" max="9" width="18.5703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452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1120</v>
      </c>
      <c r="B6" s="1"/>
      <c r="C6" s="1"/>
      <c r="D6" s="1"/>
      <c r="E6" s="1"/>
      <c r="F6" s="2"/>
      <c r="G6" s="2"/>
      <c r="H6" s="2"/>
      <c r="I6" s="2"/>
    </row>
    <row r="7" spans="1:9" x14ac:dyDescent="0.25">
      <c r="A7" s="2" t="s">
        <v>1121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1122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68" t="s">
        <v>71</v>
      </c>
      <c r="D18" s="25"/>
      <c r="E18" s="27" t="s">
        <v>71</v>
      </c>
      <c r="F18" s="25" t="s">
        <v>71</v>
      </c>
      <c r="G18" s="57"/>
      <c r="H18" s="25" t="s">
        <v>71</v>
      </c>
      <c r="I18" s="45" t="s">
        <v>71</v>
      </c>
    </row>
    <row r="19" spans="1:9" x14ac:dyDescent="0.25">
      <c r="A19" s="15"/>
      <c r="B19" s="12" t="s">
        <v>192</v>
      </c>
      <c r="C19" s="14">
        <v>7.97</v>
      </c>
      <c r="D19" s="17">
        <v>-83437.34</v>
      </c>
      <c r="E19" s="14">
        <v>460478.4</v>
      </c>
      <c r="F19" s="12">
        <v>468731.19</v>
      </c>
      <c r="G19" s="15">
        <f>E19</f>
        <v>460478.4</v>
      </c>
      <c r="H19" s="108">
        <f>D19+F19-G19</f>
        <v>-75184.550000000047</v>
      </c>
      <c r="I19" s="17">
        <f>H19+H24</f>
        <v>-73730.900000000052</v>
      </c>
    </row>
    <row r="20" spans="1:9" x14ac:dyDescent="0.25">
      <c r="A20" s="73" t="s">
        <v>113</v>
      </c>
      <c r="B20" s="62" t="s">
        <v>37</v>
      </c>
      <c r="C20" s="74">
        <v>2.6</v>
      </c>
      <c r="D20" s="22"/>
      <c r="E20" s="79">
        <f>E19*30/100</f>
        <v>138143.51999999999</v>
      </c>
      <c r="F20" s="54">
        <f>F19*30/100</f>
        <v>140619.35699999999</v>
      </c>
      <c r="G20" s="37">
        <f t="shared" ref="G20:G28" si="0">E20</f>
        <v>138143.51999999999</v>
      </c>
      <c r="H20" s="22"/>
      <c r="I20" s="22"/>
    </row>
    <row r="21" spans="1:9" x14ac:dyDescent="0.25">
      <c r="A21" s="24" t="s">
        <v>38</v>
      </c>
      <c r="B21" s="6" t="s">
        <v>39</v>
      </c>
      <c r="C21" s="6">
        <v>1.33</v>
      </c>
      <c r="D21" s="75"/>
      <c r="E21" s="86">
        <f>E19*17/100</f>
        <v>78281.328000000009</v>
      </c>
      <c r="F21" s="75">
        <f>F19*17/100</f>
        <v>79684.30230000001</v>
      </c>
      <c r="G21" s="105">
        <f t="shared" si="0"/>
        <v>78281.328000000009</v>
      </c>
      <c r="H21" s="75"/>
      <c r="I21" s="75"/>
    </row>
    <row r="22" spans="1:9" x14ac:dyDescent="0.25">
      <c r="A22" s="24" t="s">
        <v>40</v>
      </c>
      <c r="B22" s="6" t="s">
        <v>41</v>
      </c>
      <c r="C22" s="6">
        <v>1.63</v>
      </c>
      <c r="D22" s="75"/>
      <c r="E22" s="86">
        <f>E19*20/100</f>
        <v>92095.679999999993</v>
      </c>
      <c r="F22" s="75">
        <f>F19*20/100</f>
        <v>93746.238000000012</v>
      </c>
      <c r="G22" s="105">
        <f t="shared" si="0"/>
        <v>92095.679999999993</v>
      </c>
      <c r="H22" s="75"/>
      <c r="I22" s="75"/>
    </row>
    <row r="23" spans="1:9" x14ac:dyDescent="0.25">
      <c r="A23" s="36" t="s">
        <v>42</v>
      </c>
      <c r="B23" s="9" t="s">
        <v>43</v>
      </c>
      <c r="C23" s="9">
        <v>2.39</v>
      </c>
      <c r="D23" s="29"/>
      <c r="E23" s="39">
        <f>E19*30/100</f>
        <v>138143.51999999999</v>
      </c>
      <c r="F23" s="29">
        <f>F19*30/100</f>
        <v>140619.35699999999</v>
      </c>
      <c r="G23" s="40">
        <f t="shared" si="0"/>
        <v>138143.51999999999</v>
      </c>
      <c r="H23" s="29"/>
      <c r="I23" s="29"/>
    </row>
    <row r="24" spans="1:9" x14ac:dyDescent="0.25">
      <c r="A24" s="73" t="s">
        <v>44</v>
      </c>
      <c r="B24" s="62" t="s">
        <v>45</v>
      </c>
      <c r="C24" s="74">
        <v>0.37214999999999998</v>
      </c>
      <c r="D24" s="54"/>
      <c r="E24" s="79">
        <v>12842.23</v>
      </c>
      <c r="F24" s="54">
        <v>14295.88</v>
      </c>
      <c r="G24" s="55">
        <f>E24</f>
        <v>12842.23</v>
      </c>
      <c r="H24" s="17">
        <f>F24-E24</f>
        <v>1453.6499999999996</v>
      </c>
      <c r="I24" s="17"/>
    </row>
    <row r="25" spans="1:9" x14ac:dyDescent="0.25">
      <c r="A25" s="73" t="s">
        <v>46</v>
      </c>
      <c r="B25" s="62" t="s">
        <v>47</v>
      </c>
      <c r="C25" s="74">
        <v>3.20078</v>
      </c>
      <c r="D25" s="54"/>
      <c r="E25" s="10">
        <v>165631.07999999999</v>
      </c>
      <c r="F25" s="9">
        <v>139634.42000000001</v>
      </c>
      <c r="G25" s="10">
        <f>E25</f>
        <v>165631.07999999999</v>
      </c>
      <c r="H25" s="42">
        <f>F25-E25</f>
        <v>-25996.659999999974</v>
      </c>
      <c r="I25" s="11">
        <f>H25</f>
        <v>-25996.659999999974</v>
      </c>
    </row>
    <row r="26" spans="1:9" x14ac:dyDescent="0.25">
      <c r="A26" s="12" t="s">
        <v>48</v>
      </c>
      <c r="B26" s="12" t="s">
        <v>143</v>
      </c>
      <c r="C26" s="14">
        <v>3.15</v>
      </c>
      <c r="D26" s="17">
        <v>-13763.77</v>
      </c>
      <c r="E26" s="14">
        <v>180442.83</v>
      </c>
      <c r="F26" s="12">
        <v>182758.28</v>
      </c>
      <c r="G26" s="15">
        <f t="shared" si="0"/>
        <v>180442.83</v>
      </c>
      <c r="H26" s="108">
        <f>D26+F26-G26</f>
        <v>-11448.319999999978</v>
      </c>
      <c r="I26" s="17">
        <f>H26</f>
        <v>-11448.319999999978</v>
      </c>
    </row>
    <row r="27" spans="1:9" x14ac:dyDescent="0.25">
      <c r="A27" s="11" t="s">
        <v>51</v>
      </c>
      <c r="B27" s="11" t="s">
        <v>49</v>
      </c>
      <c r="C27" s="41" t="s">
        <v>50</v>
      </c>
      <c r="D27" s="43">
        <v>-36524.639999999999</v>
      </c>
      <c r="E27" s="41">
        <v>195573.24</v>
      </c>
      <c r="F27" s="11">
        <v>189659.93</v>
      </c>
      <c r="G27" s="42">
        <f>E27</f>
        <v>195573.24</v>
      </c>
      <c r="H27" s="121">
        <f>D27+F27-G27</f>
        <v>-42437.950000000012</v>
      </c>
      <c r="I27" s="43">
        <f>H27</f>
        <v>-42437.950000000012</v>
      </c>
    </row>
    <row r="28" spans="1:9" x14ac:dyDescent="0.25">
      <c r="A28" s="11" t="s">
        <v>55</v>
      </c>
      <c r="B28" s="11" t="s">
        <v>194</v>
      </c>
      <c r="C28" s="41">
        <v>0.92</v>
      </c>
      <c r="D28" s="43">
        <v>-1158.6500000000001</v>
      </c>
      <c r="E28" s="41">
        <v>0</v>
      </c>
      <c r="F28" s="11">
        <v>17.59</v>
      </c>
      <c r="G28" s="41">
        <f t="shared" si="0"/>
        <v>0</v>
      </c>
      <c r="H28" s="121">
        <f>D28+F28-G28</f>
        <v>-1141.0600000000002</v>
      </c>
      <c r="I28" s="43">
        <f>H28</f>
        <v>-1141.0600000000002</v>
      </c>
    </row>
    <row r="29" spans="1:9" x14ac:dyDescent="0.25">
      <c r="A29" s="18" t="s">
        <v>59</v>
      </c>
      <c r="B29" s="12" t="s">
        <v>459</v>
      </c>
      <c r="C29" s="14">
        <v>1.82</v>
      </c>
      <c r="D29" s="108">
        <v>-67580.649999999994</v>
      </c>
      <c r="E29" s="14">
        <v>105152.88</v>
      </c>
      <c r="F29" s="12">
        <v>110689.37</v>
      </c>
      <c r="G29" s="14">
        <f>I60</f>
        <v>36900</v>
      </c>
      <c r="H29" s="108">
        <f>D29+F29-G29</f>
        <v>6208.7200000000012</v>
      </c>
      <c r="I29" s="17"/>
    </row>
    <row r="30" spans="1:9" x14ac:dyDescent="0.25">
      <c r="A30" s="11" t="s">
        <v>196</v>
      </c>
      <c r="B30" s="11" t="s">
        <v>146</v>
      </c>
      <c r="C30" s="46">
        <v>0</v>
      </c>
      <c r="D30" s="121">
        <v>141.1</v>
      </c>
      <c r="E30" s="41">
        <v>0</v>
      </c>
      <c r="F30" s="11">
        <f>F31</f>
        <v>25.3</v>
      </c>
      <c r="G30" s="41">
        <f>I65</f>
        <v>0</v>
      </c>
      <c r="H30" s="121">
        <f>D30+F30-G30</f>
        <v>166.4</v>
      </c>
      <c r="I30" s="43"/>
    </row>
    <row r="31" spans="1:9" x14ac:dyDescent="0.25">
      <c r="A31" s="9"/>
      <c r="B31" s="9" t="s">
        <v>149</v>
      </c>
      <c r="C31" s="10"/>
      <c r="D31" s="132"/>
      <c r="E31" s="10">
        <v>0</v>
      </c>
      <c r="F31" s="9">
        <v>25.3</v>
      </c>
      <c r="G31" s="10">
        <f>G30</f>
        <v>0</v>
      </c>
      <c r="H31" s="132"/>
      <c r="I31" s="29"/>
    </row>
    <row r="32" spans="1:9" x14ac:dyDescent="0.25">
      <c r="A32" s="1" t="s">
        <v>58</v>
      </c>
      <c r="B32" s="2"/>
      <c r="C32" s="2"/>
      <c r="E32" s="2"/>
      <c r="F32" s="2"/>
      <c r="G32" s="2"/>
      <c r="H32" s="2"/>
      <c r="I32" s="2"/>
    </row>
    <row r="33" spans="1:9" x14ac:dyDescent="0.25">
      <c r="A33" s="1"/>
      <c r="B33" s="2"/>
      <c r="C33" s="2"/>
      <c r="E33" s="2"/>
      <c r="F33" s="2"/>
      <c r="G33" s="2"/>
      <c r="H33" s="2"/>
      <c r="I33" s="2"/>
    </row>
    <row r="34" spans="1:9" x14ac:dyDescent="0.25">
      <c r="A34" s="25" t="s">
        <v>197</v>
      </c>
      <c r="B34" s="58" t="s">
        <v>60</v>
      </c>
      <c r="C34" s="6" t="s">
        <v>64</v>
      </c>
      <c r="D34" s="49" t="s">
        <v>62</v>
      </c>
      <c r="E34" s="58" t="s">
        <v>63</v>
      </c>
      <c r="F34" s="6" t="s">
        <v>64</v>
      </c>
      <c r="G34" s="6"/>
      <c r="H34" s="58" t="s">
        <v>199</v>
      </c>
      <c r="I34" s="49"/>
    </row>
    <row r="35" spans="1:9" x14ac:dyDescent="0.25">
      <c r="A35" s="7"/>
      <c r="B35" s="60"/>
      <c r="C35" s="62" t="s">
        <v>66</v>
      </c>
      <c r="D35" s="53" t="s">
        <v>23</v>
      </c>
      <c r="E35" s="74" t="s">
        <v>312</v>
      </c>
      <c r="F35" s="62" t="s">
        <v>30</v>
      </c>
      <c r="G35" s="62"/>
      <c r="H35" s="74"/>
      <c r="I35" s="53"/>
    </row>
    <row r="36" spans="1:9" x14ac:dyDescent="0.25">
      <c r="A36" s="12"/>
      <c r="B36" s="74" t="s">
        <v>68</v>
      </c>
      <c r="C36" s="55">
        <v>21747.41</v>
      </c>
      <c r="D36" s="9">
        <v>10053</v>
      </c>
      <c r="E36" s="79">
        <f>D36*15%</f>
        <v>1507.95</v>
      </c>
      <c r="F36" s="54">
        <f>C36+(D36-E36)</f>
        <v>30292.46</v>
      </c>
      <c r="G36" s="54"/>
      <c r="H36" s="79">
        <f>F36-G36</f>
        <v>30292.46</v>
      </c>
      <c r="I36" s="53"/>
    </row>
    <row r="37" spans="1:9" x14ac:dyDescent="0.25">
      <c r="A37" s="1" t="s">
        <v>252</v>
      </c>
      <c r="B37" s="1"/>
      <c r="C37" s="1"/>
      <c r="D37" s="47"/>
      <c r="E37" s="1"/>
      <c r="F37" s="1"/>
      <c r="G37" s="1"/>
      <c r="H37" s="1"/>
      <c r="I37" s="1"/>
    </row>
    <row r="38" spans="1:9" x14ac:dyDescent="0.25">
      <c r="A38" s="6" t="s">
        <v>71</v>
      </c>
      <c r="B38" s="57" t="s">
        <v>72</v>
      </c>
      <c r="C38" s="6" t="s">
        <v>73</v>
      </c>
      <c r="D38" s="58" t="s">
        <v>74</v>
      </c>
      <c r="E38" s="6" t="s">
        <v>75</v>
      </c>
      <c r="F38" s="58" t="s">
        <v>76</v>
      </c>
      <c r="G38" s="6" t="s">
        <v>77</v>
      </c>
      <c r="H38" s="48" t="s">
        <v>78</v>
      </c>
      <c r="I38" s="6" t="s">
        <v>19</v>
      </c>
    </row>
    <row r="39" spans="1:9" x14ac:dyDescent="0.25">
      <c r="A39" s="7"/>
      <c r="B39" s="59" t="s">
        <v>79</v>
      </c>
      <c r="C39" s="7" t="s">
        <v>80</v>
      </c>
      <c r="D39" s="60" t="s">
        <v>81</v>
      </c>
      <c r="E39" s="7" t="s">
        <v>82</v>
      </c>
      <c r="F39" s="60" t="s">
        <v>83</v>
      </c>
      <c r="G39" s="7" t="s">
        <v>84</v>
      </c>
      <c r="H39" s="51" t="s">
        <v>85</v>
      </c>
      <c r="I39" s="7" t="s">
        <v>86</v>
      </c>
    </row>
    <row r="40" spans="1:9" x14ac:dyDescent="0.25">
      <c r="A40" s="7"/>
      <c r="B40" s="51"/>
      <c r="C40" s="7"/>
      <c r="D40" s="60"/>
      <c r="E40" s="7"/>
      <c r="F40" s="60" t="s">
        <v>87</v>
      </c>
      <c r="G40" s="7" t="s">
        <v>88</v>
      </c>
      <c r="H40" s="51"/>
      <c r="I40" s="7" t="s">
        <v>883</v>
      </c>
    </row>
    <row r="41" spans="1:9" x14ac:dyDescent="0.25">
      <c r="A41" s="9"/>
      <c r="B41" s="8"/>
      <c r="C41" s="10"/>
      <c r="D41" s="9"/>
      <c r="E41" s="10"/>
      <c r="F41" s="9"/>
      <c r="G41" s="10"/>
      <c r="H41" s="8"/>
      <c r="I41" s="9"/>
    </row>
    <row r="42" spans="1:9" x14ac:dyDescent="0.25">
      <c r="A42" s="9">
        <v>1</v>
      </c>
      <c r="B42" s="9" t="s">
        <v>90</v>
      </c>
      <c r="C42" s="41" t="s">
        <v>91</v>
      </c>
      <c r="D42" s="9">
        <v>-113934.61</v>
      </c>
      <c r="E42" s="65">
        <v>460444.56</v>
      </c>
      <c r="F42" s="9">
        <v>455569.66</v>
      </c>
      <c r="G42" s="65">
        <f>E42</f>
        <v>460444.56</v>
      </c>
      <c r="H42" s="9">
        <f>D42+F42-G42</f>
        <v>-118809.51000000001</v>
      </c>
      <c r="I42" s="9">
        <f>H42</f>
        <v>-118809.51000000001</v>
      </c>
    </row>
    <row r="43" spans="1:9" x14ac:dyDescent="0.25">
      <c r="A43" s="9"/>
      <c r="B43" s="9" t="s">
        <v>92</v>
      </c>
      <c r="C43" s="41" t="s">
        <v>93</v>
      </c>
      <c r="D43" s="9"/>
      <c r="E43" s="65"/>
      <c r="F43" s="9"/>
      <c r="G43" s="65"/>
      <c r="H43" s="9"/>
      <c r="I43" s="9"/>
    </row>
    <row r="44" spans="1:9" x14ac:dyDescent="0.25">
      <c r="A44" s="7">
        <v>2</v>
      </c>
      <c r="B44" s="7" t="s">
        <v>94</v>
      </c>
      <c r="C44" s="1" t="s">
        <v>95</v>
      </c>
      <c r="D44" s="7">
        <v>-277458.05</v>
      </c>
      <c r="E44" s="2">
        <v>733573.72</v>
      </c>
      <c r="F44" s="7">
        <v>705195.89</v>
      </c>
      <c r="G44" s="2">
        <f>E44</f>
        <v>733573.72</v>
      </c>
      <c r="H44" s="7">
        <f>D44+F44-G44</f>
        <v>-305835.87999999995</v>
      </c>
      <c r="I44" s="7">
        <f>H44</f>
        <v>-305835.87999999995</v>
      </c>
    </row>
    <row r="45" spans="1:9" x14ac:dyDescent="0.25">
      <c r="A45" s="9"/>
      <c r="B45" s="9" t="s">
        <v>96</v>
      </c>
      <c r="C45" s="41"/>
      <c r="D45" s="9"/>
      <c r="E45" s="10"/>
      <c r="F45" s="9"/>
      <c r="G45" s="10"/>
      <c r="H45" s="6" t="s">
        <v>71</v>
      </c>
      <c r="I45" s="9"/>
    </row>
    <row r="46" spans="1:9" x14ac:dyDescent="0.25">
      <c r="A46" s="9"/>
      <c r="B46" s="9" t="s">
        <v>202</v>
      </c>
      <c r="C46" s="41" t="s">
        <v>93</v>
      </c>
      <c r="D46" s="9"/>
      <c r="E46" s="10"/>
      <c r="F46" s="9"/>
      <c r="G46" s="10"/>
      <c r="H46" s="6"/>
      <c r="I46" s="9"/>
    </row>
    <row r="47" spans="1:9" x14ac:dyDescent="0.25">
      <c r="A47" s="9">
        <v>3</v>
      </c>
      <c r="B47" s="9" t="s">
        <v>98</v>
      </c>
      <c r="C47" s="41" t="s">
        <v>203</v>
      </c>
      <c r="D47" s="9">
        <v>-558628.44999999995</v>
      </c>
      <c r="E47" s="10">
        <v>1239777.02</v>
      </c>
      <c r="F47" s="9">
        <v>1280897.44</v>
      </c>
      <c r="G47" s="10">
        <f>E47</f>
        <v>1239777.02</v>
      </c>
      <c r="H47" s="9">
        <f>D47+F47-G47</f>
        <v>-517508.03</v>
      </c>
      <c r="I47" s="9">
        <f>H47</f>
        <v>-517508.03</v>
      </c>
    </row>
    <row r="48" spans="1:9" x14ac:dyDescent="0.25">
      <c r="A48" s="2"/>
      <c r="B48" s="2" t="s">
        <v>71</v>
      </c>
      <c r="C48" s="2"/>
      <c r="D48" s="2"/>
      <c r="E48" s="2"/>
      <c r="F48" s="2" t="s">
        <v>71</v>
      </c>
      <c r="G48" s="2"/>
      <c r="H48" s="2"/>
      <c r="I48" s="2"/>
    </row>
    <row r="49" spans="1:9" x14ac:dyDescent="0.25">
      <c r="A49" s="1" t="s">
        <v>1123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1124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222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224</v>
      </c>
      <c r="G52" s="60"/>
      <c r="H52" s="61"/>
      <c r="I52" s="7" t="s">
        <v>108</v>
      </c>
    </row>
    <row r="53" spans="1:9" x14ac:dyDescent="0.25">
      <c r="A53" s="51"/>
      <c r="B53" s="7"/>
      <c r="C53" s="60"/>
      <c r="D53" s="60"/>
      <c r="E53" s="60"/>
      <c r="F53" s="51" t="s">
        <v>225</v>
      </c>
      <c r="G53" s="60"/>
      <c r="H53" s="61"/>
      <c r="I53" s="7"/>
    </row>
    <row r="54" spans="1:9" x14ac:dyDescent="0.25">
      <c r="A54" s="51"/>
      <c r="B54" s="62"/>
      <c r="C54" s="60"/>
      <c r="D54" s="60"/>
      <c r="E54" s="60"/>
      <c r="F54" s="51" t="s">
        <v>226</v>
      </c>
      <c r="G54" s="60"/>
      <c r="H54" s="61"/>
      <c r="I54" s="7"/>
    </row>
    <row r="55" spans="1:9" x14ac:dyDescent="0.25">
      <c r="A55" s="67" t="s">
        <v>110</v>
      </c>
      <c r="B55" s="18"/>
      <c r="C55" s="68" t="s">
        <v>111</v>
      </c>
      <c r="D55" s="68"/>
      <c r="E55" s="68"/>
      <c r="F55" s="48"/>
      <c r="G55" s="58"/>
      <c r="H55" s="49"/>
      <c r="I55" s="6"/>
    </row>
    <row r="56" spans="1:9" x14ac:dyDescent="0.25">
      <c r="A56" s="69"/>
      <c r="B56" s="7"/>
      <c r="C56" s="60" t="s">
        <v>112</v>
      </c>
      <c r="D56" s="60"/>
      <c r="E56" s="60"/>
      <c r="F56" s="51" t="s">
        <v>71</v>
      </c>
      <c r="G56" s="37"/>
      <c r="H56" s="61" t="s">
        <v>71</v>
      </c>
      <c r="I56" s="7" t="s">
        <v>71</v>
      </c>
    </row>
    <row r="57" spans="1:9" x14ac:dyDescent="0.25">
      <c r="A57" s="69" t="s">
        <v>113</v>
      </c>
      <c r="B57" s="70">
        <v>42851</v>
      </c>
      <c r="C57" s="60" t="s">
        <v>114</v>
      </c>
      <c r="D57" s="60"/>
      <c r="E57" s="60"/>
      <c r="F57" s="51"/>
      <c r="G57" s="37">
        <f>I57/4814.7</f>
        <v>2.6169854819614931</v>
      </c>
      <c r="H57" s="61"/>
      <c r="I57" s="7">
        <v>12600</v>
      </c>
    </row>
    <row r="58" spans="1:9" x14ac:dyDescent="0.25">
      <c r="A58" s="69" t="s">
        <v>38</v>
      </c>
      <c r="B58" s="70">
        <v>42926</v>
      </c>
      <c r="C58" s="60" t="s">
        <v>1125</v>
      </c>
      <c r="D58" s="60"/>
      <c r="E58" s="60"/>
      <c r="F58" s="51"/>
      <c r="G58" s="37">
        <f>I58/4814.7</f>
        <v>5.0470434294971653</v>
      </c>
      <c r="H58" s="61"/>
      <c r="I58" s="7">
        <v>24300</v>
      </c>
    </row>
    <row r="59" spans="1:9" x14ac:dyDescent="0.25">
      <c r="A59" s="69"/>
      <c r="B59" s="199"/>
      <c r="C59" s="60" t="s">
        <v>380</v>
      </c>
      <c r="D59" s="60"/>
      <c r="E59" s="60"/>
      <c r="F59" s="51"/>
      <c r="G59" s="37" t="s">
        <v>71</v>
      </c>
      <c r="H59" s="61"/>
      <c r="I59" s="7"/>
    </row>
    <row r="60" spans="1:9" x14ac:dyDescent="0.25">
      <c r="A60" s="69"/>
      <c r="B60" s="7"/>
      <c r="C60" s="5" t="s">
        <v>118</v>
      </c>
      <c r="D60" s="5"/>
      <c r="E60" s="5"/>
      <c r="F60" s="59"/>
      <c r="G60" s="20">
        <f>SUM(G57:G59)</f>
        <v>7.6640289114586579</v>
      </c>
      <c r="H60" s="71"/>
      <c r="I60" s="18">
        <f>SUM(I57:I59)</f>
        <v>36900</v>
      </c>
    </row>
    <row r="61" spans="1:9" x14ac:dyDescent="0.25">
      <c r="A61" s="6"/>
      <c r="B61" s="6"/>
      <c r="C61" s="48"/>
      <c r="D61" s="58"/>
      <c r="E61" s="49"/>
      <c r="F61" s="48"/>
      <c r="G61" s="86"/>
      <c r="H61" s="49"/>
      <c r="I61" s="6"/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49"/>
      <c r="F62" s="48" t="s">
        <v>121</v>
      </c>
      <c r="G62" s="58"/>
      <c r="H62" s="49"/>
      <c r="I62" s="6"/>
    </row>
    <row r="63" spans="1:9" x14ac:dyDescent="0.25">
      <c r="A63" s="69" t="s">
        <v>182</v>
      </c>
      <c r="B63" s="70"/>
      <c r="C63" s="51"/>
      <c r="D63" s="60"/>
      <c r="E63" s="61"/>
      <c r="F63" s="51"/>
      <c r="G63" s="37"/>
      <c r="H63" s="61"/>
      <c r="I63" s="7"/>
    </row>
    <row r="64" spans="1:9" x14ac:dyDescent="0.25">
      <c r="A64" s="69" t="s">
        <v>182</v>
      </c>
      <c r="B64" s="70"/>
      <c r="C64" s="51"/>
      <c r="D64" s="60"/>
      <c r="E64" s="61"/>
      <c r="F64" s="51"/>
      <c r="G64" s="37"/>
      <c r="H64" s="61"/>
      <c r="I64" s="7"/>
    </row>
    <row r="65" spans="1:9" x14ac:dyDescent="0.25">
      <c r="A65" s="73"/>
      <c r="B65" s="62" t="s">
        <v>119</v>
      </c>
      <c r="C65" s="15" t="s">
        <v>118</v>
      </c>
      <c r="D65" s="74"/>
      <c r="E65" s="53"/>
      <c r="F65" s="52" t="s">
        <v>71</v>
      </c>
      <c r="G65" s="78">
        <f>SUM(G63:G64)</f>
        <v>0</v>
      </c>
      <c r="H65" s="85"/>
      <c r="I65" s="12">
        <f>SUM(I63:I64)</f>
        <v>0</v>
      </c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 t="s">
        <v>1126</v>
      </c>
      <c r="B67" s="2"/>
      <c r="C67" s="2" t="s">
        <v>71</v>
      </c>
      <c r="D67" s="2" t="s">
        <v>1127</v>
      </c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110" zoomScaleNormal="110" workbookViewId="0">
      <selection activeCell="B23" sqref="B23:B24"/>
    </sheetView>
  </sheetViews>
  <sheetFormatPr defaultRowHeight="15" x14ac:dyDescent="0.25"/>
  <cols>
    <col min="1" max="1" width="5.28515625" style="3" customWidth="1"/>
    <col min="2" max="2" width="34.5703125" style="3" customWidth="1"/>
    <col min="3" max="3" width="12.42578125" style="3" customWidth="1"/>
    <col min="4" max="4" width="11.140625" style="3" customWidth="1"/>
    <col min="5" max="5" width="11" style="3" customWidth="1"/>
    <col min="6" max="6" width="11.5703125" style="3" customWidth="1"/>
    <col min="7" max="7" width="11.28515625" style="3" customWidth="1"/>
    <col min="8" max="8" width="12.42578125" style="3" customWidth="1"/>
    <col min="9" max="9" width="17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270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271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272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273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11">
        <v>1</v>
      </c>
      <c r="B19" s="12" t="s">
        <v>35</v>
      </c>
      <c r="C19" s="78">
        <v>7.56</v>
      </c>
      <c r="D19" s="17">
        <v>-2181.96</v>
      </c>
      <c r="E19" s="17">
        <v>26326.799999999999</v>
      </c>
      <c r="F19" s="17">
        <v>24627.21</v>
      </c>
      <c r="G19" s="16">
        <f>E19</f>
        <v>26326.799999999999</v>
      </c>
      <c r="H19" s="16">
        <f>D19+F19-G19</f>
        <v>-3881.5499999999993</v>
      </c>
      <c r="I19" s="17">
        <f>H19</f>
        <v>-3881.5499999999993</v>
      </c>
    </row>
    <row r="20" spans="1:9" x14ac:dyDescent="0.25">
      <c r="A20" s="7" t="s">
        <v>36</v>
      </c>
      <c r="B20" s="18" t="s">
        <v>37</v>
      </c>
      <c r="C20" s="20">
        <v>2.62</v>
      </c>
      <c r="D20" s="44"/>
      <c r="E20" s="44">
        <f>E19*34.5%</f>
        <v>9082.7459999999992</v>
      </c>
      <c r="F20" s="44">
        <f>F19*34.5%</f>
        <v>8496.3874499999984</v>
      </c>
      <c r="G20" s="20">
        <f t="shared" ref="G20:G25" si="0">E20</f>
        <v>9082.7459999999992</v>
      </c>
      <c r="H20" s="38"/>
      <c r="I20" s="22"/>
    </row>
    <row r="21" spans="1:9" x14ac:dyDescent="0.25">
      <c r="A21" s="24" t="s">
        <v>38</v>
      </c>
      <c r="B21" s="25" t="s">
        <v>39</v>
      </c>
      <c r="C21" s="27">
        <v>1.33</v>
      </c>
      <c r="D21" s="45"/>
      <c r="E21" s="45">
        <f>E19*18%</f>
        <v>4738.8239999999996</v>
      </c>
      <c r="F21" s="45">
        <f>F19*18%</f>
        <v>4432.8977999999997</v>
      </c>
      <c r="G21" s="28">
        <f t="shared" si="0"/>
        <v>4738.8239999999996</v>
      </c>
      <c r="H21" s="105"/>
      <c r="I21" s="75"/>
    </row>
    <row r="22" spans="1:9" x14ac:dyDescent="0.25">
      <c r="A22" s="24" t="s">
        <v>40</v>
      </c>
      <c r="B22" s="25" t="s">
        <v>41</v>
      </c>
      <c r="C22" s="27">
        <v>1.22</v>
      </c>
      <c r="D22" s="43"/>
      <c r="E22" s="43">
        <f xml:space="preserve"> E19*16%</f>
        <v>4212.2879999999996</v>
      </c>
      <c r="F22" s="43">
        <f>F19*16%</f>
        <v>3940.3535999999999</v>
      </c>
      <c r="G22" s="33">
        <f t="shared" si="0"/>
        <v>4212.2879999999996</v>
      </c>
      <c r="H22" s="40"/>
      <c r="I22" s="29"/>
    </row>
    <row r="23" spans="1:9" x14ac:dyDescent="0.25">
      <c r="A23" s="24" t="s">
        <v>42</v>
      </c>
      <c r="B23" s="25" t="s">
        <v>43</v>
      </c>
      <c r="C23" s="27">
        <v>2.39</v>
      </c>
      <c r="D23" s="45"/>
      <c r="E23" s="45">
        <f>E19*27%</f>
        <v>7108.2359999999999</v>
      </c>
      <c r="F23" s="45">
        <f>F19*27%</f>
        <v>6649.3467000000001</v>
      </c>
      <c r="G23" s="28">
        <f t="shared" si="0"/>
        <v>7108.2359999999999</v>
      </c>
      <c r="H23" s="105"/>
      <c r="I23" s="75"/>
    </row>
    <row r="24" spans="1:9" x14ac:dyDescent="0.25">
      <c r="A24" s="24" t="s">
        <v>44</v>
      </c>
      <c r="B24" s="6" t="s">
        <v>274</v>
      </c>
      <c r="C24" s="116">
        <v>1.6914800000000001</v>
      </c>
      <c r="D24" s="75"/>
      <c r="E24" s="58">
        <v>4735.3500000000004</v>
      </c>
      <c r="F24" s="6">
        <v>3662.12</v>
      </c>
      <c r="G24" s="58">
        <f t="shared" si="0"/>
        <v>4735.3500000000004</v>
      </c>
      <c r="H24" s="6">
        <f>D24+F24-G24</f>
        <v>-1073.2300000000005</v>
      </c>
      <c r="I24" s="49">
        <f>H24</f>
        <v>-1073.2300000000005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3">
        <v>-1310.3399999999999</v>
      </c>
      <c r="E25" s="11">
        <v>11787.96</v>
      </c>
      <c r="F25" s="11">
        <v>10516.3</v>
      </c>
      <c r="G25" s="41">
        <f t="shared" si="0"/>
        <v>11787.96</v>
      </c>
      <c r="H25" s="42">
        <f>D25+F25-G25</f>
        <v>-2582</v>
      </c>
      <c r="I25" s="43">
        <f>H25</f>
        <v>-2582</v>
      </c>
    </row>
    <row r="26" spans="1:9" x14ac:dyDescent="0.25">
      <c r="A26" s="25" t="s">
        <v>51</v>
      </c>
      <c r="B26" s="25" t="s">
        <v>216</v>
      </c>
      <c r="C26" s="25"/>
      <c r="D26" s="57"/>
      <c r="E26" s="25"/>
      <c r="F26" s="25"/>
      <c r="G26" s="25"/>
      <c r="H26" s="57"/>
      <c r="I26" s="45"/>
    </row>
    <row r="27" spans="1:9" x14ac:dyDescent="0.25">
      <c r="A27" s="18"/>
      <c r="B27" s="18" t="s">
        <v>275</v>
      </c>
      <c r="C27" s="18">
        <v>1.65</v>
      </c>
      <c r="D27" s="59">
        <v>37855.43</v>
      </c>
      <c r="E27" s="18">
        <v>5746.08</v>
      </c>
      <c r="F27" s="18">
        <f>F28+F29</f>
        <v>7206.12</v>
      </c>
      <c r="G27" s="18">
        <f>I53</f>
        <v>0</v>
      </c>
      <c r="H27" s="59">
        <f>D27+F27-G27</f>
        <v>45061.55</v>
      </c>
      <c r="I27" s="44"/>
    </row>
    <row r="28" spans="1:9" x14ac:dyDescent="0.25">
      <c r="A28" s="11"/>
      <c r="B28" s="9" t="s">
        <v>53</v>
      </c>
      <c r="C28" s="41"/>
      <c r="D28" s="42"/>
      <c r="E28" s="11"/>
      <c r="F28" s="11">
        <v>5375.11</v>
      </c>
      <c r="G28" s="11">
        <f>I53</f>
        <v>0</v>
      </c>
      <c r="H28" s="42"/>
      <c r="I28" s="43"/>
    </row>
    <row r="29" spans="1:9" x14ac:dyDescent="0.25">
      <c r="A29" s="18"/>
      <c r="B29" s="9" t="s">
        <v>54</v>
      </c>
      <c r="C29" s="41"/>
      <c r="D29" s="42"/>
      <c r="E29" s="11"/>
      <c r="F29" s="11">
        <v>1831.01</v>
      </c>
      <c r="G29" s="11"/>
      <c r="H29" s="42"/>
      <c r="I29" s="43"/>
    </row>
    <row r="30" spans="1:9" x14ac:dyDescent="0.25">
      <c r="A30" s="25" t="s">
        <v>55</v>
      </c>
      <c r="B30" s="18" t="s">
        <v>146</v>
      </c>
      <c r="C30" s="5"/>
      <c r="D30" s="59" t="s">
        <v>71</v>
      </c>
      <c r="E30" s="18"/>
      <c r="F30" s="18"/>
      <c r="G30" s="18"/>
      <c r="H30" s="59" t="s">
        <v>71</v>
      </c>
      <c r="I30" s="44"/>
    </row>
    <row r="31" spans="1:9" x14ac:dyDescent="0.25">
      <c r="A31" s="11"/>
      <c r="B31" s="11" t="s">
        <v>276</v>
      </c>
      <c r="C31" s="41">
        <v>0</v>
      </c>
      <c r="D31" s="42">
        <v>14771.95</v>
      </c>
      <c r="E31" s="11">
        <v>0</v>
      </c>
      <c r="F31" s="11">
        <v>0</v>
      </c>
      <c r="G31" s="11">
        <v>0</v>
      </c>
      <c r="H31" s="42">
        <f>D31+F31-G31</f>
        <v>14771.95</v>
      </c>
      <c r="I31" s="43"/>
    </row>
    <row r="32" spans="1:9" x14ac:dyDescent="0.25">
      <c r="A32" s="7"/>
      <c r="B32" s="62" t="s">
        <v>112</v>
      </c>
      <c r="C32" s="60"/>
      <c r="D32" s="51"/>
      <c r="E32" s="7"/>
      <c r="F32" s="7"/>
      <c r="G32" s="7"/>
      <c r="H32" s="51"/>
      <c r="I32" s="54"/>
    </row>
    <row r="33" spans="1:9" x14ac:dyDescent="0.25">
      <c r="A33" s="9"/>
      <c r="B33" s="9" t="s">
        <v>53</v>
      </c>
      <c r="C33" s="10"/>
      <c r="D33" s="8"/>
      <c r="E33" s="9">
        <v>0</v>
      </c>
      <c r="F33" s="9">
        <v>0</v>
      </c>
      <c r="G33" s="9">
        <v>0</v>
      </c>
      <c r="H33" s="8"/>
      <c r="I33" s="29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5" t="s">
        <v>69</v>
      </c>
    </row>
    <row r="36" spans="1:9" x14ac:dyDescent="0.25">
      <c r="A36" s="1" t="s">
        <v>70</v>
      </c>
      <c r="B36" s="5"/>
      <c r="C36" s="5"/>
      <c r="D36" s="56"/>
      <c r="E36" s="5"/>
      <c r="F36" s="5"/>
      <c r="G36" s="5"/>
      <c r="H36" s="5"/>
      <c r="I36" s="5"/>
    </row>
    <row r="37" spans="1:9" x14ac:dyDescent="0.25">
      <c r="A37" s="6" t="s">
        <v>71</v>
      </c>
      <c r="B37" s="68" t="s">
        <v>72</v>
      </c>
      <c r="C37" s="6" t="s">
        <v>73</v>
      </c>
      <c r="D37" s="58" t="s">
        <v>74</v>
      </c>
      <c r="E37" s="6" t="s">
        <v>75</v>
      </c>
      <c r="F37" s="58" t="s">
        <v>76</v>
      </c>
      <c r="G37" s="48" t="s">
        <v>77</v>
      </c>
      <c r="H37" s="75" t="s">
        <v>15</v>
      </c>
      <c r="I37" s="49" t="s">
        <v>19</v>
      </c>
    </row>
    <row r="38" spans="1:9" x14ac:dyDescent="0.25">
      <c r="A38" s="7"/>
      <c r="B38" s="5" t="s">
        <v>79</v>
      </c>
      <c r="C38" s="7" t="s">
        <v>80</v>
      </c>
      <c r="D38" s="60" t="s">
        <v>81</v>
      </c>
      <c r="E38" s="7" t="s">
        <v>82</v>
      </c>
      <c r="F38" s="60" t="s">
        <v>83</v>
      </c>
      <c r="G38" s="51" t="s">
        <v>84</v>
      </c>
      <c r="H38" s="22" t="s">
        <v>25</v>
      </c>
      <c r="I38" s="61" t="s">
        <v>86</v>
      </c>
    </row>
    <row r="39" spans="1:9" x14ac:dyDescent="0.25">
      <c r="A39" s="7"/>
      <c r="B39" s="60"/>
      <c r="C39" s="7"/>
      <c r="D39" s="60"/>
      <c r="E39" s="7"/>
      <c r="F39" s="60" t="s">
        <v>87</v>
      </c>
      <c r="G39" s="51" t="s">
        <v>88</v>
      </c>
      <c r="H39" s="22" t="s">
        <v>30</v>
      </c>
      <c r="I39" s="61" t="s">
        <v>30</v>
      </c>
    </row>
    <row r="40" spans="1:9" x14ac:dyDescent="0.25">
      <c r="A40" s="62"/>
      <c r="B40" s="74"/>
      <c r="C40" s="62"/>
      <c r="D40" s="74"/>
      <c r="E40" s="62"/>
      <c r="F40" s="74"/>
      <c r="G40" s="52"/>
      <c r="H40" s="54"/>
      <c r="I40" s="53" t="s">
        <v>240</v>
      </c>
    </row>
    <row r="41" spans="1:9" x14ac:dyDescent="0.25">
      <c r="A41" s="62"/>
      <c r="B41" s="62"/>
      <c r="C41" s="14"/>
      <c r="D41" s="62"/>
      <c r="E41" s="74"/>
      <c r="F41" s="62"/>
      <c r="G41" s="74"/>
      <c r="H41" s="62"/>
      <c r="I41" s="53"/>
    </row>
    <row r="42" spans="1:9" x14ac:dyDescent="0.25">
      <c r="A42" s="9">
        <v>1</v>
      </c>
      <c r="B42" s="9" t="s">
        <v>90</v>
      </c>
      <c r="C42" s="41" t="s">
        <v>91</v>
      </c>
      <c r="D42" s="9">
        <v>-1641.67</v>
      </c>
      <c r="E42" s="65">
        <v>29267.040000000001</v>
      </c>
      <c r="F42" s="9">
        <v>26408.75</v>
      </c>
      <c r="G42" s="65">
        <f>E42</f>
        <v>29267.040000000001</v>
      </c>
      <c r="H42" s="9">
        <f>D42+F42-G42</f>
        <v>-4499.9599999999991</v>
      </c>
      <c r="I42" s="9">
        <f>H42</f>
        <v>-4499.9599999999991</v>
      </c>
    </row>
    <row r="43" spans="1:9" x14ac:dyDescent="0.25">
      <c r="A43" s="8"/>
      <c r="B43" s="9" t="s">
        <v>218</v>
      </c>
      <c r="C43" s="9" t="s">
        <v>93</v>
      </c>
      <c r="D43" s="8"/>
      <c r="E43" s="8"/>
      <c r="F43" s="9"/>
      <c r="G43" s="50"/>
      <c r="H43" s="50"/>
      <c r="I43" s="50"/>
    </row>
    <row r="44" spans="1:9" x14ac:dyDescent="0.25">
      <c r="A44" s="2"/>
      <c r="B44" s="2" t="s">
        <v>71</v>
      </c>
      <c r="C44" s="2"/>
      <c r="D44" s="2"/>
      <c r="E44" s="2"/>
      <c r="F44" s="2" t="s">
        <v>71</v>
      </c>
      <c r="G44" s="2"/>
      <c r="H44" s="2"/>
      <c r="I44" s="2"/>
    </row>
    <row r="45" spans="1:9" x14ac:dyDescent="0.25">
      <c r="A45" s="1" t="s">
        <v>219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5" t="s">
        <v>220</v>
      </c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48" t="s">
        <v>12</v>
      </c>
      <c r="B47" s="6" t="s">
        <v>221</v>
      </c>
      <c r="C47" s="58" t="s">
        <v>103</v>
      </c>
      <c r="D47" s="58"/>
      <c r="E47" s="58"/>
      <c r="F47" s="48" t="s">
        <v>222</v>
      </c>
      <c r="G47" s="58"/>
      <c r="H47" s="49"/>
      <c r="I47" s="6" t="s">
        <v>105</v>
      </c>
    </row>
    <row r="48" spans="1:9" x14ac:dyDescent="0.25">
      <c r="A48" s="51" t="s">
        <v>106</v>
      </c>
      <c r="B48" s="7" t="s">
        <v>223</v>
      </c>
      <c r="C48" s="60"/>
      <c r="D48" s="60"/>
      <c r="E48" s="60"/>
      <c r="F48" s="51" t="s">
        <v>224</v>
      </c>
      <c r="G48" s="60"/>
      <c r="H48" s="61"/>
      <c r="I48" s="7" t="s">
        <v>108</v>
      </c>
    </row>
    <row r="49" spans="1:9" x14ac:dyDescent="0.25">
      <c r="A49" s="51"/>
      <c r="B49" s="7"/>
      <c r="C49" s="60"/>
      <c r="D49" s="60"/>
      <c r="E49" s="60"/>
      <c r="F49" s="51" t="s">
        <v>225</v>
      </c>
      <c r="G49" s="60"/>
      <c r="H49" s="61"/>
      <c r="I49" s="7"/>
    </row>
    <row r="50" spans="1:9" x14ac:dyDescent="0.25">
      <c r="A50" s="51"/>
      <c r="B50" s="62"/>
      <c r="C50" s="60"/>
      <c r="D50" s="60"/>
      <c r="E50" s="60"/>
      <c r="F50" s="51" t="s">
        <v>226</v>
      </c>
      <c r="G50" s="60"/>
      <c r="H50" s="61"/>
      <c r="I50" s="7"/>
    </row>
    <row r="51" spans="1:9" x14ac:dyDescent="0.25">
      <c r="A51" s="67" t="s">
        <v>110</v>
      </c>
      <c r="B51" s="18"/>
      <c r="C51" s="68" t="s">
        <v>111</v>
      </c>
      <c r="D51" s="68"/>
      <c r="E51" s="68"/>
      <c r="F51" s="48"/>
      <c r="G51" s="58"/>
      <c r="H51" s="49"/>
      <c r="I51" s="6"/>
    </row>
    <row r="52" spans="1:9" x14ac:dyDescent="0.25">
      <c r="A52" s="69"/>
      <c r="B52" s="7"/>
      <c r="C52" s="60"/>
      <c r="D52" s="60"/>
      <c r="E52" s="60"/>
      <c r="F52" s="51" t="s">
        <v>71</v>
      </c>
      <c r="G52" s="37"/>
      <c r="H52" s="61" t="s">
        <v>71</v>
      </c>
      <c r="I52" s="7" t="s">
        <v>71</v>
      </c>
    </row>
    <row r="53" spans="1:9" x14ac:dyDescent="0.25">
      <c r="A53" s="69"/>
      <c r="B53" s="7"/>
      <c r="C53" s="5" t="s">
        <v>118</v>
      </c>
      <c r="D53" s="5"/>
      <c r="E53" s="5"/>
      <c r="F53" s="59"/>
      <c r="G53" s="20">
        <v>0</v>
      </c>
      <c r="H53" s="71"/>
      <c r="I53" s="18">
        <v>0</v>
      </c>
    </row>
    <row r="54" spans="1:9" x14ac:dyDescent="0.25">
      <c r="A54" s="6"/>
      <c r="B54" s="6"/>
      <c r="C54" s="48"/>
      <c r="D54" s="58"/>
      <c r="E54" s="49"/>
      <c r="F54" s="48"/>
      <c r="G54" s="58"/>
      <c r="H54" s="49"/>
      <c r="I54" s="6"/>
    </row>
    <row r="55" spans="1:9" x14ac:dyDescent="0.25">
      <c r="A55" s="6" t="s">
        <v>48</v>
      </c>
      <c r="B55" s="25" t="s">
        <v>119</v>
      </c>
      <c r="C55" s="57" t="s">
        <v>120</v>
      </c>
      <c r="D55" s="58"/>
      <c r="E55" s="49"/>
      <c r="F55" s="48" t="s">
        <v>121</v>
      </c>
      <c r="G55" s="58"/>
      <c r="H55" s="49"/>
      <c r="I55" s="6">
        <v>0</v>
      </c>
    </row>
    <row r="56" spans="1:9" x14ac:dyDescent="0.25">
      <c r="A56" s="73"/>
      <c r="B56" s="62" t="s">
        <v>119</v>
      </c>
      <c r="C56" s="15" t="s">
        <v>118</v>
      </c>
      <c r="D56" s="14"/>
      <c r="E56" s="85"/>
      <c r="F56" s="15" t="s">
        <v>71</v>
      </c>
      <c r="G56" s="14">
        <v>0</v>
      </c>
      <c r="H56" s="85"/>
      <c r="I56" s="12">
        <v>0</v>
      </c>
    </row>
    <row r="57" spans="1:9" x14ac:dyDescent="0.25">
      <c r="A57" s="103"/>
      <c r="B57" s="60"/>
      <c r="C57" s="60"/>
      <c r="D57" s="60"/>
      <c r="E57" s="60"/>
      <c r="F57" s="60"/>
      <c r="G57" s="60"/>
      <c r="H57" s="60"/>
      <c r="I57" s="60"/>
    </row>
    <row r="58" spans="1:9" x14ac:dyDescent="0.25">
      <c r="A58" s="2" t="s">
        <v>277</v>
      </c>
      <c r="B58" s="2"/>
      <c r="C58" s="2" t="s">
        <v>71</v>
      </c>
      <c r="D58" s="2" t="s">
        <v>123</v>
      </c>
      <c r="E58" s="2"/>
      <c r="F58" s="2" t="s">
        <v>124</v>
      </c>
      <c r="G58" s="2"/>
      <c r="H58" s="2" t="s">
        <v>125</v>
      </c>
      <c r="I58" s="2" t="s">
        <v>278</v>
      </c>
    </row>
  </sheetData>
  <pageMargins left="0.7" right="0.7" top="0.75" bottom="0.75" header="0.3" footer="0.3"/>
  <pageSetup paperSize="9" orientation="landscape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43" zoomScale="110" zoomScaleNormal="110" workbookViewId="0">
      <selection activeCell="E32" sqref="E32"/>
    </sheetView>
  </sheetViews>
  <sheetFormatPr defaultRowHeight="15" x14ac:dyDescent="0.25"/>
  <cols>
    <col min="1" max="1" width="4.28515625" style="3" customWidth="1"/>
    <col min="2" max="2" width="31" style="3" customWidth="1"/>
    <col min="3" max="3" width="13" style="3" customWidth="1"/>
    <col min="4" max="4" width="12.28515625" style="3" customWidth="1"/>
    <col min="5" max="7" width="9.140625" style="3"/>
    <col min="8" max="8" width="12.42578125" style="3" customWidth="1"/>
    <col min="9" max="9" width="18.2851562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1128</v>
      </c>
      <c r="B6" s="2"/>
      <c r="C6" s="2"/>
      <c r="D6" s="1"/>
      <c r="E6" s="2"/>
      <c r="F6" s="2"/>
      <c r="G6" s="2"/>
      <c r="H6" s="2"/>
      <c r="I6" s="2"/>
    </row>
    <row r="7" spans="1:9" x14ac:dyDescent="0.25">
      <c r="A7" s="2" t="s">
        <v>1129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1130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239</v>
      </c>
    </row>
    <row r="17" spans="1:9" x14ac:dyDescent="0.25">
      <c r="A17" s="62"/>
      <c r="B17" s="62"/>
      <c r="D17" s="62"/>
      <c r="E17" s="62"/>
      <c r="F17" s="62"/>
      <c r="G17" s="62"/>
      <c r="H17" s="62"/>
      <c r="I17" s="62"/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57">
        <v>1</v>
      </c>
      <c r="B19" s="25" t="s">
        <v>191</v>
      </c>
      <c r="C19" s="25"/>
      <c r="D19" s="25"/>
      <c r="E19" s="27" t="s">
        <v>71</v>
      </c>
      <c r="F19" s="25" t="s">
        <v>71</v>
      </c>
      <c r="G19" s="57"/>
      <c r="H19" s="25" t="s">
        <v>71</v>
      </c>
      <c r="I19" s="45" t="s">
        <v>71</v>
      </c>
    </row>
    <row r="20" spans="1:9" x14ac:dyDescent="0.25">
      <c r="A20" s="15"/>
      <c r="B20" s="12" t="s">
        <v>192</v>
      </c>
      <c r="C20" s="12">
        <v>7.12</v>
      </c>
      <c r="D20" s="17">
        <v>-47833.88</v>
      </c>
      <c r="E20" s="14">
        <v>61764.480000000003</v>
      </c>
      <c r="F20" s="12">
        <v>64203.79</v>
      </c>
      <c r="G20" s="15">
        <f t="shared" ref="G20:G25" si="0">E20</f>
        <v>61764.480000000003</v>
      </c>
      <c r="H20" s="17">
        <f>D20+F20-G20</f>
        <v>-45394.57</v>
      </c>
      <c r="I20" s="17">
        <f>H20</f>
        <v>-45394.57</v>
      </c>
    </row>
    <row r="21" spans="1:9" x14ac:dyDescent="0.25">
      <c r="A21" s="7" t="s">
        <v>36</v>
      </c>
      <c r="B21" s="62" t="s">
        <v>37</v>
      </c>
      <c r="C21" s="62">
        <v>2.62</v>
      </c>
      <c r="D21" s="54"/>
      <c r="E21" s="79">
        <f xml:space="preserve"> E20*37/100</f>
        <v>22852.857600000003</v>
      </c>
      <c r="F21" s="54">
        <f>F20*37/100</f>
        <v>23755.402300000002</v>
      </c>
      <c r="G21" s="52">
        <f t="shared" si="0"/>
        <v>22852.857600000003</v>
      </c>
      <c r="H21" s="54"/>
      <c r="I21" s="54"/>
    </row>
    <row r="22" spans="1:9" x14ac:dyDescent="0.25">
      <c r="A22" s="24" t="s">
        <v>38</v>
      </c>
      <c r="B22" s="6" t="s">
        <v>39</v>
      </c>
      <c r="C22" s="6">
        <v>1.33</v>
      </c>
      <c r="D22" s="22"/>
      <c r="E22" s="86">
        <f>E20*19/100</f>
        <v>11735.251200000001</v>
      </c>
      <c r="F22" s="75">
        <f>F20*19/100</f>
        <v>12198.7201</v>
      </c>
      <c r="G22" s="37">
        <f t="shared" si="0"/>
        <v>11735.251200000001</v>
      </c>
      <c r="H22" s="22"/>
      <c r="I22" s="22"/>
    </row>
    <row r="23" spans="1:9" x14ac:dyDescent="0.25">
      <c r="A23" s="24" t="s">
        <v>40</v>
      </c>
      <c r="B23" s="6" t="s">
        <v>41</v>
      </c>
      <c r="C23" s="6">
        <v>1.22</v>
      </c>
      <c r="D23" s="75"/>
      <c r="E23" s="86">
        <f>E20*11/100</f>
        <v>6794.0928000000004</v>
      </c>
      <c r="F23" s="75">
        <f>F20*11/100</f>
        <v>7062.4169000000002</v>
      </c>
      <c r="G23" s="105">
        <f t="shared" si="0"/>
        <v>6794.0928000000004</v>
      </c>
      <c r="H23" s="29"/>
      <c r="I23" s="75"/>
    </row>
    <row r="24" spans="1:9" x14ac:dyDescent="0.25">
      <c r="A24" s="24" t="s">
        <v>42</v>
      </c>
      <c r="B24" s="6" t="s">
        <v>43</v>
      </c>
      <c r="C24" s="6">
        <v>2.93</v>
      </c>
      <c r="D24" s="29"/>
      <c r="E24" s="86">
        <f>E20*33/100</f>
        <v>20382.278399999999</v>
      </c>
      <c r="F24" s="75">
        <f>F20*33/100</f>
        <v>21187.250699999997</v>
      </c>
      <c r="G24" s="75">
        <f t="shared" si="0"/>
        <v>20382.278399999999</v>
      </c>
      <c r="H24" s="22"/>
      <c r="I24" s="29"/>
    </row>
    <row r="25" spans="1:9" x14ac:dyDescent="0.25">
      <c r="A25" s="24" t="s">
        <v>44</v>
      </c>
      <c r="B25" s="6" t="s">
        <v>47</v>
      </c>
      <c r="C25" s="6">
        <v>1.45353</v>
      </c>
      <c r="D25" s="6">
        <v>-1474.21</v>
      </c>
      <c r="E25" s="6">
        <v>10190.65</v>
      </c>
      <c r="F25" s="48">
        <v>8592.92</v>
      </c>
      <c r="G25" s="6">
        <f t="shared" si="0"/>
        <v>10190.65</v>
      </c>
      <c r="H25" s="11">
        <f>D25+F25-G25</f>
        <v>-3071.9399999999996</v>
      </c>
      <c r="I25" s="25">
        <f>H25</f>
        <v>-3071.9399999999996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17112.419999999998</v>
      </c>
      <c r="E26" s="41">
        <v>29364.27</v>
      </c>
      <c r="F26" s="11">
        <v>31178.15</v>
      </c>
      <c r="G26" s="42">
        <f>E26</f>
        <v>29364.27</v>
      </c>
      <c r="H26" s="43">
        <f>D26+F26-G26</f>
        <v>18926.3</v>
      </c>
      <c r="I26" s="43"/>
    </row>
    <row r="27" spans="1:9" x14ac:dyDescent="0.25">
      <c r="A27" s="25" t="s">
        <v>51</v>
      </c>
      <c r="B27" s="25" t="s">
        <v>216</v>
      </c>
      <c r="C27" s="25"/>
      <c r="D27" s="45"/>
      <c r="E27" s="27"/>
      <c r="F27" s="45"/>
      <c r="G27" s="68"/>
      <c r="H27" s="45"/>
      <c r="I27" s="45"/>
    </row>
    <row r="28" spans="1:9" x14ac:dyDescent="0.25">
      <c r="A28" s="12"/>
      <c r="B28" s="12" t="s">
        <v>217</v>
      </c>
      <c r="C28" s="12">
        <v>1.48</v>
      </c>
      <c r="D28" s="17">
        <v>35527.769999999997</v>
      </c>
      <c r="E28" s="14">
        <v>12838.8</v>
      </c>
      <c r="F28" s="12">
        <v>16004.09</v>
      </c>
      <c r="G28" s="12">
        <f>I61</f>
        <v>2310.2600000000002</v>
      </c>
      <c r="H28" s="17">
        <f>D28+F28-G28</f>
        <v>49221.599999999999</v>
      </c>
      <c r="I28" s="17"/>
    </row>
    <row r="29" spans="1:9" x14ac:dyDescent="0.25">
      <c r="A29" s="12"/>
      <c r="B29" s="9" t="s">
        <v>53</v>
      </c>
      <c r="C29" s="14"/>
      <c r="D29" s="43"/>
      <c r="E29" s="41"/>
      <c r="F29" s="11">
        <v>16004.09</v>
      </c>
      <c r="G29" s="42"/>
      <c r="H29" s="43"/>
      <c r="I29" s="43"/>
    </row>
    <row r="30" spans="1:9" x14ac:dyDescent="0.25">
      <c r="A30" s="11" t="s">
        <v>55</v>
      </c>
      <c r="B30" s="11" t="s">
        <v>146</v>
      </c>
      <c r="C30" s="46"/>
      <c r="D30" s="45"/>
      <c r="E30" s="5"/>
      <c r="F30" s="18"/>
      <c r="G30" s="57"/>
      <c r="H30" s="45"/>
      <c r="I30" s="45"/>
    </row>
    <row r="31" spans="1:9" x14ac:dyDescent="0.25">
      <c r="A31" s="11"/>
      <c r="B31" s="12" t="s">
        <v>276</v>
      </c>
      <c r="C31" s="14">
        <v>0</v>
      </c>
      <c r="D31" s="43">
        <v>366.33</v>
      </c>
      <c r="E31" s="10">
        <v>0</v>
      </c>
      <c r="F31" s="9">
        <f>F32</f>
        <v>621.04</v>
      </c>
      <c r="G31" s="40">
        <v>0</v>
      </c>
      <c r="H31" s="43">
        <f>D31+F31</f>
        <v>987.36999999999989</v>
      </c>
      <c r="I31" s="29"/>
    </row>
    <row r="32" spans="1:9" x14ac:dyDescent="0.25">
      <c r="A32" s="9"/>
      <c r="B32" s="9" t="s">
        <v>53</v>
      </c>
      <c r="C32" s="10"/>
      <c r="D32" s="29"/>
      <c r="E32" s="10">
        <v>0</v>
      </c>
      <c r="F32" s="9">
        <v>621.04</v>
      </c>
      <c r="G32" s="8" t="s">
        <v>71</v>
      </c>
      <c r="H32" s="29"/>
      <c r="I32" s="29"/>
    </row>
    <row r="33" spans="1:9" x14ac:dyDescent="0.25">
      <c r="A33" s="60"/>
      <c r="B33" s="5"/>
      <c r="C33" s="5"/>
      <c r="D33" s="37"/>
      <c r="E33" s="60"/>
      <c r="F33" s="60"/>
      <c r="G33" s="60"/>
      <c r="H33" s="37"/>
      <c r="I33" s="37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6" t="s">
        <v>59</v>
      </c>
      <c r="B36" s="58" t="s">
        <v>60</v>
      </c>
      <c r="C36" s="6" t="s">
        <v>61</v>
      </c>
      <c r="D36" s="6" t="s">
        <v>62</v>
      </c>
      <c r="E36" s="6" t="s">
        <v>507</v>
      </c>
      <c r="F36" s="49" t="s">
        <v>61</v>
      </c>
      <c r="G36" s="6"/>
      <c r="H36" s="58" t="s">
        <v>199</v>
      </c>
      <c r="I36" s="49"/>
    </row>
    <row r="37" spans="1:9" x14ac:dyDescent="0.25">
      <c r="A37" s="7"/>
      <c r="B37" s="60"/>
      <c r="C37" s="62" t="s">
        <v>66</v>
      </c>
      <c r="D37" s="62" t="s">
        <v>23</v>
      </c>
      <c r="E37" s="62" t="s">
        <v>312</v>
      </c>
      <c r="F37" s="61" t="s">
        <v>30</v>
      </c>
      <c r="G37" s="7"/>
      <c r="H37" s="74"/>
      <c r="I37" s="53"/>
    </row>
    <row r="38" spans="1:9" x14ac:dyDescent="0.25">
      <c r="A38" s="62"/>
      <c r="B38" s="74" t="s">
        <v>68</v>
      </c>
      <c r="C38" s="62">
        <v>5598</v>
      </c>
      <c r="D38" s="62">
        <v>3600</v>
      </c>
      <c r="E38" s="52">
        <f>D38*15/100</f>
        <v>540</v>
      </c>
      <c r="F38" s="8">
        <f>C38+D38-E38</f>
        <v>8658</v>
      </c>
      <c r="G38" s="50"/>
      <c r="H38" s="74">
        <f>F38-G38</f>
        <v>8658</v>
      </c>
      <c r="I38" s="53"/>
    </row>
    <row r="39" spans="1:9" x14ac:dyDescent="0.25">
      <c r="A39" s="1"/>
      <c r="B39" s="2"/>
      <c r="C39" s="2"/>
      <c r="E39" s="2"/>
      <c r="F39" s="2"/>
      <c r="G39" s="2"/>
      <c r="H39" s="2"/>
      <c r="I39" s="2"/>
    </row>
    <row r="40" spans="1:9" x14ac:dyDescent="0.25">
      <c r="A40" s="1"/>
      <c r="B40" s="2"/>
      <c r="C40" s="2"/>
      <c r="E40" s="2"/>
      <c r="F40" s="2"/>
      <c r="G40" s="2"/>
      <c r="H40" s="2"/>
      <c r="I40" s="2"/>
    </row>
    <row r="41" spans="1:9" x14ac:dyDescent="0.25">
      <c r="A41" s="5" t="s">
        <v>69</v>
      </c>
      <c r="B41" s="2"/>
      <c r="C41" s="2"/>
      <c r="E41" s="2"/>
      <c r="F41" s="2"/>
      <c r="G41" s="2"/>
      <c r="H41" s="2"/>
      <c r="I41" s="2"/>
    </row>
    <row r="42" spans="1:9" x14ac:dyDescent="0.25">
      <c r="A42" s="1" t="s">
        <v>70</v>
      </c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6" t="s">
        <v>71</v>
      </c>
      <c r="B43" s="57" t="s">
        <v>72</v>
      </c>
      <c r="C43" s="6" t="s">
        <v>73</v>
      </c>
      <c r="D43" s="58" t="s">
        <v>74</v>
      </c>
      <c r="E43" s="6" t="s">
        <v>75</v>
      </c>
      <c r="F43" s="58" t="s">
        <v>76</v>
      </c>
      <c r="G43" s="6" t="s">
        <v>77</v>
      </c>
      <c r="H43" s="58" t="s">
        <v>78</v>
      </c>
      <c r="I43" s="6" t="s">
        <v>19</v>
      </c>
    </row>
    <row r="44" spans="1:9" x14ac:dyDescent="0.25">
      <c r="A44" s="7"/>
      <c r="B44" s="59" t="s">
        <v>79</v>
      </c>
      <c r="C44" s="7" t="s">
        <v>80</v>
      </c>
      <c r="D44" s="60" t="s">
        <v>81</v>
      </c>
      <c r="E44" s="7" t="s">
        <v>82</v>
      </c>
      <c r="F44" s="60" t="s">
        <v>83</v>
      </c>
      <c r="G44" s="7" t="s">
        <v>84</v>
      </c>
      <c r="H44" s="60" t="s">
        <v>85</v>
      </c>
      <c r="I44" s="7" t="s">
        <v>86</v>
      </c>
    </row>
    <row r="45" spans="1:9" x14ac:dyDescent="0.25">
      <c r="A45" s="7"/>
      <c r="B45" s="51"/>
      <c r="C45" s="7"/>
      <c r="D45" s="60"/>
      <c r="E45" s="7"/>
      <c r="F45" s="60" t="s">
        <v>87</v>
      </c>
      <c r="G45" s="7" t="s">
        <v>88</v>
      </c>
      <c r="H45" s="60"/>
      <c r="I45" s="7" t="s">
        <v>30</v>
      </c>
    </row>
    <row r="46" spans="1:9" x14ac:dyDescent="0.25">
      <c r="A46" s="9">
        <v>1</v>
      </c>
      <c r="B46" s="9" t="s">
        <v>90</v>
      </c>
      <c r="C46" s="42" t="s">
        <v>91</v>
      </c>
      <c r="D46" s="6">
        <v>-105414.76</v>
      </c>
      <c r="E46" s="64">
        <v>125404.25</v>
      </c>
      <c r="F46" s="9">
        <v>141502.82999999999</v>
      </c>
      <c r="G46" s="8">
        <f>E46</f>
        <v>125404.25</v>
      </c>
      <c r="H46" s="9">
        <f>D46+F46-G46</f>
        <v>-89316.180000000008</v>
      </c>
      <c r="I46" s="50">
        <f>H46</f>
        <v>-89316.180000000008</v>
      </c>
    </row>
    <row r="47" spans="1:9" x14ac:dyDescent="0.25">
      <c r="A47" s="9"/>
      <c r="B47" s="9" t="s">
        <v>521</v>
      </c>
      <c r="C47" s="41" t="s">
        <v>93</v>
      </c>
      <c r="D47" s="6"/>
      <c r="E47" s="65"/>
      <c r="F47" s="9"/>
      <c r="G47" s="60"/>
      <c r="H47" s="7"/>
      <c r="I47" s="61"/>
    </row>
    <row r="48" spans="1:9" x14ac:dyDescent="0.25">
      <c r="A48" s="9">
        <v>2</v>
      </c>
      <c r="B48" s="9" t="s">
        <v>98</v>
      </c>
      <c r="C48" s="41" t="s">
        <v>203</v>
      </c>
      <c r="D48" s="9">
        <v>-103067.49</v>
      </c>
      <c r="E48" s="10">
        <v>0</v>
      </c>
      <c r="F48" s="9">
        <v>15220.17</v>
      </c>
      <c r="G48" s="8">
        <f>E48</f>
        <v>0</v>
      </c>
      <c r="H48" s="9">
        <f>D48+F48-G48</f>
        <v>-87847.32</v>
      </c>
      <c r="I48" s="50">
        <f>H48</f>
        <v>-87847.32</v>
      </c>
    </row>
    <row r="49" spans="1:9" x14ac:dyDescent="0.25">
      <c r="A49" s="2"/>
      <c r="B49" s="2" t="s">
        <v>71</v>
      </c>
      <c r="C49" s="2"/>
      <c r="D49" s="2"/>
      <c r="E49" s="2"/>
      <c r="F49" s="2" t="s">
        <v>71</v>
      </c>
      <c r="G49" s="2"/>
      <c r="H49" s="2"/>
      <c r="I49" s="2"/>
    </row>
    <row r="50" spans="1:9" x14ac:dyDescent="0.25">
      <c r="A50" s="1" t="s">
        <v>100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5" t="s">
        <v>101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8" t="s">
        <v>12</v>
      </c>
      <c r="B52" s="6" t="s">
        <v>102</v>
      </c>
      <c r="C52" s="58" t="s">
        <v>103</v>
      </c>
      <c r="D52" s="58"/>
      <c r="E52" s="58"/>
      <c r="F52" s="48" t="s">
        <v>556</v>
      </c>
      <c r="G52" s="58"/>
      <c r="H52" s="49"/>
      <c r="I52" s="6" t="s">
        <v>105</v>
      </c>
    </row>
    <row r="53" spans="1:9" x14ac:dyDescent="0.25">
      <c r="A53" s="51" t="s">
        <v>106</v>
      </c>
      <c r="B53" s="7"/>
      <c r="C53" s="60"/>
      <c r="D53" s="60"/>
      <c r="E53" s="60"/>
      <c r="F53" s="51" t="s">
        <v>1131</v>
      </c>
      <c r="G53" s="60"/>
      <c r="H53" s="61"/>
      <c r="I53" s="7" t="s">
        <v>108</v>
      </c>
    </row>
    <row r="54" spans="1:9" x14ac:dyDescent="0.25">
      <c r="A54" s="51"/>
      <c r="B54" s="7"/>
      <c r="C54" s="60"/>
      <c r="D54" s="60"/>
      <c r="E54" s="60"/>
      <c r="F54" s="51" t="s">
        <v>1118</v>
      </c>
      <c r="G54" s="60"/>
      <c r="H54" s="61"/>
      <c r="I54" s="7"/>
    </row>
    <row r="55" spans="1:9" x14ac:dyDescent="0.25">
      <c r="A55" s="51"/>
      <c r="B55" s="7"/>
      <c r="C55" s="60"/>
      <c r="D55" s="60"/>
      <c r="E55" s="60"/>
      <c r="F55" s="51" t="s">
        <v>568</v>
      </c>
      <c r="G55" s="60"/>
      <c r="H55" s="61"/>
      <c r="I55" s="7"/>
    </row>
    <row r="56" spans="1:9" x14ac:dyDescent="0.25">
      <c r="A56" s="52"/>
      <c r="B56" s="62"/>
      <c r="C56" s="60"/>
      <c r="D56" s="60"/>
      <c r="E56" s="60"/>
      <c r="F56" s="51" t="s">
        <v>71</v>
      </c>
      <c r="G56" s="60"/>
      <c r="H56" s="61"/>
      <c r="I56" s="62"/>
    </row>
    <row r="57" spans="1:9" x14ac:dyDescent="0.25">
      <c r="A57" s="67" t="s">
        <v>110</v>
      </c>
      <c r="B57" s="59"/>
      <c r="C57" s="57" t="s">
        <v>111</v>
      </c>
      <c r="D57" s="68"/>
      <c r="E57" s="68"/>
      <c r="F57" s="48"/>
      <c r="G57" s="58"/>
      <c r="H57" s="49"/>
      <c r="I57" s="6"/>
    </row>
    <row r="58" spans="1:9" x14ac:dyDescent="0.25">
      <c r="A58" s="69"/>
      <c r="B58" s="51"/>
      <c r="C58" s="51" t="s">
        <v>112</v>
      </c>
      <c r="D58" s="60"/>
      <c r="E58" s="60"/>
      <c r="F58" s="51" t="s">
        <v>71</v>
      </c>
      <c r="G58" s="37" t="s">
        <v>71</v>
      </c>
      <c r="H58" s="61" t="s">
        <v>71</v>
      </c>
      <c r="I58" s="7" t="s">
        <v>71</v>
      </c>
    </row>
    <row r="59" spans="1:9" x14ac:dyDescent="0.25">
      <c r="A59" s="69" t="s">
        <v>113</v>
      </c>
      <c r="B59" s="83">
        <v>43052</v>
      </c>
      <c r="C59" s="51" t="s">
        <v>631</v>
      </c>
      <c r="D59" s="60"/>
      <c r="E59" s="60"/>
      <c r="F59" s="51"/>
      <c r="G59" s="37">
        <f>I59/722.9</f>
        <v>3.1958223820722096</v>
      </c>
      <c r="H59" s="61"/>
      <c r="I59" s="7">
        <v>2310.2600000000002</v>
      </c>
    </row>
    <row r="60" spans="1:9" x14ac:dyDescent="0.25">
      <c r="A60" s="69"/>
      <c r="B60" s="199"/>
      <c r="C60" s="51"/>
      <c r="D60" s="2"/>
      <c r="E60" s="2"/>
      <c r="F60" s="251"/>
      <c r="G60" s="37"/>
      <c r="H60" s="61"/>
      <c r="I60" s="7"/>
    </row>
    <row r="61" spans="1:9" x14ac:dyDescent="0.25">
      <c r="A61" s="69"/>
      <c r="B61" s="51"/>
      <c r="C61" s="15" t="s">
        <v>118</v>
      </c>
      <c r="D61" s="5"/>
      <c r="E61" s="5"/>
      <c r="F61" s="15"/>
      <c r="G61" s="78">
        <f>SUM(G59:G60)</f>
        <v>3.1958223820722096</v>
      </c>
      <c r="H61" s="85"/>
      <c r="I61" s="18">
        <f>SUM(I59:I60)</f>
        <v>2310.2600000000002</v>
      </c>
    </row>
    <row r="62" spans="1:9" x14ac:dyDescent="0.25">
      <c r="A62" s="6"/>
      <c r="B62" s="6"/>
      <c r="C62" s="57"/>
      <c r="D62" s="68"/>
      <c r="E62" s="72"/>
      <c r="F62" s="57"/>
      <c r="G62" s="68"/>
      <c r="H62" s="72"/>
      <c r="I62" s="25"/>
    </row>
    <row r="63" spans="1:9" x14ac:dyDescent="0.25">
      <c r="A63" s="6" t="s">
        <v>48</v>
      </c>
      <c r="B63" s="25" t="s">
        <v>119</v>
      </c>
      <c r="C63" s="57" t="s">
        <v>120</v>
      </c>
      <c r="D63" s="58"/>
      <c r="E63" s="49"/>
      <c r="F63" s="48" t="s">
        <v>121</v>
      </c>
      <c r="G63" s="58"/>
      <c r="H63" s="49"/>
      <c r="I63" s="6"/>
    </row>
    <row r="64" spans="1:9" x14ac:dyDescent="0.25">
      <c r="A64" s="69"/>
      <c r="B64" s="7"/>
      <c r="C64" s="51"/>
      <c r="D64" s="60"/>
      <c r="E64" s="61"/>
      <c r="F64" s="51"/>
      <c r="G64" s="37"/>
      <c r="H64" s="61"/>
      <c r="I64" s="7"/>
    </row>
    <row r="65" spans="1:9" x14ac:dyDescent="0.25">
      <c r="A65" s="73"/>
      <c r="B65" s="62" t="s">
        <v>119</v>
      </c>
      <c r="C65" s="15" t="s">
        <v>118</v>
      </c>
      <c r="D65" s="14"/>
      <c r="E65" s="85"/>
      <c r="F65" s="15" t="s">
        <v>71</v>
      </c>
      <c r="G65" s="78">
        <f>SUM(G64)</f>
        <v>0</v>
      </c>
      <c r="H65" s="85"/>
      <c r="I65" s="12">
        <f>SUM(I64)</f>
        <v>0</v>
      </c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 t="s">
        <v>1132</v>
      </c>
      <c r="B67" s="2"/>
      <c r="C67" s="2" t="s">
        <v>71</v>
      </c>
      <c r="D67" s="2" t="s">
        <v>1133</v>
      </c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2" spans="1:9" x14ac:dyDescent="0.25">
      <c r="A72" s="118"/>
      <c r="B72" s="118"/>
      <c r="C72" s="118"/>
      <c r="D72" s="118"/>
      <c r="E72" s="118"/>
      <c r="F72" s="118"/>
      <c r="G72" s="118"/>
      <c r="H72" s="118"/>
      <c r="I72" s="118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39" zoomScale="110" zoomScaleNormal="110" workbookViewId="0">
      <selection activeCell="G59" sqref="G59"/>
    </sheetView>
  </sheetViews>
  <sheetFormatPr defaultRowHeight="15" x14ac:dyDescent="0.25"/>
  <cols>
    <col min="1" max="1" width="5.28515625" style="3" customWidth="1"/>
    <col min="2" max="2" width="31.28515625" style="3" customWidth="1"/>
    <col min="3" max="3" width="12.28515625" style="3" customWidth="1"/>
    <col min="4" max="5" width="9.140625" style="3"/>
    <col min="6" max="6" width="16.42578125" style="3" customWidth="1"/>
    <col min="7" max="7" width="9.140625" style="3"/>
    <col min="8" max="8" width="13.28515625" style="3" customWidth="1"/>
    <col min="9" max="9" width="17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1"/>
      <c r="C5" s="2"/>
      <c r="D5" s="2"/>
      <c r="E5" s="2"/>
      <c r="F5" s="2"/>
      <c r="G5" s="2"/>
      <c r="H5" s="2"/>
      <c r="I5" s="2"/>
    </row>
    <row r="6" spans="1:9" x14ac:dyDescent="0.25">
      <c r="A6" s="1" t="s">
        <v>1134</v>
      </c>
      <c r="B6" s="2"/>
      <c r="C6" s="2"/>
      <c r="D6" s="1"/>
      <c r="E6" s="2"/>
      <c r="F6" s="2"/>
      <c r="G6" s="2"/>
      <c r="H6" s="2"/>
      <c r="I6" s="2"/>
    </row>
    <row r="7" spans="1:9" x14ac:dyDescent="0.25">
      <c r="A7" s="2" t="s">
        <v>1135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1136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1137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548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549</v>
      </c>
    </row>
    <row r="17" spans="1:10" x14ac:dyDescent="0.25">
      <c r="A17" s="7"/>
      <c r="B17" s="7"/>
      <c r="C17" s="7" t="s">
        <v>269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1138</v>
      </c>
    </row>
    <row r="18" spans="1:10" x14ac:dyDescent="0.25">
      <c r="A18" s="7"/>
      <c r="B18" s="7"/>
      <c r="C18" s="62" t="s">
        <v>1139</v>
      </c>
      <c r="D18" s="7"/>
      <c r="E18" s="7"/>
      <c r="F18" s="7"/>
      <c r="G18" s="7"/>
      <c r="H18" s="7"/>
      <c r="I18" s="7" t="s">
        <v>1140</v>
      </c>
    </row>
    <row r="19" spans="1:10" x14ac:dyDescent="0.25">
      <c r="A19" s="8">
        <v>1</v>
      </c>
      <c r="B19" s="9">
        <v>2</v>
      </c>
      <c r="C19" s="10">
        <v>3</v>
      </c>
      <c r="D19" s="9">
        <v>4</v>
      </c>
      <c r="E19" s="10">
        <v>5</v>
      </c>
      <c r="F19" s="9">
        <v>6</v>
      </c>
      <c r="G19" s="58">
        <v>7</v>
      </c>
      <c r="H19" s="6">
        <v>8</v>
      </c>
      <c r="I19" s="9">
        <v>9</v>
      </c>
    </row>
    <row r="20" spans="1:10" x14ac:dyDescent="0.25">
      <c r="A20" s="57">
        <v>1</v>
      </c>
      <c r="B20" s="25" t="s">
        <v>191</v>
      </c>
      <c r="C20" s="68" t="s">
        <v>71</v>
      </c>
      <c r="D20" s="25"/>
      <c r="E20" s="27" t="s">
        <v>71</v>
      </c>
      <c r="F20" s="57" t="s">
        <v>71</v>
      </c>
      <c r="G20" s="25"/>
      <c r="H20" s="240" t="s">
        <v>71</v>
      </c>
      <c r="I20" s="45" t="s">
        <v>71</v>
      </c>
    </row>
    <row r="21" spans="1:10" x14ac:dyDescent="0.25">
      <c r="A21" s="15"/>
      <c r="B21" s="12" t="s">
        <v>192</v>
      </c>
      <c r="C21" s="14">
        <v>7.56</v>
      </c>
      <c r="D21" s="17">
        <v>-20382.04</v>
      </c>
      <c r="E21" s="14">
        <v>61535.16</v>
      </c>
      <c r="F21" s="15">
        <v>61153.599999999999</v>
      </c>
      <c r="G21" s="12">
        <f t="shared" ref="G21:G27" si="0">E21</f>
        <v>61535.16</v>
      </c>
      <c r="H21" s="252">
        <f>D21+F21-G21</f>
        <v>-20763.600000000006</v>
      </c>
      <c r="I21" s="17">
        <f>H21</f>
        <v>-20763.600000000006</v>
      </c>
    </row>
    <row r="22" spans="1:10" x14ac:dyDescent="0.25">
      <c r="A22" s="7" t="s">
        <v>36</v>
      </c>
      <c r="B22" s="62" t="s">
        <v>37</v>
      </c>
      <c r="C22" s="74">
        <v>2.62</v>
      </c>
      <c r="D22" s="54"/>
      <c r="E22" s="79">
        <f>E21*34.5/100</f>
        <v>21229.6302</v>
      </c>
      <c r="F22" s="54">
        <f>F21*34.5/100</f>
        <v>21097.991999999998</v>
      </c>
      <c r="G22" s="55">
        <f t="shared" si="0"/>
        <v>21229.6302</v>
      </c>
      <c r="H22" s="54"/>
      <c r="I22" s="54"/>
    </row>
    <row r="23" spans="1:10" x14ac:dyDescent="0.25">
      <c r="A23" s="24" t="s">
        <v>38</v>
      </c>
      <c r="B23" s="6" t="s">
        <v>1141</v>
      </c>
      <c r="C23" s="58">
        <v>1.33</v>
      </c>
      <c r="D23" s="22"/>
      <c r="E23" s="86">
        <f>E21*18/100</f>
        <v>11076.328800000001</v>
      </c>
      <c r="F23" s="75">
        <f>F21*18/100</f>
        <v>11007.648000000001</v>
      </c>
      <c r="G23" s="37">
        <f t="shared" si="0"/>
        <v>11076.328800000001</v>
      </c>
      <c r="H23" s="22"/>
      <c r="I23" s="22"/>
    </row>
    <row r="24" spans="1:10" x14ac:dyDescent="0.25">
      <c r="A24" s="24" t="s">
        <v>40</v>
      </c>
      <c r="B24" s="6" t="s">
        <v>41</v>
      </c>
      <c r="C24" s="58">
        <v>1.22</v>
      </c>
      <c r="D24" s="75"/>
      <c r="E24" s="86">
        <f>E21*16/100</f>
        <v>9845.6256000000012</v>
      </c>
      <c r="F24" s="75">
        <f>F21*16/100</f>
        <v>9784.5759999999991</v>
      </c>
      <c r="G24" s="105">
        <f t="shared" si="0"/>
        <v>9845.6256000000012</v>
      </c>
      <c r="H24" s="75"/>
      <c r="I24" s="75"/>
    </row>
    <row r="25" spans="1:10" x14ac:dyDescent="0.25">
      <c r="A25" s="24" t="s">
        <v>42</v>
      </c>
      <c r="B25" s="6" t="s">
        <v>43</v>
      </c>
      <c r="C25" s="58">
        <v>2.39</v>
      </c>
      <c r="D25" s="29"/>
      <c r="E25" s="86">
        <f>E21*31.5/100</f>
        <v>19383.575400000002</v>
      </c>
      <c r="F25" s="75">
        <f>F21*31.5/100</f>
        <v>19263.383999999998</v>
      </c>
      <c r="G25" s="40">
        <f t="shared" si="0"/>
        <v>19383.575400000002</v>
      </c>
      <c r="H25" s="29"/>
      <c r="I25" s="29"/>
    </row>
    <row r="26" spans="1:10" x14ac:dyDescent="0.25">
      <c r="A26" s="24" t="s">
        <v>44</v>
      </c>
      <c r="B26" s="6" t="s">
        <v>47</v>
      </c>
      <c r="C26" s="58">
        <v>1.4709099999999999</v>
      </c>
      <c r="D26" s="6">
        <v>-318.70999999999998</v>
      </c>
      <c r="E26" s="6">
        <v>9968.1299999999992</v>
      </c>
      <c r="F26" s="6">
        <v>8795.2999999999993</v>
      </c>
      <c r="G26" s="58">
        <f>E26</f>
        <v>9968.1299999999992</v>
      </c>
      <c r="H26" s="57">
        <f>D26+F26-G26</f>
        <v>-1491.5399999999991</v>
      </c>
      <c r="I26" s="25">
        <f>H26</f>
        <v>-1491.5399999999991</v>
      </c>
      <c r="J26" s="253"/>
    </row>
    <row r="27" spans="1:10" x14ac:dyDescent="0.25">
      <c r="A27" s="11" t="s">
        <v>48</v>
      </c>
      <c r="B27" s="11" t="s">
        <v>49</v>
      </c>
      <c r="C27" s="41" t="s">
        <v>50</v>
      </c>
      <c r="D27" s="43">
        <v>-1733.4</v>
      </c>
      <c r="E27" s="41">
        <v>27552.51</v>
      </c>
      <c r="F27" s="11">
        <v>26211.7</v>
      </c>
      <c r="G27" s="42">
        <f t="shared" si="0"/>
        <v>27552.51</v>
      </c>
      <c r="H27" s="11">
        <f>D27+F27-G27</f>
        <v>-3074.2099999999991</v>
      </c>
      <c r="I27" s="43">
        <f>H27</f>
        <v>-3074.2099999999991</v>
      </c>
    </row>
    <row r="28" spans="1:10" x14ac:dyDescent="0.25">
      <c r="A28" s="25" t="s">
        <v>51</v>
      </c>
      <c r="B28" s="25" t="s">
        <v>216</v>
      </c>
      <c r="C28" s="68"/>
      <c r="D28" s="45"/>
      <c r="E28" s="68"/>
      <c r="F28" s="25"/>
      <c r="G28" s="57"/>
      <c r="H28" s="25"/>
      <c r="I28" s="45"/>
    </row>
    <row r="29" spans="1:10" x14ac:dyDescent="0.25">
      <c r="A29" s="12"/>
      <c r="B29" s="12" t="s">
        <v>275</v>
      </c>
      <c r="C29" s="14">
        <v>1.65</v>
      </c>
      <c r="D29" s="17">
        <v>-12112.6</v>
      </c>
      <c r="E29" s="14">
        <v>13430.88</v>
      </c>
      <c r="F29" s="12">
        <f>F30+F31</f>
        <v>13900.27</v>
      </c>
      <c r="G29" s="12">
        <f>I60</f>
        <v>19316.03</v>
      </c>
      <c r="H29" s="17">
        <f>D29+F29-G29</f>
        <v>-17528.36</v>
      </c>
      <c r="I29" s="17">
        <f>H29</f>
        <v>-17528.36</v>
      </c>
    </row>
    <row r="30" spans="1:10" x14ac:dyDescent="0.25">
      <c r="A30" s="12"/>
      <c r="B30" s="9" t="s">
        <v>53</v>
      </c>
      <c r="C30" s="14"/>
      <c r="D30" s="43"/>
      <c r="E30" s="41">
        <v>0</v>
      </c>
      <c r="F30" s="11">
        <v>13347.6</v>
      </c>
      <c r="G30" s="41">
        <f>I60</f>
        <v>19316.03</v>
      </c>
      <c r="H30" s="11"/>
      <c r="I30" s="43"/>
    </row>
    <row r="31" spans="1:10" x14ac:dyDescent="0.25">
      <c r="A31" s="12"/>
      <c r="B31" s="9" t="s">
        <v>54</v>
      </c>
      <c r="C31" s="14"/>
      <c r="D31" s="43"/>
      <c r="E31" s="41"/>
      <c r="F31" s="11">
        <v>552.66999999999996</v>
      </c>
      <c r="G31" s="41"/>
      <c r="H31" s="11"/>
      <c r="I31" s="43"/>
    </row>
    <row r="32" spans="1:10" x14ac:dyDescent="0.25">
      <c r="A32" s="11" t="s">
        <v>55</v>
      </c>
      <c r="B32" s="11" t="s">
        <v>146</v>
      </c>
      <c r="C32" s="46"/>
      <c r="D32" s="44"/>
      <c r="E32" s="20"/>
      <c r="F32" s="44"/>
      <c r="G32" s="20"/>
      <c r="H32" s="44"/>
      <c r="I32" s="44"/>
    </row>
    <row r="33" spans="1:9" x14ac:dyDescent="0.25">
      <c r="A33" s="12"/>
      <c r="B33" s="12" t="s">
        <v>276</v>
      </c>
      <c r="C33" s="14">
        <v>0</v>
      </c>
      <c r="D33" s="11">
        <v>-2310.06</v>
      </c>
      <c r="E33" s="41">
        <v>0</v>
      </c>
      <c r="F33" s="11">
        <v>0</v>
      </c>
      <c r="G33" s="42">
        <f>G34</f>
        <v>0</v>
      </c>
      <c r="H33" s="11">
        <v>-2310.06</v>
      </c>
      <c r="I33" s="43">
        <f>H33</f>
        <v>-2310.06</v>
      </c>
    </row>
    <row r="34" spans="1:9" x14ac:dyDescent="0.25">
      <c r="A34" s="9"/>
      <c r="B34" s="9" t="s">
        <v>53</v>
      </c>
      <c r="C34" s="10"/>
      <c r="D34" s="9"/>
      <c r="E34" s="10">
        <v>0</v>
      </c>
      <c r="F34" s="9">
        <v>0</v>
      </c>
      <c r="G34" s="10">
        <v>0</v>
      </c>
      <c r="H34" s="9"/>
      <c r="I34" s="29"/>
    </row>
    <row r="35" spans="1:9" x14ac:dyDescent="0.25">
      <c r="A35" s="1">
        <v>0</v>
      </c>
      <c r="B35" s="2"/>
      <c r="C35" s="2"/>
      <c r="E35" s="2"/>
      <c r="F35" s="2"/>
      <c r="G35" s="2"/>
      <c r="H35" s="2"/>
      <c r="I35" s="2"/>
    </row>
    <row r="36" spans="1:9" x14ac:dyDescent="0.25">
      <c r="A36" s="6" t="s">
        <v>59</v>
      </c>
      <c r="B36" s="58" t="s">
        <v>60</v>
      </c>
      <c r="C36" s="6" t="s">
        <v>64</v>
      </c>
      <c r="D36" s="6" t="s">
        <v>62</v>
      </c>
      <c r="E36" s="6" t="s">
        <v>507</v>
      </c>
      <c r="F36" s="49" t="s">
        <v>64</v>
      </c>
      <c r="G36" s="6"/>
      <c r="H36" s="58" t="s">
        <v>199</v>
      </c>
      <c r="I36" s="49"/>
    </row>
    <row r="37" spans="1:9" x14ac:dyDescent="0.25">
      <c r="A37" s="7"/>
      <c r="B37" s="60"/>
      <c r="C37" s="62" t="s">
        <v>66</v>
      </c>
      <c r="D37" s="62" t="s">
        <v>23</v>
      </c>
      <c r="E37" s="62" t="s">
        <v>312</v>
      </c>
      <c r="F37" s="53" t="s">
        <v>30</v>
      </c>
      <c r="G37" s="62"/>
      <c r="H37" s="74"/>
      <c r="I37" s="53"/>
    </row>
    <row r="38" spans="1:9" x14ac:dyDescent="0.25">
      <c r="A38" s="62"/>
      <c r="B38" s="74" t="s">
        <v>68</v>
      </c>
      <c r="C38" s="62">
        <v>2538</v>
      </c>
      <c r="D38" s="62">
        <v>3600</v>
      </c>
      <c r="E38" s="62">
        <f>D38*15/100</f>
        <v>540</v>
      </c>
      <c r="F38" s="53">
        <f>D38-E38+C38</f>
        <v>5598</v>
      </c>
      <c r="G38" s="62"/>
      <c r="H38" s="74">
        <f>F38-G38</f>
        <v>5598</v>
      </c>
      <c r="I38" s="53"/>
    </row>
    <row r="39" spans="1:9" x14ac:dyDescent="0.25">
      <c r="A39" s="2"/>
      <c r="B39" s="2"/>
      <c r="C39" s="2"/>
      <c r="E39" s="2"/>
      <c r="F39" s="2"/>
      <c r="G39" s="2"/>
      <c r="H39" s="2"/>
      <c r="I39" s="2"/>
    </row>
    <row r="40" spans="1:9" x14ac:dyDescent="0.25">
      <c r="A40" s="5" t="s">
        <v>69</v>
      </c>
      <c r="B40" s="60"/>
      <c r="C40" s="60"/>
      <c r="D40" s="60"/>
      <c r="E40" s="60"/>
      <c r="F40" s="60"/>
      <c r="G40" s="60"/>
      <c r="H40" s="60"/>
      <c r="I40" s="60"/>
    </row>
    <row r="41" spans="1:9" x14ac:dyDescent="0.25">
      <c r="A41" s="1" t="s">
        <v>70</v>
      </c>
      <c r="B41" s="60"/>
      <c r="C41" s="60"/>
      <c r="D41" s="60"/>
      <c r="E41" s="60"/>
      <c r="F41" s="60"/>
      <c r="G41" s="60"/>
      <c r="H41" s="60"/>
      <c r="I41" s="60"/>
    </row>
    <row r="42" spans="1:9" x14ac:dyDescent="0.25">
      <c r="A42" s="6" t="s">
        <v>71</v>
      </c>
      <c r="B42" s="57" t="s">
        <v>72</v>
      </c>
      <c r="C42" s="6" t="s">
        <v>73</v>
      </c>
      <c r="D42" s="48" t="s">
        <v>74</v>
      </c>
      <c r="E42" s="6" t="s">
        <v>75</v>
      </c>
      <c r="F42" s="58" t="s">
        <v>76</v>
      </c>
      <c r="G42" s="6" t="s">
        <v>77</v>
      </c>
      <c r="H42" s="58" t="s">
        <v>78</v>
      </c>
      <c r="I42" s="6" t="s">
        <v>864</v>
      </c>
    </row>
    <row r="43" spans="1:9" x14ac:dyDescent="0.25">
      <c r="A43" s="7"/>
      <c r="B43" s="59" t="s">
        <v>79</v>
      </c>
      <c r="C43" s="7" t="s">
        <v>80</v>
      </c>
      <c r="D43" s="51" t="s">
        <v>81</v>
      </c>
      <c r="E43" s="7" t="s">
        <v>82</v>
      </c>
      <c r="F43" s="60" t="s">
        <v>83</v>
      </c>
      <c r="G43" s="7" t="s">
        <v>84</v>
      </c>
      <c r="H43" s="60" t="s">
        <v>85</v>
      </c>
      <c r="I43" s="7" t="s">
        <v>86</v>
      </c>
    </row>
    <row r="44" spans="1:9" x14ac:dyDescent="0.25">
      <c r="A44" s="7"/>
      <c r="B44" s="51"/>
      <c r="C44" s="7"/>
      <c r="D44" s="52"/>
      <c r="E44" s="62"/>
      <c r="F44" s="74" t="s">
        <v>87</v>
      </c>
      <c r="G44" s="62" t="s">
        <v>88</v>
      </c>
      <c r="H44" s="74"/>
      <c r="I44" s="62" t="s">
        <v>239</v>
      </c>
    </row>
    <row r="45" spans="1:9" x14ac:dyDescent="0.25">
      <c r="A45" s="9">
        <v>1</v>
      </c>
      <c r="B45" s="9" t="s">
        <v>90</v>
      </c>
      <c r="C45" s="41" t="s">
        <v>91</v>
      </c>
      <c r="D45" s="7">
        <v>-20979.31</v>
      </c>
      <c r="E45" s="112">
        <v>98154.86</v>
      </c>
      <c r="F45" s="7">
        <v>93530.81</v>
      </c>
      <c r="G45" s="112">
        <f>E45</f>
        <v>98154.86</v>
      </c>
      <c r="H45" s="7">
        <f>D45+F45-G45</f>
        <v>-25603.360000000001</v>
      </c>
      <c r="I45" s="7">
        <f>H45</f>
        <v>-25603.360000000001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65"/>
      <c r="H46" s="9"/>
      <c r="I46" s="9"/>
    </row>
    <row r="47" spans="1:9" x14ac:dyDescent="0.25">
      <c r="A47" s="9">
        <v>2</v>
      </c>
      <c r="B47" s="9" t="s">
        <v>98</v>
      </c>
      <c r="C47" s="41" t="s">
        <v>203</v>
      </c>
      <c r="D47" s="9">
        <v>-53240.2</v>
      </c>
      <c r="E47" s="10">
        <v>238051.83</v>
      </c>
      <c r="F47" s="9">
        <v>237736.9</v>
      </c>
      <c r="G47" s="10">
        <f>E47</f>
        <v>238051.83</v>
      </c>
      <c r="H47" s="9">
        <f>D47+F47-G47</f>
        <v>-53555.129999999976</v>
      </c>
      <c r="I47" s="9">
        <f>H47</f>
        <v>-53555.129999999976</v>
      </c>
    </row>
    <row r="48" spans="1:9" x14ac:dyDescent="0.25">
      <c r="A48" s="2"/>
      <c r="B48" s="2" t="s">
        <v>71</v>
      </c>
      <c r="C48" s="2"/>
      <c r="D48" s="2"/>
      <c r="E48" s="2"/>
      <c r="F48" s="2" t="s">
        <v>71</v>
      </c>
      <c r="G48" s="2"/>
      <c r="H48" s="2"/>
      <c r="I48" s="2"/>
    </row>
    <row r="49" spans="1:9" x14ac:dyDescent="0.25">
      <c r="A49" s="1" t="s">
        <v>718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761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222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224</v>
      </c>
      <c r="G52" s="60"/>
      <c r="H52" s="61"/>
      <c r="I52" s="7" t="s">
        <v>108</v>
      </c>
    </row>
    <row r="53" spans="1:9" x14ac:dyDescent="0.25">
      <c r="A53" s="51"/>
      <c r="B53" s="7"/>
      <c r="C53" s="60"/>
      <c r="D53" s="60"/>
      <c r="E53" s="60"/>
      <c r="F53" s="51" t="s">
        <v>225</v>
      </c>
      <c r="G53" s="60"/>
      <c r="H53" s="61"/>
      <c r="I53" s="7"/>
    </row>
    <row r="54" spans="1:9" x14ac:dyDescent="0.25">
      <c r="A54" s="51"/>
      <c r="B54" s="62"/>
      <c r="C54" s="60"/>
      <c r="D54" s="60"/>
      <c r="E54" s="60"/>
      <c r="F54" s="51" t="s">
        <v>226</v>
      </c>
      <c r="G54" s="60"/>
      <c r="H54" s="61"/>
      <c r="I54" s="7"/>
    </row>
    <row r="55" spans="1:9" x14ac:dyDescent="0.25">
      <c r="A55" s="67" t="s">
        <v>110</v>
      </c>
      <c r="B55" s="18"/>
      <c r="C55" s="68" t="s">
        <v>111</v>
      </c>
      <c r="D55" s="68"/>
      <c r="E55" s="68"/>
      <c r="F55" s="48"/>
      <c r="G55" s="58"/>
      <c r="H55" s="58"/>
      <c r="I55" s="6"/>
    </row>
    <row r="56" spans="1:9" x14ac:dyDescent="0.25">
      <c r="A56" s="69"/>
      <c r="B56" s="7"/>
      <c r="C56" s="60" t="s">
        <v>112</v>
      </c>
      <c r="D56" s="60"/>
      <c r="E56" s="60"/>
      <c r="F56" s="51" t="s">
        <v>71</v>
      </c>
      <c r="G56" s="37"/>
      <c r="H56" s="60" t="s">
        <v>71</v>
      </c>
      <c r="I56" s="7" t="s">
        <v>71</v>
      </c>
    </row>
    <row r="57" spans="1:9" x14ac:dyDescent="0.25">
      <c r="A57" s="69" t="s">
        <v>113</v>
      </c>
      <c r="B57" s="103" t="s">
        <v>1142</v>
      </c>
      <c r="C57" s="60" t="s">
        <v>587</v>
      </c>
      <c r="D57" s="60"/>
      <c r="E57" s="60"/>
      <c r="F57" s="51"/>
      <c r="G57" s="37">
        <f>I57/738.6</f>
        <v>1.5638099106417547</v>
      </c>
      <c r="H57" s="60"/>
      <c r="I57" s="7">
        <v>1155.03</v>
      </c>
    </row>
    <row r="58" spans="1:9" x14ac:dyDescent="0.25">
      <c r="A58" s="69" t="s">
        <v>38</v>
      </c>
      <c r="B58" s="70">
        <v>43054</v>
      </c>
      <c r="C58" s="51" t="s">
        <v>1143</v>
      </c>
      <c r="D58" s="60"/>
      <c r="E58" s="60"/>
      <c r="F58" s="51"/>
      <c r="G58" s="37">
        <f>I58/738.6</f>
        <v>24.588410506363388</v>
      </c>
      <c r="H58" s="60"/>
      <c r="I58" s="7">
        <v>18161</v>
      </c>
    </row>
    <row r="59" spans="1:9" x14ac:dyDescent="0.25">
      <c r="A59" s="69"/>
      <c r="B59" s="70"/>
      <c r="C59" s="60"/>
      <c r="D59" s="60"/>
      <c r="E59" s="60"/>
      <c r="F59" s="51"/>
      <c r="G59" s="37"/>
      <c r="H59" s="60"/>
      <c r="I59" s="7"/>
    </row>
    <row r="60" spans="1:9" x14ac:dyDescent="0.25">
      <c r="A60" s="69"/>
      <c r="B60" s="7"/>
      <c r="C60" s="5" t="s">
        <v>118</v>
      </c>
      <c r="D60" s="5"/>
      <c r="E60" s="5"/>
      <c r="F60" s="59"/>
      <c r="G60" s="20">
        <f>SUM(G57:G59)</f>
        <v>26.152220417005143</v>
      </c>
      <c r="H60" s="5"/>
      <c r="I60" s="12">
        <f>SUM(I57:I59)</f>
        <v>19316.03</v>
      </c>
    </row>
    <row r="61" spans="1:9" x14ac:dyDescent="0.25">
      <c r="A61" s="6"/>
      <c r="B61" s="6"/>
      <c r="C61" s="48"/>
      <c r="D61" s="58"/>
      <c r="E61" s="49"/>
      <c r="F61" s="48"/>
      <c r="G61" s="58"/>
      <c r="H61" s="49"/>
      <c r="I61" s="7"/>
    </row>
    <row r="62" spans="1:9" x14ac:dyDescent="0.25">
      <c r="A62" s="6" t="s">
        <v>48</v>
      </c>
      <c r="B62" s="25" t="s">
        <v>119</v>
      </c>
      <c r="C62" s="57" t="s">
        <v>120</v>
      </c>
      <c r="D62" s="58"/>
      <c r="E62" s="49"/>
      <c r="F62" s="48" t="s">
        <v>121</v>
      </c>
      <c r="G62" s="58"/>
      <c r="H62" s="49"/>
      <c r="I62" s="6"/>
    </row>
    <row r="63" spans="1:9" x14ac:dyDescent="0.25">
      <c r="A63" s="69"/>
      <c r="B63" s="70"/>
      <c r="C63" s="51"/>
      <c r="D63" s="60"/>
      <c r="E63" s="61"/>
      <c r="F63" s="51"/>
      <c r="G63" s="37"/>
      <c r="H63" s="61"/>
      <c r="I63" s="7"/>
    </row>
    <row r="64" spans="1:9" x14ac:dyDescent="0.25">
      <c r="A64" s="7"/>
      <c r="B64" s="7"/>
      <c r="C64" s="51"/>
      <c r="D64" s="60"/>
      <c r="E64" s="61"/>
      <c r="F64" s="51"/>
      <c r="G64" s="37"/>
      <c r="H64" s="61"/>
      <c r="I64" s="7"/>
    </row>
    <row r="65" spans="1:9" x14ac:dyDescent="0.25">
      <c r="A65" s="73"/>
      <c r="B65" s="62" t="s">
        <v>119</v>
      </c>
      <c r="C65" s="15" t="s">
        <v>118</v>
      </c>
      <c r="D65" s="14"/>
      <c r="E65" s="85"/>
      <c r="F65" s="15" t="s">
        <v>71</v>
      </c>
      <c r="G65" s="78">
        <f>I65/678.3</f>
        <v>0</v>
      </c>
      <c r="H65" s="85"/>
      <c r="I65" s="12">
        <f>SUM(I63:I64)</f>
        <v>0</v>
      </c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 t="s">
        <v>680</v>
      </c>
      <c r="B68" s="2"/>
      <c r="C68" s="2" t="s">
        <v>1144</v>
      </c>
      <c r="D68" s="2"/>
      <c r="E68" s="2"/>
      <c r="F68" s="2"/>
      <c r="G68" s="2" t="s">
        <v>1145</v>
      </c>
      <c r="H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6" zoomScale="110" zoomScaleNormal="110" workbookViewId="0">
      <selection activeCell="H26" sqref="H26:I27"/>
    </sheetView>
  </sheetViews>
  <sheetFormatPr defaultRowHeight="15" x14ac:dyDescent="0.25"/>
  <cols>
    <col min="1" max="1" width="3.5703125" style="3" customWidth="1"/>
    <col min="2" max="2" width="30.28515625" style="3" customWidth="1"/>
    <col min="3" max="3" width="12.7109375" style="3" customWidth="1"/>
    <col min="4" max="7" width="9.140625" style="3"/>
    <col min="8" max="8" width="11.7109375" style="3" customWidth="1"/>
    <col min="9" max="9" width="19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1146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1147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1148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30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8">
        <v>8</v>
      </c>
      <c r="I18" s="9">
        <v>9</v>
      </c>
    </row>
    <row r="19" spans="1:9" x14ac:dyDescent="0.25">
      <c r="A19" s="57">
        <v>1</v>
      </c>
      <c r="B19" s="25" t="s">
        <v>191</v>
      </c>
      <c r="C19" s="68"/>
      <c r="D19" s="57"/>
      <c r="E19" s="45" t="s">
        <v>71</v>
      </c>
      <c r="F19" s="25" t="s">
        <v>71</v>
      </c>
      <c r="G19" s="68"/>
      <c r="H19" s="57" t="s">
        <v>71</v>
      </c>
      <c r="I19" s="45" t="s">
        <v>71</v>
      </c>
    </row>
    <row r="20" spans="1:9" x14ac:dyDescent="0.25">
      <c r="A20" s="15"/>
      <c r="B20" s="12" t="s">
        <v>192</v>
      </c>
      <c r="C20" s="14">
        <v>7.97</v>
      </c>
      <c r="D20" s="17">
        <v>-43922.400000000001</v>
      </c>
      <c r="E20" s="12">
        <v>302722.44</v>
      </c>
      <c r="F20" s="12">
        <v>288063.28000000003</v>
      </c>
      <c r="G20" s="14">
        <f>E20</f>
        <v>302722.44</v>
      </c>
      <c r="H20" s="16">
        <f>D20+F20-G20</f>
        <v>-58581.559999999969</v>
      </c>
      <c r="I20" s="17">
        <f>H20</f>
        <v>-58581.559999999969</v>
      </c>
    </row>
    <row r="21" spans="1:9" x14ac:dyDescent="0.25">
      <c r="A21" s="7" t="s">
        <v>36</v>
      </c>
      <c r="B21" s="6" t="s">
        <v>457</v>
      </c>
      <c r="C21" s="58"/>
      <c r="D21" s="75"/>
      <c r="E21" s="126"/>
      <c r="F21" s="75"/>
      <c r="G21" s="58"/>
      <c r="H21" s="105"/>
      <c r="I21" s="75"/>
    </row>
    <row r="22" spans="1:9" x14ac:dyDescent="0.25">
      <c r="A22" s="62"/>
      <c r="B22" s="62" t="s">
        <v>458</v>
      </c>
      <c r="C22" s="74">
        <v>2.62</v>
      </c>
      <c r="D22" s="54"/>
      <c r="E22" s="54">
        <f>E20*33/100</f>
        <v>99898.405199999994</v>
      </c>
      <c r="F22" s="54">
        <f>F20*33/100</f>
        <v>95060.882400000002</v>
      </c>
      <c r="G22" s="79">
        <f t="shared" ref="G22:G28" si="0">E22</f>
        <v>99898.405199999994</v>
      </c>
      <c r="H22" s="55"/>
      <c r="I22" s="54"/>
    </row>
    <row r="23" spans="1:9" x14ac:dyDescent="0.25">
      <c r="A23" s="24" t="s">
        <v>38</v>
      </c>
      <c r="B23" s="6" t="s">
        <v>39</v>
      </c>
      <c r="C23" s="58">
        <v>1.33</v>
      </c>
      <c r="D23" s="75"/>
      <c r="E23" s="75">
        <f>E20*17/100</f>
        <v>51462.814800000007</v>
      </c>
      <c r="F23" s="75">
        <f>F20*17/100</f>
        <v>48970.757600000004</v>
      </c>
      <c r="G23" s="86">
        <f t="shared" si="0"/>
        <v>51462.814800000007</v>
      </c>
      <c r="H23" s="105"/>
      <c r="I23" s="75"/>
    </row>
    <row r="24" spans="1:9" x14ac:dyDescent="0.25">
      <c r="A24" s="24" t="s">
        <v>40</v>
      </c>
      <c r="B24" s="6" t="s">
        <v>41</v>
      </c>
      <c r="C24" s="58">
        <v>1.63</v>
      </c>
      <c r="D24" s="75"/>
      <c r="E24" s="75">
        <f>E20*20/100</f>
        <v>60544.487999999998</v>
      </c>
      <c r="F24" s="75">
        <f>F20*20/100</f>
        <v>57612.656000000003</v>
      </c>
      <c r="G24" s="86">
        <f t="shared" si="0"/>
        <v>60544.487999999998</v>
      </c>
      <c r="H24" s="105"/>
      <c r="I24" s="75"/>
    </row>
    <row r="25" spans="1:9" x14ac:dyDescent="0.25">
      <c r="A25" s="24" t="s">
        <v>42</v>
      </c>
      <c r="B25" s="6" t="s">
        <v>43</v>
      </c>
      <c r="C25" s="58">
        <v>2.39</v>
      </c>
      <c r="D25" s="75"/>
      <c r="E25" s="75">
        <f>E20*30/100</f>
        <v>90816.731999999989</v>
      </c>
      <c r="F25" s="75">
        <f>F20*30/100</f>
        <v>86418.983999999997</v>
      </c>
      <c r="G25" s="86">
        <f t="shared" si="0"/>
        <v>90816.731999999989</v>
      </c>
      <c r="H25" s="105"/>
      <c r="I25" s="75"/>
    </row>
    <row r="26" spans="1:9" x14ac:dyDescent="0.25">
      <c r="A26" s="24" t="s">
        <v>44</v>
      </c>
      <c r="B26" s="6" t="s">
        <v>47</v>
      </c>
      <c r="C26" s="58">
        <v>0.62261999999999995</v>
      </c>
      <c r="D26" s="75"/>
      <c r="E26" s="9">
        <v>23541.200000000001</v>
      </c>
      <c r="F26" s="9">
        <v>20081.14</v>
      </c>
      <c r="G26" s="10">
        <f t="shared" si="0"/>
        <v>23541.200000000001</v>
      </c>
      <c r="H26" s="11">
        <f>F26-E26</f>
        <v>-3460.0600000000013</v>
      </c>
      <c r="I26" s="11">
        <f>H26</f>
        <v>-3460.0600000000013</v>
      </c>
    </row>
    <row r="27" spans="1:9" x14ac:dyDescent="0.25">
      <c r="A27" s="24" t="s">
        <v>356</v>
      </c>
      <c r="B27" s="6" t="s">
        <v>249</v>
      </c>
      <c r="C27" s="58">
        <v>1.154E-2</v>
      </c>
      <c r="D27" s="75"/>
      <c r="E27" s="75">
        <v>438.12</v>
      </c>
      <c r="F27" s="75">
        <v>414.59</v>
      </c>
      <c r="G27" s="86">
        <f t="shared" si="0"/>
        <v>438.12</v>
      </c>
      <c r="H27" s="28">
        <f>F27-E27</f>
        <v>-23.53000000000003</v>
      </c>
      <c r="I27" s="45">
        <f>H27</f>
        <v>-23.53000000000003</v>
      </c>
    </row>
    <row r="28" spans="1:9" x14ac:dyDescent="0.25">
      <c r="A28" s="11" t="s">
        <v>48</v>
      </c>
      <c r="B28" s="11" t="s">
        <v>49</v>
      </c>
      <c r="C28" s="41" t="s">
        <v>50</v>
      </c>
      <c r="D28" s="43">
        <v>-26989.03</v>
      </c>
      <c r="E28" s="11">
        <v>128571.45</v>
      </c>
      <c r="F28" s="11">
        <v>117601.93</v>
      </c>
      <c r="G28" s="41">
        <f t="shared" si="0"/>
        <v>128571.45</v>
      </c>
      <c r="H28" s="34">
        <f>D28+F28-G28</f>
        <v>-37958.550000000003</v>
      </c>
      <c r="I28" s="43">
        <f>H28</f>
        <v>-37958.550000000003</v>
      </c>
    </row>
    <row r="29" spans="1:9" x14ac:dyDescent="0.25">
      <c r="A29" s="25" t="s">
        <v>51</v>
      </c>
      <c r="B29" s="25" t="s">
        <v>216</v>
      </c>
      <c r="C29" s="68"/>
      <c r="D29" s="45"/>
      <c r="E29" s="45"/>
      <c r="F29" s="45"/>
      <c r="G29" s="27"/>
      <c r="H29" s="28"/>
      <c r="I29" s="45"/>
    </row>
    <row r="30" spans="1:9" x14ac:dyDescent="0.25">
      <c r="A30" s="12"/>
      <c r="B30" s="12" t="s">
        <v>217</v>
      </c>
      <c r="C30" s="14">
        <v>1.82</v>
      </c>
      <c r="D30" s="17">
        <v>35961.15</v>
      </c>
      <c r="E30" s="12">
        <v>69128.25</v>
      </c>
      <c r="F30" s="12">
        <v>66542.34</v>
      </c>
      <c r="G30" s="59">
        <f>I65</f>
        <v>42703.360000000001</v>
      </c>
      <c r="H30" s="16">
        <f>D30+F30-G30</f>
        <v>59800.12999999999</v>
      </c>
      <c r="I30" s="17"/>
    </row>
    <row r="31" spans="1:9" x14ac:dyDescent="0.25">
      <c r="A31" s="11" t="s">
        <v>55</v>
      </c>
      <c r="B31" s="11" t="s">
        <v>146</v>
      </c>
      <c r="C31" s="46"/>
      <c r="D31" s="28"/>
      <c r="E31" s="25"/>
      <c r="F31" s="25"/>
      <c r="G31" s="68"/>
      <c r="H31" s="28"/>
      <c r="I31" s="45"/>
    </row>
    <row r="32" spans="1:9" x14ac:dyDescent="0.25">
      <c r="A32" s="12"/>
      <c r="B32" s="12" t="s">
        <v>276</v>
      </c>
      <c r="C32" s="14">
        <v>0</v>
      </c>
      <c r="D32" s="34">
        <v>3382.33</v>
      </c>
      <c r="E32" s="11">
        <v>0</v>
      </c>
      <c r="F32" s="11">
        <f>F34</f>
        <v>190.64</v>
      </c>
      <c r="G32" s="42">
        <f>I68</f>
        <v>0</v>
      </c>
      <c r="H32" s="34">
        <f>D32+F32-G32</f>
        <v>3572.97</v>
      </c>
      <c r="I32" s="43"/>
    </row>
    <row r="33" spans="1:9" x14ac:dyDescent="0.25">
      <c r="A33" s="62"/>
      <c r="B33" s="62" t="s">
        <v>112</v>
      </c>
      <c r="C33" s="74"/>
      <c r="D33" s="55"/>
      <c r="E33" s="62"/>
      <c r="F33" s="62"/>
      <c r="G33" s="74"/>
      <c r="H33" s="55"/>
      <c r="I33" s="54"/>
    </row>
    <row r="34" spans="1:9" x14ac:dyDescent="0.25">
      <c r="A34" s="62"/>
      <c r="B34" s="62" t="s">
        <v>53</v>
      </c>
      <c r="C34" s="74"/>
      <c r="D34" s="34"/>
      <c r="E34" s="62">
        <v>0</v>
      </c>
      <c r="F34" s="62">
        <v>190.64</v>
      </c>
      <c r="G34" s="51">
        <v>0</v>
      </c>
      <c r="H34" s="38"/>
      <c r="I34" s="22"/>
    </row>
    <row r="35" spans="1:9" x14ac:dyDescent="0.25">
      <c r="A35" s="9"/>
      <c r="B35" s="9" t="s">
        <v>54</v>
      </c>
      <c r="C35" s="10"/>
      <c r="D35" s="40"/>
      <c r="E35" s="9">
        <v>0</v>
      </c>
      <c r="F35" s="9">
        <v>0</v>
      </c>
      <c r="G35" s="8">
        <f>E35</f>
        <v>0</v>
      </c>
      <c r="H35" s="40"/>
      <c r="I35" s="29"/>
    </row>
    <row r="36" spans="1:9" x14ac:dyDescent="0.25">
      <c r="A36" s="60"/>
      <c r="B36" s="60"/>
      <c r="C36" s="60"/>
      <c r="D36" s="37"/>
      <c r="E36" s="60"/>
      <c r="F36" s="60"/>
      <c r="G36" s="60"/>
      <c r="H36" s="37"/>
      <c r="I36" s="37"/>
    </row>
    <row r="37" spans="1:9" x14ac:dyDescent="0.25">
      <c r="A37" s="1" t="s">
        <v>58</v>
      </c>
      <c r="B37" s="60"/>
      <c r="C37" s="118"/>
      <c r="D37" s="254"/>
      <c r="E37" s="60"/>
      <c r="F37" s="60"/>
      <c r="G37" s="60"/>
      <c r="H37" s="60"/>
      <c r="I37" s="60"/>
    </row>
    <row r="38" spans="1:9" x14ac:dyDescent="0.25">
      <c r="A38" s="1"/>
      <c r="B38" s="60"/>
      <c r="C38" s="118"/>
      <c r="D38" s="254"/>
      <c r="E38" s="60"/>
      <c r="F38" s="60"/>
      <c r="G38" s="60"/>
      <c r="H38" s="60"/>
      <c r="I38" s="60"/>
    </row>
    <row r="39" spans="1:9" x14ac:dyDescent="0.25">
      <c r="A39" s="25" t="s">
        <v>59</v>
      </c>
      <c r="B39" s="49" t="s">
        <v>60</v>
      </c>
      <c r="C39" s="6" t="s">
        <v>375</v>
      </c>
      <c r="D39" s="6" t="s">
        <v>62</v>
      </c>
      <c r="E39" s="58" t="s">
        <v>63</v>
      </c>
      <c r="F39" s="6" t="s">
        <v>64</v>
      </c>
      <c r="G39" s="6"/>
      <c r="H39" s="58" t="s">
        <v>199</v>
      </c>
      <c r="I39" s="49"/>
    </row>
    <row r="40" spans="1:9" x14ac:dyDescent="0.25">
      <c r="A40" s="7"/>
      <c r="B40" s="61"/>
      <c r="C40" s="7" t="s">
        <v>66</v>
      </c>
      <c r="D40" s="62" t="s">
        <v>23</v>
      </c>
      <c r="E40" s="74" t="s">
        <v>312</v>
      </c>
      <c r="F40" s="62" t="s">
        <v>30</v>
      </c>
      <c r="G40" s="62"/>
      <c r="H40" s="74"/>
      <c r="I40" s="53"/>
    </row>
    <row r="41" spans="1:9" x14ac:dyDescent="0.25">
      <c r="A41" s="12"/>
      <c r="B41" s="53" t="s">
        <v>68</v>
      </c>
      <c r="C41" s="40">
        <v>10900.5</v>
      </c>
      <c r="D41" s="9">
        <v>5553</v>
      </c>
      <c r="E41" s="40">
        <f>D41*15%</f>
        <v>832.94999999999993</v>
      </c>
      <c r="F41" s="29">
        <f>C41+(D41-E41)</f>
        <v>15620.55</v>
      </c>
      <c r="G41" s="29"/>
      <c r="H41" s="39">
        <f>F41-G41</f>
        <v>15620.55</v>
      </c>
      <c r="I41" s="50"/>
    </row>
    <row r="42" spans="1:9" x14ac:dyDescent="0.25">
      <c r="A42" s="5" t="s">
        <v>69</v>
      </c>
      <c r="B42" s="60"/>
      <c r="C42" s="60"/>
      <c r="D42" s="60"/>
      <c r="E42" s="60"/>
      <c r="F42" s="37"/>
      <c r="G42" s="37"/>
      <c r="H42" s="37"/>
      <c r="I42" s="60"/>
    </row>
    <row r="43" spans="1:9" x14ac:dyDescent="0.25">
      <c r="A43" s="1" t="s">
        <v>70</v>
      </c>
      <c r="B43" s="60"/>
      <c r="C43" s="60"/>
      <c r="D43" s="60"/>
      <c r="E43" s="60"/>
      <c r="F43" s="37"/>
      <c r="G43" s="37"/>
      <c r="H43" s="37"/>
      <c r="I43" s="60"/>
    </row>
    <row r="44" spans="1:9" x14ac:dyDescent="0.25">
      <c r="A44" s="2"/>
    </row>
    <row r="45" spans="1:9" x14ac:dyDescent="0.25">
      <c r="A45" s="6" t="s">
        <v>71</v>
      </c>
      <c r="B45" s="57" t="s">
        <v>72</v>
      </c>
      <c r="C45" s="6" t="s">
        <v>73</v>
      </c>
      <c r="D45" s="58" t="s">
        <v>74</v>
      </c>
      <c r="E45" s="6" t="s">
        <v>75</v>
      </c>
      <c r="F45" s="58" t="s">
        <v>76</v>
      </c>
      <c r="G45" s="6" t="s">
        <v>77</v>
      </c>
      <c r="H45" s="58" t="s">
        <v>78</v>
      </c>
      <c r="I45" s="6" t="s">
        <v>19</v>
      </c>
    </row>
    <row r="46" spans="1:9" x14ac:dyDescent="0.25">
      <c r="A46" s="7"/>
      <c r="B46" s="59" t="s">
        <v>79</v>
      </c>
      <c r="C46" s="7" t="s">
        <v>80</v>
      </c>
      <c r="D46" s="60" t="s">
        <v>81</v>
      </c>
      <c r="E46" s="7" t="s">
        <v>82</v>
      </c>
      <c r="F46" s="60" t="s">
        <v>83</v>
      </c>
      <c r="G46" s="7" t="s">
        <v>84</v>
      </c>
      <c r="H46" s="60" t="s">
        <v>85</v>
      </c>
      <c r="I46" s="7" t="s">
        <v>86</v>
      </c>
    </row>
    <row r="47" spans="1:9" x14ac:dyDescent="0.25">
      <c r="A47" s="7"/>
      <c r="B47" s="59"/>
      <c r="C47" s="7"/>
      <c r="D47" s="60"/>
      <c r="E47" s="7"/>
      <c r="F47" s="60" t="s">
        <v>87</v>
      </c>
      <c r="G47" s="7" t="s">
        <v>88</v>
      </c>
      <c r="H47" s="60"/>
      <c r="I47" s="7" t="s">
        <v>1149</v>
      </c>
    </row>
    <row r="48" spans="1:9" x14ac:dyDescent="0.25">
      <c r="A48" s="9"/>
      <c r="B48" s="8"/>
      <c r="C48" s="9"/>
      <c r="D48" s="9"/>
      <c r="E48" s="9"/>
      <c r="F48" s="9"/>
      <c r="G48" s="10"/>
      <c r="H48" s="9"/>
      <c r="I48" s="9"/>
    </row>
    <row r="49" spans="1:9" x14ac:dyDescent="0.25">
      <c r="A49" s="9">
        <v>1</v>
      </c>
      <c r="B49" s="9" t="s">
        <v>90</v>
      </c>
      <c r="C49" s="41" t="s">
        <v>691</v>
      </c>
      <c r="D49" s="9">
        <v>-101872.99</v>
      </c>
      <c r="E49" s="95">
        <v>261146.2</v>
      </c>
      <c r="F49" s="9">
        <v>236535.26</v>
      </c>
      <c r="G49" s="65">
        <f>E49</f>
        <v>261146.2</v>
      </c>
      <c r="H49" s="9">
        <f>D49+F49-G49</f>
        <v>-126483.93</v>
      </c>
      <c r="I49" s="9">
        <f>H49</f>
        <v>-126483.93</v>
      </c>
    </row>
    <row r="50" spans="1:9" x14ac:dyDescent="0.25">
      <c r="A50" s="9"/>
      <c r="B50" s="9" t="s">
        <v>521</v>
      </c>
      <c r="C50" s="41" t="s">
        <v>93</v>
      </c>
      <c r="D50" s="9"/>
      <c r="E50" s="65"/>
      <c r="F50" s="9"/>
      <c r="G50" s="65"/>
      <c r="H50" s="9"/>
      <c r="I50" s="9"/>
    </row>
    <row r="51" spans="1:9" x14ac:dyDescent="0.25">
      <c r="A51" s="7">
        <v>2</v>
      </c>
      <c r="B51" s="7" t="s">
        <v>94</v>
      </c>
      <c r="C51" s="1" t="s">
        <v>95</v>
      </c>
      <c r="D51" s="7">
        <v>-224389.75</v>
      </c>
      <c r="E51" s="2">
        <v>391041.68</v>
      </c>
      <c r="F51" s="7">
        <v>345778.49</v>
      </c>
      <c r="G51" s="2">
        <f>E51</f>
        <v>391041.68</v>
      </c>
      <c r="H51" s="7">
        <f>D51+F51-G51</f>
        <v>-269652.94</v>
      </c>
      <c r="I51" s="7">
        <f>H51</f>
        <v>-269652.94</v>
      </c>
    </row>
    <row r="52" spans="1:9" x14ac:dyDescent="0.25">
      <c r="A52" s="9" t="s">
        <v>71</v>
      </c>
      <c r="B52" s="9" t="s">
        <v>96</v>
      </c>
      <c r="C52" s="41" t="s">
        <v>93</v>
      </c>
      <c r="D52" s="9"/>
      <c r="E52" s="10"/>
      <c r="F52" s="9"/>
      <c r="G52" s="10"/>
      <c r="H52" s="9"/>
      <c r="I52" s="9"/>
    </row>
    <row r="53" spans="1:9" x14ac:dyDescent="0.25">
      <c r="A53" s="9">
        <v>3</v>
      </c>
      <c r="B53" s="9" t="s">
        <v>98</v>
      </c>
      <c r="C53" s="41" t="s">
        <v>99</v>
      </c>
      <c r="D53" s="9">
        <v>-356877.44</v>
      </c>
      <c r="E53" s="10">
        <v>1110852.96</v>
      </c>
      <c r="F53" s="9">
        <v>1052361.1499999999</v>
      </c>
      <c r="G53" s="10">
        <f>E53</f>
        <v>1110852.96</v>
      </c>
      <c r="H53" s="9">
        <f>D53+F53-G53</f>
        <v>-415369.25</v>
      </c>
      <c r="I53" s="9">
        <f>H53</f>
        <v>-415369.25</v>
      </c>
    </row>
    <row r="54" spans="1:9" x14ac:dyDescent="0.25">
      <c r="A54" s="1" t="s">
        <v>100</v>
      </c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5" t="s">
        <v>101</v>
      </c>
      <c r="B55" s="1"/>
      <c r="C55" s="2"/>
      <c r="D55" s="2"/>
      <c r="E55" s="2"/>
      <c r="F55" s="2"/>
      <c r="G55" s="2"/>
      <c r="H55" s="2"/>
      <c r="I55" s="2"/>
    </row>
    <row r="56" spans="1:9" x14ac:dyDescent="0.25">
      <c r="A56" s="6" t="s">
        <v>12</v>
      </c>
      <c r="B56" s="6" t="s">
        <v>102</v>
      </c>
      <c r="C56" s="48" t="s">
        <v>103</v>
      </c>
      <c r="D56" s="58"/>
      <c r="E56" s="49"/>
      <c r="F56" s="58" t="s">
        <v>222</v>
      </c>
      <c r="G56" s="58"/>
      <c r="H56" s="49"/>
      <c r="I56" s="6" t="s">
        <v>105</v>
      </c>
    </row>
    <row r="57" spans="1:9" x14ac:dyDescent="0.25">
      <c r="A57" s="7" t="s">
        <v>106</v>
      </c>
      <c r="B57" s="7"/>
      <c r="C57" s="51"/>
      <c r="D57" s="60"/>
      <c r="E57" s="61"/>
      <c r="F57" s="60" t="s">
        <v>224</v>
      </c>
      <c r="G57" s="60"/>
      <c r="H57" s="61"/>
      <c r="I57" s="7" t="s">
        <v>108</v>
      </c>
    </row>
    <row r="58" spans="1:9" x14ac:dyDescent="0.25">
      <c r="A58" s="7"/>
      <c r="B58" s="7"/>
      <c r="C58" s="51"/>
      <c r="D58" s="60"/>
      <c r="E58" s="61"/>
      <c r="F58" s="60" t="s">
        <v>750</v>
      </c>
      <c r="G58" s="60"/>
      <c r="H58" s="61"/>
      <c r="I58" s="7"/>
    </row>
    <row r="59" spans="1:9" x14ac:dyDescent="0.25">
      <c r="A59" s="7"/>
      <c r="B59" s="62"/>
      <c r="C59" s="51"/>
      <c r="D59" s="60"/>
      <c r="E59" s="61"/>
      <c r="F59" s="60" t="s">
        <v>258</v>
      </c>
      <c r="G59" s="60"/>
      <c r="H59" s="61"/>
      <c r="I59" s="7"/>
    </row>
    <row r="60" spans="1:9" x14ac:dyDescent="0.25">
      <c r="A60" s="67" t="s">
        <v>110</v>
      </c>
      <c r="B60" s="18"/>
      <c r="C60" s="57" t="s">
        <v>111</v>
      </c>
      <c r="D60" s="68"/>
      <c r="E60" s="72"/>
      <c r="F60" s="58"/>
      <c r="G60" s="58"/>
      <c r="H60" s="58"/>
      <c r="I60" s="6"/>
    </row>
    <row r="61" spans="1:9" x14ac:dyDescent="0.25">
      <c r="A61" s="69"/>
      <c r="B61" s="7"/>
      <c r="C61" s="51" t="s">
        <v>112</v>
      </c>
      <c r="D61" s="60"/>
      <c r="E61" s="61"/>
      <c r="F61" s="60" t="s">
        <v>71</v>
      </c>
      <c r="G61" s="37"/>
      <c r="H61" s="60" t="s">
        <v>71</v>
      </c>
      <c r="I61" s="7" t="s">
        <v>71</v>
      </c>
    </row>
    <row r="62" spans="1:9" x14ac:dyDescent="0.25">
      <c r="A62" s="69" t="s">
        <v>113</v>
      </c>
      <c r="B62" s="70">
        <v>43041</v>
      </c>
      <c r="C62" s="51" t="s">
        <v>1150</v>
      </c>
      <c r="D62" s="60"/>
      <c r="E62" s="61"/>
      <c r="F62" s="195"/>
      <c r="G62" s="37">
        <f>I62/3165.2</f>
        <v>9.1305446733223814</v>
      </c>
      <c r="H62" s="60"/>
      <c r="I62" s="7">
        <v>28900</v>
      </c>
    </row>
    <row r="63" spans="1:9" x14ac:dyDescent="0.25">
      <c r="A63" s="69"/>
      <c r="B63" s="70"/>
      <c r="C63" s="51" t="s">
        <v>1151</v>
      </c>
      <c r="D63" s="60"/>
      <c r="E63" s="61"/>
      <c r="F63" s="195"/>
      <c r="G63" s="37" t="s">
        <v>71</v>
      </c>
      <c r="H63" s="60"/>
      <c r="I63" s="7"/>
    </row>
    <row r="64" spans="1:9" x14ac:dyDescent="0.25">
      <c r="A64" s="69" t="s">
        <v>38</v>
      </c>
      <c r="B64" s="70">
        <v>43039</v>
      </c>
      <c r="C64" s="51" t="s">
        <v>1152</v>
      </c>
      <c r="D64" s="60"/>
      <c r="E64" s="61"/>
      <c r="F64" s="195"/>
      <c r="G64" s="37">
        <f>I64/3165.2</f>
        <v>4.3609756097560979</v>
      </c>
      <c r="H64" s="60"/>
      <c r="I64" s="7">
        <v>13803.36</v>
      </c>
    </row>
    <row r="65" spans="1:9" x14ac:dyDescent="0.25">
      <c r="A65" s="69"/>
      <c r="B65" s="7"/>
      <c r="C65" s="15" t="s">
        <v>118</v>
      </c>
      <c r="D65" s="14"/>
      <c r="E65" s="85"/>
      <c r="F65" s="5"/>
      <c r="G65" s="20">
        <f>SUM(G62:G64)</f>
        <v>13.491520283078479</v>
      </c>
      <c r="H65" s="5"/>
      <c r="I65" s="12">
        <f>SUM(I62:I64)</f>
        <v>42703.360000000001</v>
      </c>
    </row>
    <row r="66" spans="1:9" x14ac:dyDescent="0.25">
      <c r="A66" s="6"/>
      <c r="B66" s="6"/>
      <c r="C66" s="48"/>
      <c r="D66" s="58"/>
      <c r="E66" s="49"/>
      <c r="F66" s="48"/>
      <c r="G66" s="58"/>
      <c r="H66" s="49"/>
      <c r="I66" s="6"/>
    </row>
    <row r="67" spans="1:9" x14ac:dyDescent="0.25">
      <c r="A67" s="6" t="s">
        <v>48</v>
      </c>
      <c r="B67" s="25" t="s">
        <v>119</v>
      </c>
      <c r="C67" s="57" t="s">
        <v>120</v>
      </c>
      <c r="D67" s="58"/>
      <c r="E67" s="49"/>
      <c r="F67" s="48" t="s">
        <v>121</v>
      </c>
      <c r="G67" s="86"/>
      <c r="H67" s="49"/>
      <c r="I67" s="6"/>
    </row>
    <row r="68" spans="1:9" x14ac:dyDescent="0.25">
      <c r="A68" s="69" t="s">
        <v>71</v>
      </c>
      <c r="B68" s="70"/>
      <c r="C68" s="51"/>
      <c r="D68" s="60"/>
      <c r="E68" s="61"/>
      <c r="F68" s="195"/>
      <c r="G68" s="37"/>
      <c r="H68" s="60"/>
      <c r="I68" s="7"/>
    </row>
    <row r="69" spans="1:9" x14ac:dyDescent="0.25">
      <c r="A69" s="73"/>
      <c r="B69" s="62" t="s">
        <v>119</v>
      </c>
      <c r="C69" s="15" t="s">
        <v>118</v>
      </c>
      <c r="D69" s="14"/>
      <c r="E69" s="85"/>
      <c r="F69" s="15" t="s">
        <v>71</v>
      </c>
      <c r="G69" s="78">
        <f>SUM(G67:G68)</f>
        <v>0</v>
      </c>
      <c r="H69" s="85"/>
      <c r="I69" s="12">
        <f>SUM(I68:I68)</f>
        <v>0</v>
      </c>
    </row>
    <row r="70" spans="1:9" x14ac:dyDescent="0.25">
      <c r="A70" s="2"/>
      <c r="B70" s="2"/>
      <c r="C70" s="2" t="s">
        <v>71</v>
      </c>
      <c r="D70" s="2"/>
      <c r="E70" s="2"/>
      <c r="F70" s="2"/>
      <c r="G70" s="2"/>
      <c r="H70" s="2"/>
      <c r="I70" s="2"/>
    </row>
    <row r="71" spans="1:9" x14ac:dyDescent="0.25">
      <c r="A71" s="60" t="s">
        <v>1153</v>
      </c>
      <c r="B71" s="60"/>
      <c r="C71" s="60"/>
      <c r="D71" s="60"/>
      <c r="E71" s="60"/>
      <c r="F71" s="60"/>
      <c r="G71" s="60"/>
      <c r="H71" s="60"/>
      <c r="I71" s="60"/>
    </row>
    <row r="72" spans="1:9" x14ac:dyDescent="0.25">
      <c r="A72" s="60"/>
      <c r="B72" s="60"/>
      <c r="C72" s="60"/>
      <c r="D72" s="60"/>
      <c r="E72" s="60"/>
      <c r="F72" s="60"/>
      <c r="G72" s="60"/>
      <c r="H72" s="60"/>
      <c r="I72" s="60"/>
    </row>
    <row r="73" spans="1:9" x14ac:dyDescent="0.25">
      <c r="A73" s="60"/>
      <c r="B73" s="60"/>
      <c r="C73" s="60"/>
      <c r="D73" s="60"/>
      <c r="E73" s="60"/>
      <c r="F73" s="60"/>
      <c r="G73" s="60"/>
      <c r="H73" s="60"/>
      <c r="I73" s="60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110" zoomScaleNormal="110" workbookViewId="0"/>
  </sheetViews>
  <sheetFormatPr defaultRowHeight="15" x14ac:dyDescent="0.25"/>
  <cols>
    <col min="1" max="1" width="4.42578125" style="3" customWidth="1"/>
    <col min="2" max="2" width="31.140625" style="3" customWidth="1"/>
    <col min="3" max="3" width="12.7109375" style="3" customWidth="1"/>
    <col min="4" max="7" width="9.140625" style="3"/>
    <col min="8" max="8" width="13.28515625" style="3" customWidth="1"/>
    <col min="9" max="9" width="19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1154</v>
      </c>
      <c r="B7" s="2"/>
      <c r="C7" s="2"/>
      <c r="D7" s="1"/>
      <c r="E7" s="2"/>
      <c r="F7" s="2"/>
      <c r="G7" s="2"/>
      <c r="H7" s="2"/>
      <c r="I7" s="2"/>
    </row>
    <row r="8" spans="1:9" x14ac:dyDescent="0.25">
      <c r="A8" s="2" t="s">
        <v>1155</v>
      </c>
      <c r="B8" s="2"/>
      <c r="C8" s="2"/>
      <c r="D8" s="1"/>
      <c r="E8" s="2"/>
      <c r="F8" s="2"/>
      <c r="G8" s="2"/>
      <c r="H8" s="2"/>
      <c r="I8" s="2"/>
    </row>
    <row r="9" spans="1:9" x14ac:dyDescent="0.25">
      <c r="A9" s="2" t="s">
        <v>1156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233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30</v>
      </c>
    </row>
    <row r="18" spans="1:9" x14ac:dyDescent="0.25">
      <c r="A18" s="8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57">
        <v>1</v>
      </c>
      <c r="B19" s="25" t="s">
        <v>191</v>
      </c>
      <c r="C19" s="25" t="s">
        <v>71</v>
      </c>
      <c r="D19" s="68"/>
      <c r="E19" s="45" t="s">
        <v>71</v>
      </c>
      <c r="F19" s="25" t="s">
        <v>71</v>
      </c>
      <c r="G19" s="68"/>
      <c r="H19" s="25" t="s">
        <v>71</v>
      </c>
      <c r="I19" s="45"/>
    </row>
    <row r="20" spans="1:9" x14ac:dyDescent="0.25">
      <c r="A20" s="15"/>
      <c r="B20" s="12" t="s">
        <v>192</v>
      </c>
      <c r="C20" s="12">
        <v>7.56</v>
      </c>
      <c r="D20" s="17">
        <v>-8290.84</v>
      </c>
      <c r="E20" s="12">
        <v>39201.839999999997</v>
      </c>
      <c r="F20" s="12">
        <v>42798.99</v>
      </c>
      <c r="G20" s="14">
        <f>E20</f>
        <v>39201.839999999997</v>
      </c>
      <c r="H20" s="12">
        <f>D20+F20-G20</f>
        <v>-4693.6900000000023</v>
      </c>
      <c r="I20" s="17">
        <f>H20</f>
        <v>-4693.6900000000023</v>
      </c>
    </row>
    <row r="21" spans="1:9" x14ac:dyDescent="0.25">
      <c r="A21" s="7" t="s">
        <v>36</v>
      </c>
      <c r="B21" s="7" t="s">
        <v>457</v>
      </c>
      <c r="C21" s="7"/>
      <c r="D21" s="30"/>
      <c r="E21" s="22"/>
      <c r="F21" s="38"/>
      <c r="G21" s="105"/>
      <c r="H21" s="75"/>
      <c r="I21" s="30"/>
    </row>
    <row r="22" spans="1:9" x14ac:dyDescent="0.25">
      <c r="A22" s="62"/>
      <c r="B22" s="62" t="s">
        <v>458</v>
      </c>
      <c r="C22" s="7">
        <v>2.62</v>
      </c>
      <c r="D22" s="80"/>
      <c r="E22" s="22">
        <f>E20*34.5/100</f>
        <v>13524.6348</v>
      </c>
      <c r="F22" s="38">
        <f>F20*34.5/100</f>
        <v>14765.65155</v>
      </c>
      <c r="G22" s="55">
        <f t="shared" ref="G22:G27" si="0">E22</f>
        <v>13524.6348</v>
      </c>
      <c r="H22" s="54"/>
      <c r="I22" s="80"/>
    </row>
    <row r="23" spans="1:9" x14ac:dyDescent="0.25">
      <c r="A23" s="24" t="s">
        <v>38</v>
      </c>
      <c r="B23" s="6" t="s">
        <v>39</v>
      </c>
      <c r="C23" s="6">
        <v>1.33</v>
      </c>
      <c r="D23" s="22"/>
      <c r="E23" s="75">
        <f>E20*18/100</f>
        <v>7056.3311999999987</v>
      </c>
      <c r="F23" s="75">
        <f>F20*18/100</f>
        <v>7703.8181999999997</v>
      </c>
      <c r="G23" s="37">
        <f t="shared" si="0"/>
        <v>7056.3311999999987</v>
      </c>
      <c r="H23" s="22"/>
      <c r="I23" s="22"/>
    </row>
    <row r="24" spans="1:9" x14ac:dyDescent="0.25">
      <c r="A24" s="24" t="s">
        <v>40</v>
      </c>
      <c r="B24" s="6" t="s">
        <v>41</v>
      </c>
      <c r="C24" s="6">
        <v>1.22</v>
      </c>
      <c r="D24" s="29"/>
      <c r="E24" s="75">
        <f>E20*16/100</f>
        <v>6272.2943999999998</v>
      </c>
      <c r="F24" s="75">
        <f>F20*16/100</f>
        <v>6847.8383999999996</v>
      </c>
      <c r="G24" s="40">
        <f t="shared" si="0"/>
        <v>6272.2943999999998</v>
      </c>
      <c r="H24" s="29"/>
      <c r="I24" s="29"/>
    </row>
    <row r="25" spans="1:9" x14ac:dyDescent="0.25">
      <c r="A25" s="24" t="s">
        <v>42</v>
      </c>
      <c r="B25" s="6" t="s">
        <v>43</v>
      </c>
      <c r="C25" s="6">
        <v>2.39</v>
      </c>
      <c r="D25" s="22"/>
      <c r="E25" s="75">
        <f>E20*31.5/100</f>
        <v>12348.579599999999</v>
      </c>
      <c r="F25" s="75">
        <f>F20*31.5/100</f>
        <v>13481.681849999999</v>
      </c>
      <c r="G25" s="37">
        <f t="shared" si="0"/>
        <v>12348.579599999999</v>
      </c>
      <c r="H25" s="22"/>
      <c r="I25" s="22"/>
    </row>
    <row r="26" spans="1:9" x14ac:dyDescent="0.25">
      <c r="A26" s="24" t="s">
        <v>44</v>
      </c>
      <c r="B26" s="6" t="s">
        <v>274</v>
      </c>
      <c r="C26" s="58">
        <v>1.5588500000000001</v>
      </c>
      <c r="D26" s="29"/>
      <c r="E26" s="39">
        <v>7061.2</v>
      </c>
      <c r="F26" s="29">
        <v>6151.9</v>
      </c>
      <c r="G26" s="39">
        <f t="shared" si="0"/>
        <v>7061.2</v>
      </c>
      <c r="H26" s="43">
        <f>F26-E26</f>
        <v>-909.30000000000018</v>
      </c>
      <c r="I26" s="43">
        <f>H26</f>
        <v>-909.30000000000018</v>
      </c>
    </row>
    <row r="27" spans="1:9" x14ac:dyDescent="0.25">
      <c r="A27" s="11" t="s">
        <v>48</v>
      </c>
      <c r="B27" s="11" t="s">
        <v>49</v>
      </c>
      <c r="C27" s="41" t="s">
        <v>50</v>
      </c>
      <c r="D27" s="11">
        <v>-3342.92</v>
      </c>
      <c r="E27" s="41">
        <v>18124.68</v>
      </c>
      <c r="F27" s="11">
        <v>18702.93</v>
      </c>
      <c r="G27" s="41">
        <f t="shared" si="0"/>
        <v>18124.68</v>
      </c>
      <c r="H27" s="11">
        <f>D27+F27-G27</f>
        <v>-2764.67</v>
      </c>
      <c r="I27" s="11">
        <f>H27</f>
        <v>-2764.67</v>
      </c>
    </row>
    <row r="28" spans="1:9" x14ac:dyDescent="0.25">
      <c r="A28" s="25" t="s">
        <v>51</v>
      </c>
      <c r="B28" s="25" t="s">
        <v>216</v>
      </c>
      <c r="C28" s="68"/>
      <c r="D28" s="25"/>
      <c r="E28" s="68"/>
      <c r="F28" s="25"/>
      <c r="G28" s="68"/>
      <c r="H28" s="25"/>
      <c r="I28" s="25"/>
    </row>
    <row r="29" spans="1:9" x14ac:dyDescent="0.25">
      <c r="A29" s="18"/>
      <c r="B29" s="12" t="s">
        <v>217</v>
      </c>
      <c r="C29" s="14">
        <v>1.65</v>
      </c>
      <c r="D29" s="12">
        <v>-2893.32</v>
      </c>
      <c r="E29" s="14">
        <v>8556.1200000000008</v>
      </c>
      <c r="F29" s="12">
        <v>9344.52</v>
      </c>
      <c r="G29" s="15">
        <f>I55</f>
        <v>7309.35</v>
      </c>
      <c r="H29" s="12">
        <f>D29+F29-G29</f>
        <v>-858.14999999999964</v>
      </c>
      <c r="I29" s="12">
        <f>H29</f>
        <v>-858.14999999999964</v>
      </c>
    </row>
    <row r="30" spans="1:9" x14ac:dyDescent="0.25">
      <c r="A30" s="11" t="s">
        <v>55</v>
      </c>
      <c r="B30" s="11" t="s">
        <v>146</v>
      </c>
      <c r="C30" s="46"/>
      <c r="D30" s="18" t="s">
        <v>71</v>
      </c>
      <c r="E30" s="5"/>
      <c r="F30" s="18"/>
      <c r="G30" s="5" t="s">
        <v>147</v>
      </c>
      <c r="H30" s="18" t="s">
        <v>71</v>
      </c>
      <c r="I30" s="18"/>
    </row>
    <row r="31" spans="1:9" x14ac:dyDescent="0.25">
      <c r="A31" s="12"/>
      <c r="B31" s="12" t="s">
        <v>276</v>
      </c>
      <c r="C31" s="14">
        <v>0</v>
      </c>
      <c r="D31" s="11">
        <v>62.32</v>
      </c>
      <c r="E31" s="41">
        <v>0</v>
      </c>
      <c r="F31" s="11">
        <v>0</v>
      </c>
      <c r="G31" s="41">
        <v>0</v>
      </c>
      <c r="H31" s="11">
        <f>D31+F31-G31</f>
        <v>62.32</v>
      </c>
      <c r="I31" s="11" t="s">
        <v>71</v>
      </c>
    </row>
    <row r="32" spans="1:9" x14ac:dyDescent="0.25">
      <c r="A32" s="9"/>
      <c r="B32" s="9" t="s">
        <v>54</v>
      </c>
      <c r="C32" s="10">
        <v>0</v>
      </c>
      <c r="D32" s="9"/>
      <c r="E32" s="10">
        <v>0</v>
      </c>
      <c r="F32" s="9">
        <v>0</v>
      </c>
      <c r="G32" s="10">
        <v>0</v>
      </c>
      <c r="H32" s="9"/>
      <c r="I32" s="9"/>
    </row>
    <row r="33" spans="1:9" x14ac:dyDescent="0.25">
      <c r="A33" s="1" t="s">
        <v>58</v>
      </c>
      <c r="B33" s="2"/>
      <c r="C33" s="2"/>
      <c r="E33" s="2"/>
      <c r="F33" s="2"/>
      <c r="G33" s="2"/>
      <c r="H33" s="2"/>
      <c r="I33" s="2"/>
    </row>
    <row r="34" spans="1:9" x14ac:dyDescent="0.25">
      <c r="A34" s="5" t="s">
        <v>69</v>
      </c>
      <c r="B34" s="60"/>
      <c r="C34" s="60"/>
      <c r="D34" s="60"/>
      <c r="E34" s="60"/>
      <c r="F34" s="37"/>
      <c r="G34" s="37"/>
      <c r="H34" s="37"/>
      <c r="I34" s="60"/>
    </row>
    <row r="35" spans="1:9" x14ac:dyDescent="0.25">
      <c r="A35" s="1" t="s">
        <v>70</v>
      </c>
      <c r="B35" s="60"/>
      <c r="C35" s="60"/>
      <c r="D35" s="60"/>
      <c r="E35" s="60"/>
      <c r="F35" s="37"/>
      <c r="G35" s="37"/>
      <c r="H35" s="37"/>
      <c r="I35" s="60"/>
    </row>
    <row r="36" spans="1:9" x14ac:dyDescent="0.25">
      <c r="A36" s="6" t="s">
        <v>71</v>
      </c>
      <c r="B36" s="48" t="s">
        <v>72</v>
      </c>
      <c r="C36" s="6" t="s">
        <v>73</v>
      </c>
      <c r="D36" s="58" t="s">
        <v>74</v>
      </c>
      <c r="E36" s="6" t="s">
        <v>75</v>
      </c>
      <c r="F36" s="58" t="s">
        <v>76</v>
      </c>
      <c r="G36" s="6" t="s">
        <v>77</v>
      </c>
      <c r="H36" s="58" t="s">
        <v>78</v>
      </c>
      <c r="I36" s="6" t="s">
        <v>19</v>
      </c>
    </row>
    <row r="37" spans="1:9" x14ac:dyDescent="0.25">
      <c r="A37" s="7"/>
      <c r="B37" s="51" t="s">
        <v>79</v>
      </c>
      <c r="C37" s="7" t="s">
        <v>80</v>
      </c>
      <c r="D37" s="60" t="s">
        <v>81</v>
      </c>
      <c r="E37" s="7" t="s">
        <v>82</v>
      </c>
      <c r="F37" s="60" t="s">
        <v>83</v>
      </c>
      <c r="G37" s="7" t="s">
        <v>84</v>
      </c>
      <c r="H37" s="60" t="s">
        <v>85</v>
      </c>
      <c r="I37" s="7" t="s">
        <v>86</v>
      </c>
    </row>
    <row r="38" spans="1:9" x14ac:dyDescent="0.25">
      <c r="A38" s="62"/>
      <c r="B38" s="52"/>
      <c r="C38" s="62"/>
      <c r="D38" s="74"/>
      <c r="E38" s="62"/>
      <c r="F38" s="74" t="s">
        <v>87</v>
      </c>
      <c r="G38" s="62" t="s">
        <v>88</v>
      </c>
      <c r="H38" s="74"/>
      <c r="I38" s="62" t="s">
        <v>1149</v>
      </c>
    </row>
    <row r="39" spans="1:9" x14ac:dyDescent="0.25">
      <c r="A39" s="7"/>
      <c r="B39" s="51"/>
      <c r="C39" s="9"/>
      <c r="D39" s="6"/>
      <c r="E39" s="60"/>
      <c r="F39" s="6"/>
      <c r="G39" s="60"/>
      <c r="H39" s="6"/>
      <c r="I39" s="61"/>
    </row>
    <row r="40" spans="1:9" x14ac:dyDescent="0.25">
      <c r="A40" s="9">
        <v>1</v>
      </c>
      <c r="B40" s="9" t="s">
        <v>90</v>
      </c>
      <c r="C40" s="41" t="s">
        <v>91</v>
      </c>
      <c r="D40" s="9">
        <v>-5884.41</v>
      </c>
      <c r="E40" s="65">
        <v>33419.300000000003</v>
      </c>
      <c r="F40" s="9">
        <v>34046.879999999997</v>
      </c>
      <c r="G40" s="65">
        <f>E40</f>
        <v>33419.300000000003</v>
      </c>
      <c r="H40" s="9">
        <f>D40+F40-G40</f>
        <v>-5256.8300000000054</v>
      </c>
      <c r="I40" s="50">
        <f>H40</f>
        <v>-5256.8300000000054</v>
      </c>
    </row>
    <row r="41" spans="1:9" x14ac:dyDescent="0.25">
      <c r="A41" s="52"/>
      <c r="B41" s="9" t="s">
        <v>1157</v>
      </c>
      <c r="C41" s="74" t="s">
        <v>93</v>
      </c>
      <c r="D41" s="62"/>
      <c r="E41" s="74"/>
      <c r="F41" s="62"/>
      <c r="G41" s="74"/>
      <c r="H41" s="62"/>
      <c r="I41" s="53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 t="s">
        <v>71</v>
      </c>
      <c r="C43" s="2"/>
      <c r="D43" s="2"/>
      <c r="E43" s="2"/>
      <c r="F43" s="2" t="s">
        <v>71</v>
      </c>
      <c r="G43" s="2"/>
      <c r="H43" s="2"/>
      <c r="I43" s="2"/>
    </row>
    <row r="44" spans="1:9" x14ac:dyDescent="0.25">
      <c r="A44" s="1" t="s">
        <v>1158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5" t="s">
        <v>1159</v>
      </c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8" t="s">
        <v>12</v>
      </c>
      <c r="B46" s="6" t="s">
        <v>102</v>
      </c>
      <c r="C46" s="58" t="s">
        <v>103</v>
      </c>
      <c r="D46" s="58"/>
      <c r="E46" s="58"/>
      <c r="F46" s="48" t="s">
        <v>222</v>
      </c>
      <c r="G46" s="58"/>
      <c r="H46" s="49"/>
      <c r="I46" s="6" t="s">
        <v>105</v>
      </c>
    </row>
    <row r="47" spans="1:9" x14ac:dyDescent="0.25">
      <c r="A47" s="51" t="s">
        <v>106</v>
      </c>
      <c r="B47" s="7"/>
      <c r="C47" s="60"/>
      <c r="D47" s="60"/>
      <c r="E47" s="60"/>
      <c r="F47" s="51" t="s">
        <v>224</v>
      </c>
      <c r="G47" s="60"/>
      <c r="H47" s="61"/>
      <c r="I47" s="7" t="s">
        <v>108</v>
      </c>
    </row>
    <row r="48" spans="1:9" x14ac:dyDescent="0.25">
      <c r="A48" s="51"/>
      <c r="B48" s="7"/>
      <c r="C48" s="60"/>
      <c r="D48" s="60"/>
      <c r="E48" s="60"/>
      <c r="F48" s="51" t="s">
        <v>1160</v>
      </c>
      <c r="G48" s="60"/>
      <c r="H48" s="61"/>
      <c r="I48" s="7"/>
    </row>
    <row r="49" spans="1:9" x14ac:dyDescent="0.25">
      <c r="A49" s="51"/>
      <c r="B49" s="7"/>
      <c r="C49" s="60"/>
      <c r="D49" s="60"/>
      <c r="E49" s="60"/>
      <c r="F49" s="51" t="s">
        <v>226</v>
      </c>
      <c r="G49" s="60"/>
      <c r="H49" s="61"/>
      <c r="I49" s="7"/>
    </row>
    <row r="50" spans="1:9" x14ac:dyDescent="0.25">
      <c r="A50" s="52"/>
      <c r="B50" s="62"/>
      <c r="C50" s="60"/>
      <c r="D50" s="60"/>
      <c r="E50" s="60"/>
      <c r="F50" s="51"/>
      <c r="G50" s="60"/>
      <c r="H50" s="61"/>
      <c r="I50" s="62"/>
    </row>
    <row r="51" spans="1:9" x14ac:dyDescent="0.25">
      <c r="A51" s="67" t="s">
        <v>110</v>
      </c>
      <c r="B51" s="18"/>
      <c r="C51" s="68" t="s">
        <v>111</v>
      </c>
      <c r="D51" s="68"/>
      <c r="E51" s="68"/>
      <c r="F51" s="48"/>
      <c r="G51" s="58"/>
      <c r="H51" s="49"/>
      <c r="I51" s="6"/>
    </row>
    <row r="52" spans="1:9" x14ac:dyDescent="0.25">
      <c r="A52" s="69"/>
      <c r="B52" s="7"/>
      <c r="C52" s="60" t="s">
        <v>112</v>
      </c>
      <c r="D52" s="60"/>
      <c r="E52" s="60"/>
      <c r="F52" s="51" t="s">
        <v>71</v>
      </c>
      <c r="G52" s="37"/>
      <c r="H52" s="61" t="s">
        <v>71</v>
      </c>
      <c r="I52" s="7" t="s">
        <v>71</v>
      </c>
    </row>
    <row r="53" spans="1:9" x14ac:dyDescent="0.25">
      <c r="A53" s="69" t="s">
        <v>113</v>
      </c>
      <c r="B53" s="70">
        <v>42990</v>
      </c>
      <c r="C53" s="60" t="s">
        <v>116</v>
      </c>
      <c r="D53" s="60"/>
      <c r="E53" s="60"/>
      <c r="F53" s="51"/>
      <c r="G53" s="37">
        <f>I53/446.2</f>
        <v>6.7234424025100852</v>
      </c>
      <c r="H53" s="61"/>
      <c r="I53" s="7">
        <v>3000</v>
      </c>
    </row>
    <row r="54" spans="1:9" x14ac:dyDescent="0.25">
      <c r="A54" s="255" t="s">
        <v>38</v>
      </c>
      <c r="B54" s="70">
        <v>43008</v>
      </c>
      <c r="C54" s="60" t="s">
        <v>1161</v>
      </c>
      <c r="D54" s="60"/>
      <c r="E54" s="60"/>
      <c r="F54" s="51"/>
      <c r="G54" s="37">
        <f>I54/446.2</f>
        <v>9.6578888390856132</v>
      </c>
      <c r="H54" s="61"/>
      <c r="I54" s="7">
        <v>4309.3500000000004</v>
      </c>
    </row>
    <row r="55" spans="1:9" x14ac:dyDescent="0.25">
      <c r="A55" s="69"/>
      <c r="B55" s="7"/>
      <c r="C55" s="5" t="s">
        <v>118</v>
      </c>
      <c r="D55" s="5"/>
      <c r="E55" s="5"/>
      <c r="F55" s="59"/>
      <c r="G55" s="20">
        <f>SUM(G54:G54)</f>
        <v>9.6578888390856132</v>
      </c>
      <c r="H55" s="71"/>
      <c r="I55" s="18">
        <f>SUM(I53:I54)</f>
        <v>7309.35</v>
      </c>
    </row>
    <row r="56" spans="1:9" x14ac:dyDescent="0.25">
      <c r="A56" s="6"/>
      <c r="B56" s="6"/>
      <c r="C56" s="48"/>
      <c r="D56" s="58"/>
      <c r="E56" s="49"/>
      <c r="F56" s="48"/>
      <c r="G56" s="58"/>
      <c r="H56" s="49"/>
      <c r="I56" s="6"/>
    </row>
    <row r="57" spans="1:9" x14ac:dyDescent="0.25">
      <c r="A57" s="6" t="s">
        <v>48</v>
      </c>
      <c r="B57" s="25" t="s">
        <v>119</v>
      </c>
      <c r="C57" s="57" t="s">
        <v>120</v>
      </c>
      <c r="D57" s="58"/>
      <c r="E57" s="49"/>
      <c r="F57" s="48" t="s">
        <v>121</v>
      </c>
      <c r="G57" s="58"/>
      <c r="H57" s="49"/>
      <c r="I57" s="6"/>
    </row>
    <row r="58" spans="1:9" x14ac:dyDescent="0.25">
      <c r="A58" s="73"/>
      <c r="B58" s="62" t="s">
        <v>119</v>
      </c>
      <c r="C58" s="52" t="s">
        <v>118</v>
      </c>
      <c r="D58" s="74"/>
      <c r="E58" s="53"/>
      <c r="F58" s="52" t="s">
        <v>71</v>
      </c>
      <c r="G58" s="74"/>
      <c r="H58" s="53"/>
      <c r="I58" s="62">
        <v>0</v>
      </c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 t="s">
        <v>227</v>
      </c>
      <c r="B61" s="2"/>
      <c r="C61" s="2" t="s">
        <v>71</v>
      </c>
      <c r="D61" s="2" t="s">
        <v>1144</v>
      </c>
      <c r="E61" s="2"/>
      <c r="F61" s="2"/>
      <c r="G61" s="2"/>
      <c r="H61" s="2" t="s">
        <v>1162</v>
      </c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46" zoomScale="110" zoomScaleNormal="110" workbookViewId="0">
      <selection activeCell="H25" sqref="H25:I25"/>
    </sheetView>
  </sheetViews>
  <sheetFormatPr defaultRowHeight="15" x14ac:dyDescent="0.25"/>
  <cols>
    <col min="1" max="1" width="6" style="3" customWidth="1"/>
    <col min="2" max="2" width="31.85546875" style="3" customWidth="1"/>
    <col min="3" max="3" width="11.85546875" style="3" customWidth="1"/>
    <col min="4" max="4" width="10.85546875" style="3" customWidth="1"/>
    <col min="5" max="5" width="11.85546875" style="3" customWidth="1"/>
    <col min="6" max="6" width="10.85546875" style="3" customWidth="1"/>
    <col min="7" max="7" width="12.5703125" style="3" customWidth="1"/>
    <col min="8" max="8" width="13" style="3" customWidth="1"/>
    <col min="9" max="9" width="16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1163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1164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1165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1166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548</v>
      </c>
    </row>
    <row r="15" spans="1:9" x14ac:dyDescent="0.25">
      <c r="A15" s="7"/>
      <c r="B15" s="7"/>
      <c r="C15" s="7" t="s">
        <v>27</v>
      </c>
      <c r="D15" s="7" t="s">
        <v>1167</v>
      </c>
      <c r="E15" s="7"/>
      <c r="F15" s="7"/>
      <c r="G15" s="7" t="s">
        <v>29</v>
      </c>
      <c r="H15" s="7" t="s">
        <v>30</v>
      </c>
      <c r="I15" s="7" t="s">
        <v>549</v>
      </c>
    </row>
    <row r="16" spans="1:9" x14ac:dyDescent="0.25">
      <c r="A16" s="7"/>
      <c r="B16" s="7"/>
      <c r="C16" s="7" t="s">
        <v>269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1138</v>
      </c>
    </row>
    <row r="17" spans="1:9" x14ac:dyDescent="0.25">
      <c r="A17" s="7"/>
      <c r="B17" s="7"/>
      <c r="C17" s="62" t="s">
        <v>1139</v>
      </c>
      <c r="D17" s="7"/>
      <c r="E17" s="7"/>
      <c r="F17" s="7"/>
      <c r="G17" s="7"/>
      <c r="H17" s="7"/>
      <c r="I17" s="7" t="s">
        <v>1140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6">
        <v>8</v>
      </c>
      <c r="I18" s="9">
        <v>9</v>
      </c>
    </row>
    <row r="19" spans="1:9" x14ac:dyDescent="0.25">
      <c r="A19" s="57">
        <v>1</v>
      </c>
      <c r="B19" s="25" t="s">
        <v>191</v>
      </c>
      <c r="C19" s="68"/>
      <c r="D19" s="25"/>
      <c r="E19" s="27" t="s">
        <v>71</v>
      </c>
      <c r="F19" s="25" t="s">
        <v>71</v>
      </c>
      <c r="G19" s="57"/>
      <c r="H19" s="25" t="s">
        <v>71</v>
      </c>
      <c r="I19" s="26" t="s">
        <v>71</v>
      </c>
    </row>
    <row r="20" spans="1:9" x14ac:dyDescent="0.25">
      <c r="A20" s="15"/>
      <c r="B20" s="12" t="s">
        <v>192</v>
      </c>
      <c r="C20" s="14">
        <v>7.97</v>
      </c>
      <c r="D20" s="17">
        <v>-19004.91</v>
      </c>
      <c r="E20" s="14">
        <v>255856.32</v>
      </c>
      <c r="F20" s="12">
        <v>260183.18</v>
      </c>
      <c r="G20" s="15">
        <f t="shared" ref="G20:G26" si="0">E20</f>
        <v>255856.32</v>
      </c>
      <c r="H20" s="108">
        <f>D20+F20-G20</f>
        <v>-14678.050000000017</v>
      </c>
      <c r="I20" s="13">
        <f>H20</f>
        <v>-14678.050000000017</v>
      </c>
    </row>
    <row r="21" spans="1:9" x14ac:dyDescent="0.25">
      <c r="A21" s="7" t="s">
        <v>36</v>
      </c>
      <c r="B21" s="62" t="s">
        <v>37</v>
      </c>
      <c r="C21" s="74">
        <v>2.62</v>
      </c>
      <c r="D21" s="22"/>
      <c r="E21" s="79">
        <f>E20*33%</f>
        <v>84432.585600000006</v>
      </c>
      <c r="F21" s="54">
        <f>F20*33%</f>
        <v>85860.449399999998</v>
      </c>
      <c r="G21" s="37">
        <f t="shared" si="0"/>
        <v>84432.585600000006</v>
      </c>
      <c r="H21" s="54"/>
      <c r="I21" s="22"/>
    </row>
    <row r="22" spans="1:9" x14ac:dyDescent="0.25">
      <c r="A22" s="24" t="s">
        <v>38</v>
      </c>
      <c r="B22" s="6" t="s">
        <v>39</v>
      </c>
      <c r="C22" s="58">
        <v>1.33</v>
      </c>
      <c r="D22" s="75"/>
      <c r="E22" s="86">
        <f>E20*17%</f>
        <v>43495.574400000005</v>
      </c>
      <c r="F22" s="29">
        <f>F20*17%</f>
        <v>44231.140599999999</v>
      </c>
      <c r="G22" s="29">
        <f t="shared" si="0"/>
        <v>43495.574400000005</v>
      </c>
      <c r="H22" s="22"/>
      <c r="I22" s="75"/>
    </row>
    <row r="23" spans="1:9" x14ac:dyDescent="0.25">
      <c r="A23" s="24" t="s">
        <v>40</v>
      </c>
      <c r="B23" s="6" t="s">
        <v>41</v>
      </c>
      <c r="C23" s="58">
        <v>1.63</v>
      </c>
      <c r="D23" s="29"/>
      <c r="E23" s="86">
        <f>E20*20%</f>
        <v>51171.264000000003</v>
      </c>
      <c r="F23" s="22">
        <f>F20*20%</f>
        <v>52036.635999999999</v>
      </c>
      <c r="G23" s="37">
        <f t="shared" si="0"/>
        <v>51171.264000000003</v>
      </c>
      <c r="H23" s="75"/>
      <c r="I23" s="29"/>
    </row>
    <row r="24" spans="1:9" x14ac:dyDescent="0.25">
      <c r="A24" s="24" t="s">
        <v>42</v>
      </c>
      <c r="B24" s="6" t="s">
        <v>43</v>
      </c>
      <c r="C24" s="58">
        <v>2.39</v>
      </c>
      <c r="D24" s="75"/>
      <c r="E24" s="39">
        <f>E20*30%</f>
        <v>76756.895999999993</v>
      </c>
      <c r="F24" s="29">
        <f>F20*30%</f>
        <v>78054.953999999998</v>
      </c>
      <c r="G24" s="40">
        <f t="shared" si="0"/>
        <v>76756.895999999993</v>
      </c>
      <c r="H24" s="29"/>
      <c r="I24" s="75"/>
    </row>
    <row r="25" spans="1:9" x14ac:dyDescent="0.25">
      <c r="A25" s="24" t="s">
        <v>44</v>
      </c>
      <c r="B25" s="6" t="s">
        <v>47</v>
      </c>
      <c r="C25" s="58">
        <v>0.70096999999999998</v>
      </c>
      <c r="D25" s="75"/>
      <c r="E25" s="9">
        <v>21541.49</v>
      </c>
      <c r="F25" s="10">
        <v>18475.080000000002</v>
      </c>
      <c r="G25" s="9">
        <f t="shared" si="0"/>
        <v>21541.49</v>
      </c>
      <c r="H25" s="11">
        <f>F25-E25</f>
        <v>-3066.41</v>
      </c>
      <c r="I25" s="11">
        <f>H25</f>
        <v>-3066.41</v>
      </c>
    </row>
    <row r="26" spans="1:9" x14ac:dyDescent="0.25">
      <c r="A26" s="11" t="s">
        <v>48</v>
      </c>
      <c r="B26" s="11" t="s">
        <v>49</v>
      </c>
      <c r="C26" s="41" t="s">
        <v>50</v>
      </c>
      <c r="D26" s="43">
        <v>-16890.79</v>
      </c>
      <c r="E26" s="32">
        <v>108666.84</v>
      </c>
      <c r="F26" s="43">
        <v>107039.82</v>
      </c>
      <c r="G26" s="33">
        <f t="shared" si="0"/>
        <v>108666.84</v>
      </c>
      <c r="H26" s="43">
        <f>D26+F26-G26</f>
        <v>-18517.809999999998</v>
      </c>
      <c r="I26" s="43">
        <f>H26</f>
        <v>-18517.809999999998</v>
      </c>
    </row>
    <row r="27" spans="1:9" x14ac:dyDescent="0.25">
      <c r="A27" s="11" t="s">
        <v>51</v>
      </c>
      <c r="B27" s="12" t="s">
        <v>459</v>
      </c>
      <c r="C27" s="14">
        <v>1.82</v>
      </c>
      <c r="D27" s="12">
        <v>77392.820000000007</v>
      </c>
      <c r="E27" s="14">
        <v>58426.080000000002</v>
      </c>
      <c r="F27" s="12">
        <f>F28+F29</f>
        <v>62247.28</v>
      </c>
      <c r="G27" s="12">
        <f>I64</f>
        <v>38406.67</v>
      </c>
      <c r="H27" s="12">
        <f>D27+F27-G27</f>
        <v>101233.43000000001</v>
      </c>
      <c r="I27" s="12"/>
    </row>
    <row r="28" spans="1:9" x14ac:dyDescent="0.25">
      <c r="A28" s="11"/>
      <c r="B28" s="9" t="s">
        <v>53</v>
      </c>
      <c r="C28" s="5"/>
      <c r="D28" s="18"/>
      <c r="E28" s="14" t="s">
        <v>71</v>
      </c>
      <c r="F28" s="12">
        <v>60594.46</v>
      </c>
      <c r="G28" s="5"/>
      <c r="H28" s="18"/>
      <c r="I28" s="18"/>
    </row>
    <row r="29" spans="1:9" x14ac:dyDescent="0.25">
      <c r="A29" s="18"/>
      <c r="B29" s="9" t="s">
        <v>54</v>
      </c>
      <c r="C29" s="42"/>
      <c r="D29" s="11"/>
      <c r="E29" s="41"/>
      <c r="F29" s="11">
        <v>1652.82</v>
      </c>
      <c r="G29" s="41"/>
      <c r="H29" s="11"/>
      <c r="I29" s="11"/>
    </row>
    <row r="30" spans="1:9" x14ac:dyDescent="0.25">
      <c r="A30" s="25" t="s">
        <v>55</v>
      </c>
      <c r="B30" s="18" t="s">
        <v>146</v>
      </c>
      <c r="C30" s="5"/>
      <c r="D30" s="18" t="s">
        <v>71</v>
      </c>
      <c r="E30" s="5"/>
      <c r="F30" s="18"/>
      <c r="G30" s="5" t="s">
        <v>147</v>
      </c>
      <c r="H30" s="18" t="s">
        <v>71</v>
      </c>
      <c r="I30" s="18"/>
    </row>
    <row r="31" spans="1:9" x14ac:dyDescent="0.25">
      <c r="A31" s="11"/>
      <c r="B31" s="11" t="s">
        <v>276</v>
      </c>
      <c r="C31" s="46">
        <v>0</v>
      </c>
      <c r="D31" s="11">
        <v>91040.82</v>
      </c>
      <c r="E31" s="41">
        <v>0</v>
      </c>
      <c r="F31" s="11">
        <f>F33</f>
        <v>705.71</v>
      </c>
      <c r="G31" s="11">
        <f>I68</f>
        <v>0</v>
      </c>
      <c r="H31" s="11">
        <f>D31+F31-G31</f>
        <v>91746.530000000013</v>
      </c>
      <c r="I31" s="11"/>
    </row>
    <row r="32" spans="1:9" x14ac:dyDescent="0.25">
      <c r="A32" s="7"/>
      <c r="B32" s="62" t="s">
        <v>112</v>
      </c>
      <c r="C32" s="60"/>
      <c r="D32" s="7"/>
      <c r="E32" s="60"/>
      <c r="F32" s="7"/>
      <c r="G32" s="60"/>
      <c r="H32" s="7"/>
      <c r="I32" s="18"/>
    </row>
    <row r="33" spans="1:9" x14ac:dyDescent="0.25">
      <c r="A33" s="9"/>
      <c r="B33" s="9" t="s">
        <v>53</v>
      </c>
      <c r="C33" s="10">
        <v>0</v>
      </c>
      <c r="D33" s="9">
        <v>0</v>
      </c>
      <c r="E33" s="41">
        <v>0</v>
      </c>
      <c r="F33" s="11">
        <v>705.71</v>
      </c>
      <c r="G33" s="9">
        <f>G31</f>
        <v>0</v>
      </c>
      <c r="H33" s="9"/>
      <c r="I33" s="9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5" t="s">
        <v>69</v>
      </c>
      <c r="B36" s="60"/>
      <c r="C36" s="60"/>
      <c r="D36" s="60"/>
      <c r="E36" s="60"/>
      <c r="F36" s="37"/>
      <c r="G36" s="37"/>
      <c r="H36" s="37"/>
      <c r="I36" s="60"/>
    </row>
    <row r="37" spans="1:9" x14ac:dyDescent="0.25">
      <c r="A37" s="1" t="s">
        <v>70</v>
      </c>
      <c r="B37" s="60"/>
      <c r="C37" s="60"/>
      <c r="D37" s="60"/>
      <c r="E37" s="60"/>
      <c r="F37" s="37"/>
      <c r="G37" s="37"/>
      <c r="H37" s="37"/>
      <c r="I37" s="60"/>
    </row>
    <row r="38" spans="1:9" x14ac:dyDescent="0.25">
      <c r="A38" s="25" t="s">
        <v>59</v>
      </c>
      <c r="B38" s="58" t="s">
        <v>60</v>
      </c>
      <c r="C38" s="6" t="s">
        <v>64</v>
      </c>
      <c r="D38" s="49" t="s">
        <v>62</v>
      </c>
      <c r="E38" s="58" t="s">
        <v>63</v>
      </c>
      <c r="F38" s="6" t="s">
        <v>64</v>
      </c>
      <c r="G38" s="6"/>
      <c r="H38" s="58" t="s">
        <v>199</v>
      </c>
      <c r="I38" s="49"/>
    </row>
    <row r="39" spans="1:9" x14ac:dyDescent="0.25">
      <c r="A39" s="7"/>
      <c r="B39" s="60"/>
      <c r="C39" s="62" t="s">
        <v>66</v>
      </c>
      <c r="D39" s="53" t="s">
        <v>23</v>
      </c>
      <c r="E39" s="74" t="s">
        <v>312</v>
      </c>
      <c r="F39" s="62" t="s">
        <v>30</v>
      </c>
      <c r="G39" s="62"/>
      <c r="H39" s="74"/>
      <c r="I39" s="53"/>
    </row>
    <row r="40" spans="1:9" x14ac:dyDescent="0.25">
      <c r="A40" s="12"/>
      <c r="B40" s="74" t="s">
        <v>68</v>
      </c>
      <c r="C40" s="55">
        <v>13438.5</v>
      </c>
      <c r="D40" s="9">
        <v>5553</v>
      </c>
      <c r="E40" s="79">
        <f>D40*15%</f>
        <v>832.94999999999993</v>
      </c>
      <c r="F40" s="54">
        <f>C40+(D40-E40)</f>
        <v>18158.55</v>
      </c>
      <c r="G40" s="54"/>
      <c r="H40" s="79">
        <f>F40</f>
        <v>18158.55</v>
      </c>
      <c r="I40" s="53"/>
    </row>
    <row r="41" spans="1:9" x14ac:dyDescent="0.25">
      <c r="A41" s="1" t="s">
        <v>252</v>
      </c>
      <c r="B41" s="60"/>
      <c r="C41" s="60"/>
      <c r="D41" s="60"/>
      <c r="E41" s="60"/>
      <c r="F41" s="37"/>
      <c r="G41" s="60"/>
      <c r="H41" s="60"/>
      <c r="I41" s="37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410</v>
      </c>
      <c r="H42" s="6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7" t="s">
        <v>85</v>
      </c>
      <c r="I43" s="7" t="s">
        <v>86</v>
      </c>
    </row>
    <row r="44" spans="1:9" x14ac:dyDescent="0.25">
      <c r="A44" s="7"/>
      <c r="B44" s="51"/>
      <c r="C44" s="7"/>
      <c r="D44" s="60"/>
      <c r="E44" s="7"/>
      <c r="F44" s="60" t="s">
        <v>87</v>
      </c>
      <c r="G44" s="7" t="s">
        <v>88</v>
      </c>
      <c r="H44" s="7"/>
      <c r="I44" s="7" t="s">
        <v>30</v>
      </c>
    </row>
    <row r="45" spans="1:9" x14ac:dyDescent="0.25">
      <c r="A45" s="9"/>
      <c r="B45" s="8"/>
      <c r="C45" s="9"/>
      <c r="D45" s="10"/>
      <c r="E45" s="9"/>
      <c r="F45" s="10"/>
      <c r="G45" s="9"/>
      <c r="H45" s="9"/>
      <c r="I45" s="9"/>
    </row>
    <row r="46" spans="1:9" x14ac:dyDescent="0.25">
      <c r="A46" s="7">
        <v>1</v>
      </c>
      <c r="B46" s="7" t="s">
        <v>90</v>
      </c>
      <c r="C46" s="5" t="s">
        <v>91</v>
      </c>
      <c r="D46" s="7">
        <v>-68349.11</v>
      </c>
      <c r="E46" s="112">
        <v>194320.75</v>
      </c>
      <c r="F46" s="7">
        <v>201466.61</v>
      </c>
      <c r="G46" s="112">
        <f>E46</f>
        <v>194320.75</v>
      </c>
      <c r="H46" s="7">
        <f>D46+F46-G46</f>
        <v>-61203.25</v>
      </c>
      <c r="I46" s="7">
        <f>H46</f>
        <v>-61203.25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9"/>
      <c r="G47" s="65"/>
      <c r="H47" s="9"/>
      <c r="I47" s="9"/>
    </row>
    <row r="48" spans="1:9" x14ac:dyDescent="0.25">
      <c r="A48" s="7">
        <v>2</v>
      </c>
      <c r="B48" s="7" t="s">
        <v>94</v>
      </c>
      <c r="C48" s="1" t="s">
        <v>95</v>
      </c>
      <c r="D48" s="7">
        <v>-160670.1</v>
      </c>
      <c r="E48" s="2">
        <v>380367.9</v>
      </c>
      <c r="F48" s="7">
        <v>387401.61</v>
      </c>
      <c r="G48" s="2">
        <f>E48</f>
        <v>380367.9</v>
      </c>
      <c r="H48" s="7">
        <f>D48+F48-G48</f>
        <v>-153636.39000000004</v>
      </c>
      <c r="I48" s="7">
        <f>H48</f>
        <v>-153636.39000000004</v>
      </c>
    </row>
    <row r="49" spans="1:9" x14ac:dyDescent="0.25">
      <c r="A49" s="9"/>
      <c r="B49" s="9" t="s">
        <v>96</v>
      </c>
      <c r="C49" s="41"/>
      <c r="D49" s="9"/>
      <c r="E49" s="10"/>
      <c r="F49" s="9"/>
      <c r="G49" s="10"/>
      <c r="H49" s="6"/>
      <c r="I49" s="9"/>
    </row>
    <row r="50" spans="1:9" x14ac:dyDescent="0.25">
      <c r="A50" s="9"/>
      <c r="B50" s="9" t="s">
        <v>202</v>
      </c>
      <c r="C50" s="41" t="s">
        <v>93</v>
      </c>
      <c r="D50" s="9"/>
      <c r="E50" s="10"/>
      <c r="F50" s="9"/>
      <c r="G50" s="10"/>
      <c r="H50" s="6"/>
      <c r="I50" s="9"/>
    </row>
    <row r="51" spans="1:9" x14ac:dyDescent="0.25">
      <c r="A51" s="9">
        <v>3</v>
      </c>
      <c r="B51" s="9" t="s">
        <v>98</v>
      </c>
      <c r="C51" s="41" t="s">
        <v>203</v>
      </c>
      <c r="D51" s="9">
        <v>-343303.48</v>
      </c>
      <c r="E51" s="10">
        <v>938871.07</v>
      </c>
      <c r="F51" s="9">
        <v>950871.26</v>
      </c>
      <c r="G51" s="10">
        <f>E51</f>
        <v>938871.07</v>
      </c>
      <c r="H51" s="9">
        <f>D51+F51-G51</f>
        <v>-331303.28999999992</v>
      </c>
      <c r="I51" s="9">
        <f>H51</f>
        <v>-331303.28999999992</v>
      </c>
    </row>
    <row r="52" spans="1:9" x14ac:dyDescent="0.25">
      <c r="A52" s="1" t="s">
        <v>1168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5" t="s">
        <v>1169</v>
      </c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48" t="s">
        <v>12</v>
      </c>
      <c r="B54" s="6" t="s">
        <v>221</v>
      </c>
      <c r="C54" s="48" t="s">
        <v>103</v>
      </c>
      <c r="D54" s="58"/>
      <c r="E54" s="49"/>
      <c r="F54" s="58" t="s">
        <v>222</v>
      </c>
      <c r="G54" s="58"/>
      <c r="H54" s="49"/>
      <c r="I54" s="6" t="s">
        <v>105</v>
      </c>
    </row>
    <row r="55" spans="1:9" x14ac:dyDescent="0.25">
      <c r="A55" s="51" t="s">
        <v>106</v>
      </c>
      <c r="B55" s="7" t="s">
        <v>223</v>
      </c>
      <c r="C55" s="51"/>
      <c r="D55" s="60"/>
      <c r="E55" s="61"/>
      <c r="F55" s="60" t="s">
        <v>224</v>
      </c>
      <c r="G55" s="60"/>
      <c r="H55" s="61"/>
      <c r="I55" s="7" t="s">
        <v>108</v>
      </c>
    </row>
    <row r="56" spans="1:9" x14ac:dyDescent="0.25">
      <c r="A56" s="51"/>
      <c r="B56" s="7"/>
      <c r="C56" s="51"/>
      <c r="D56" s="60"/>
      <c r="E56" s="61"/>
      <c r="F56" s="60" t="s">
        <v>257</v>
      </c>
      <c r="G56" s="60"/>
      <c r="H56" s="61"/>
      <c r="I56" s="7"/>
    </row>
    <row r="57" spans="1:9" x14ac:dyDescent="0.25">
      <c r="A57" s="51"/>
      <c r="B57" s="7"/>
      <c r="C57" s="51"/>
      <c r="D57" s="60"/>
      <c r="E57" s="61"/>
      <c r="F57" s="60" t="s">
        <v>258</v>
      </c>
      <c r="G57" s="60"/>
      <c r="H57" s="61"/>
      <c r="I57" s="7"/>
    </row>
    <row r="58" spans="1:9" x14ac:dyDescent="0.25">
      <c r="A58" s="178" t="s">
        <v>110</v>
      </c>
      <c r="B58" s="25"/>
      <c r="C58" s="57" t="s">
        <v>111</v>
      </c>
      <c r="D58" s="68"/>
      <c r="E58" s="68"/>
      <c r="F58" s="48"/>
      <c r="G58" s="58"/>
      <c r="H58" s="49"/>
      <c r="I58" s="6"/>
    </row>
    <row r="59" spans="1:9" x14ac:dyDescent="0.25">
      <c r="A59" s="84"/>
      <c r="B59" s="7"/>
      <c r="C59" s="51" t="s">
        <v>112</v>
      </c>
      <c r="D59" s="60"/>
      <c r="E59" s="60"/>
      <c r="F59" s="51" t="s">
        <v>71</v>
      </c>
      <c r="G59" s="125" t="s">
        <v>71</v>
      </c>
      <c r="H59" s="61" t="s">
        <v>71</v>
      </c>
      <c r="I59" s="7" t="s">
        <v>71</v>
      </c>
    </row>
    <row r="60" spans="1:9" x14ac:dyDescent="0.25">
      <c r="A60" s="84" t="s">
        <v>113</v>
      </c>
      <c r="B60" s="70">
        <v>42851</v>
      </c>
      <c r="C60" s="60" t="s">
        <v>114</v>
      </c>
      <c r="D60" s="60"/>
      <c r="E60" s="60"/>
      <c r="F60" s="51"/>
      <c r="G60" s="125">
        <f>I60/2756.7</f>
        <v>5.2236369572314727</v>
      </c>
      <c r="H60" s="61"/>
      <c r="I60" s="7">
        <v>14400</v>
      </c>
    </row>
    <row r="61" spans="1:9" x14ac:dyDescent="0.25">
      <c r="A61" s="84" t="s">
        <v>38</v>
      </c>
      <c r="B61" s="70">
        <v>42947</v>
      </c>
      <c r="C61" s="60" t="s">
        <v>1170</v>
      </c>
      <c r="D61" s="60"/>
      <c r="E61" s="60"/>
      <c r="F61" s="51"/>
      <c r="G61" s="125">
        <f>I61/2756.7</f>
        <v>2.0321144847099797</v>
      </c>
      <c r="H61" s="61"/>
      <c r="I61" s="7">
        <v>5601.93</v>
      </c>
    </row>
    <row r="62" spans="1:9" x14ac:dyDescent="0.25">
      <c r="A62" s="84" t="s">
        <v>40</v>
      </c>
      <c r="B62" s="70">
        <v>43008</v>
      </c>
      <c r="C62" s="70" t="s">
        <v>1171</v>
      </c>
      <c r="D62" s="60"/>
      <c r="E62" s="60"/>
      <c r="F62" s="51"/>
      <c r="G62" s="125">
        <f>I62/2756.7</f>
        <v>2.010004715783364</v>
      </c>
      <c r="H62" s="61"/>
      <c r="I62" s="7">
        <v>5540.98</v>
      </c>
    </row>
    <row r="63" spans="1:9" x14ac:dyDescent="0.25">
      <c r="A63" s="84" t="s">
        <v>42</v>
      </c>
      <c r="B63" s="70" t="s">
        <v>1172</v>
      </c>
      <c r="C63" s="60" t="s">
        <v>434</v>
      </c>
      <c r="D63" s="60"/>
      <c r="E63" s="60"/>
      <c r="F63" s="51"/>
      <c r="G63" s="125">
        <f>I63/2756.7</f>
        <v>4.6663619545108288</v>
      </c>
      <c r="H63" s="61"/>
      <c r="I63" s="7">
        <v>12863.76</v>
      </c>
    </row>
    <row r="64" spans="1:9" x14ac:dyDescent="0.25">
      <c r="A64" s="84"/>
      <c r="B64" s="62"/>
      <c r="C64" s="15" t="s">
        <v>118</v>
      </c>
      <c r="D64" s="14"/>
      <c r="E64" s="14"/>
      <c r="F64" s="15"/>
      <c r="G64" s="136">
        <f>SUM(G60:G63)</f>
        <v>13.932118112235646</v>
      </c>
      <c r="H64" s="85"/>
      <c r="I64" s="18">
        <f>SUM(I60:I63)</f>
        <v>38406.67</v>
      </c>
    </row>
    <row r="65" spans="1:9" x14ac:dyDescent="0.25">
      <c r="A65" s="48"/>
      <c r="B65" s="7"/>
      <c r="C65" s="51"/>
      <c r="D65" s="60"/>
      <c r="E65" s="61"/>
      <c r="F65" s="58"/>
      <c r="G65" s="58"/>
      <c r="H65" s="49"/>
      <c r="I65" s="6"/>
    </row>
    <row r="66" spans="1:9" x14ac:dyDescent="0.25">
      <c r="A66" s="48" t="s">
        <v>48</v>
      </c>
      <c r="B66" s="25" t="s">
        <v>119</v>
      </c>
      <c r="C66" s="57" t="s">
        <v>120</v>
      </c>
      <c r="D66" s="58"/>
      <c r="E66" s="49"/>
      <c r="F66" s="48" t="s">
        <v>121</v>
      </c>
      <c r="G66" s="86" t="s">
        <v>71</v>
      </c>
      <c r="H66" s="49"/>
      <c r="I66" s="6"/>
    </row>
    <row r="67" spans="1:9" x14ac:dyDescent="0.25">
      <c r="A67" s="84"/>
      <c r="B67" s="70"/>
      <c r="C67" s="51"/>
      <c r="D67" s="60"/>
      <c r="E67" s="61"/>
      <c r="F67" s="51"/>
      <c r="G67" s="37"/>
      <c r="H67" s="61"/>
      <c r="I67" s="7"/>
    </row>
    <row r="68" spans="1:9" x14ac:dyDescent="0.25">
      <c r="A68" s="77"/>
      <c r="B68" s="62" t="s">
        <v>119</v>
      </c>
      <c r="C68" s="52" t="s">
        <v>118</v>
      </c>
      <c r="D68" s="74"/>
      <c r="E68" s="53"/>
      <c r="F68" s="52" t="s">
        <v>71</v>
      </c>
      <c r="G68" s="79">
        <f>I68/2675.2</f>
        <v>0</v>
      </c>
      <c r="H68" s="53"/>
      <c r="I68" s="62">
        <f>SUM(I66:I67)</f>
        <v>0</v>
      </c>
    </row>
    <row r="69" spans="1:9" x14ac:dyDescent="0.25">
      <c r="A69" s="2" t="s">
        <v>576</v>
      </c>
      <c r="B69" s="2"/>
      <c r="C69" s="2" t="s">
        <v>71</v>
      </c>
      <c r="D69" s="2" t="s">
        <v>1173</v>
      </c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103"/>
      <c r="B72" s="195"/>
      <c r="C72" s="60"/>
      <c r="D72" s="60"/>
      <c r="E72" s="60"/>
      <c r="F72" s="60"/>
      <c r="G72" s="125"/>
      <c r="H72" s="60"/>
      <c r="I72" s="60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="110" zoomScaleNormal="110" workbookViewId="0">
      <selection activeCell="B3" sqref="B3"/>
    </sheetView>
  </sheetViews>
  <sheetFormatPr defaultRowHeight="15" x14ac:dyDescent="0.25"/>
  <cols>
    <col min="1" max="1" width="4.140625" style="3" customWidth="1"/>
    <col min="2" max="2" width="35.140625" style="3" customWidth="1"/>
    <col min="3" max="3" width="13.28515625" style="3" customWidth="1"/>
    <col min="4" max="4" width="11.140625" style="3" customWidth="1"/>
    <col min="5" max="5" width="10.85546875" style="3" customWidth="1"/>
    <col min="6" max="6" width="11" style="3" customWidth="1"/>
    <col min="7" max="7" width="10.7109375" style="3" customWidth="1"/>
    <col min="8" max="8" width="11.5703125" style="3" customWidth="1"/>
    <col min="9" max="9" width="18.85546875" style="3" customWidth="1"/>
    <col min="10" max="16384" width="9.1406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4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127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1174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1175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1176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8">
        <v>1</v>
      </c>
      <c r="B18" s="9">
        <v>2</v>
      </c>
      <c r="C18" s="58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57">
        <v>1</v>
      </c>
      <c r="B19" s="57" t="s">
        <v>191</v>
      </c>
      <c r="C19" s="25" t="s">
        <v>71</v>
      </c>
      <c r="D19" s="72"/>
      <c r="E19" s="27" t="s">
        <v>71</v>
      </c>
      <c r="F19" s="25" t="s">
        <v>71</v>
      </c>
      <c r="G19" s="68"/>
      <c r="H19" s="25" t="s">
        <v>71</v>
      </c>
      <c r="I19" s="45" t="s">
        <v>71</v>
      </c>
    </row>
    <row r="20" spans="1:9" x14ac:dyDescent="0.25">
      <c r="A20" s="15"/>
      <c r="B20" s="15" t="s">
        <v>192</v>
      </c>
      <c r="C20" s="12">
        <v>7.97</v>
      </c>
      <c r="D20" s="17">
        <v>-15303.78</v>
      </c>
      <c r="E20" s="14">
        <v>318395.88</v>
      </c>
      <c r="F20" s="12">
        <v>328002.37</v>
      </c>
      <c r="G20" s="14">
        <f t="shared" ref="G20:G27" si="0">E20</f>
        <v>318395.88</v>
      </c>
      <c r="H20" s="17">
        <f>D20+F20-G20</f>
        <v>-5697.2900000000373</v>
      </c>
      <c r="I20" s="17">
        <f>H20</f>
        <v>-5697.2900000000373</v>
      </c>
    </row>
    <row r="21" spans="1:9" x14ac:dyDescent="0.25">
      <c r="A21" s="7" t="s">
        <v>36</v>
      </c>
      <c r="B21" s="62" t="s">
        <v>37</v>
      </c>
      <c r="C21" s="74">
        <v>2.62</v>
      </c>
      <c r="D21" s="54"/>
      <c r="E21" s="79">
        <f>E20*30%</f>
        <v>95518.763999999996</v>
      </c>
      <c r="F21" s="54">
        <f>F20*30%</f>
        <v>98400.710999999996</v>
      </c>
      <c r="G21" s="55">
        <f t="shared" si="0"/>
        <v>95518.763999999996</v>
      </c>
      <c r="H21" s="54"/>
      <c r="I21" s="54"/>
    </row>
    <row r="22" spans="1:9" x14ac:dyDescent="0.25">
      <c r="A22" s="24" t="s">
        <v>38</v>
      </c>
      <c r="B22" s="6" t="s">
        <v>39</v>
      </c>
      <c r="C22" s="58">
        <v>1.33</v>
      </c>
      <c r="D22" s="22"/>
      <c r="E22" s="86">
        <f>E20*17/100</f>
        <v>54127.299599999998</v>
      </c>
      <c r="F22" s="75">
        <f>F20*17%</f>
        <v>55760.402900000001</v>
      </c>
      <c r="G22" s="37">
        <f t="shared" si="0"/>
        <v>54127.299599999998</v>
      </c>
      <c r="H22" s="22"/>
      <c r="I22" s="22"/>
    </row>
    <row r="23" spans="1:9" x14ac:dyDescent="0.25">
      <c r="A23" s="24" t="s">
        <v>40</v>
      </c>
      <c r="B23" s="6" t="s">
        <v>41</v>
      </c>
      <c r="C23" s="58">
        <v>1.63</v>
      </c>
      <c r="D23" s="75"/>
      <c r="E23" s="86">
        <f>E20*20%</f>
        <v>63679.176000000007</v>
      </c>
      <c r="F23" s="75">
        <f>F20*20%</f>
        <v>65600.474000000002</v>
      </c>
      <c r="G23" s="105">
        <f t="shared" si="0"/>
        <v>63679.176000000007</v>
      </c>
      <c r="H23" s="75"/>
      <c r="I23" s="75"/>
    </row>
    <row r="24" spans="1:9" x14ac:dyDescent="0.25">
      <c r="A24" s="24" t="s">
        <v>42</v>
      </c>
      <c r="B24" s="6" t="s">
        <v>43</v>
      </c>
      <c r="C24" s="58">
        <v>2.39</v>
      </c>
      <c r="D24" s="29"/>
      <c r="E24" s="39">
        <f>E20*30%</f>
        <v>95518.763999999996</v>
      </c>
      <c r="F24" s="29">
        <f>F20*30%</f>
        <v>98400.710999999996</v>
      </c>
      <c r="G24" s="39">
        <f t="shared" si="0"/>
        <v>95518.763999999996</v>
      </c>
      <c r="H24" s="29"/>
      <c r="I24" s="29"/>
    </row>
    <row r="25" spans="1:9" x14ac:dyDescent="0.25">
      <c r="A25" s="24" t="s">
        <v>44</v>
      </c>
      <c r="B25" s="6" t="s">
        <v>45</v>
      </c>
      <c r="C25" s="58">
        <v>0.52724000000000004</v>
      </c>
      <c r="D25" s="6"/>
      <c r="E25" s="58">
        <v>12403.58</v>
      </c>
      <c r="F25" s="6">
        <v>13489.2</v>
      </c>
      <c r="G25" s="58">
        <f>E25</f>
        <v>12403.58</v>
      </c>
      <c r="H25" s="25">
        <f>D25+F25-G25</f>
        <v>1085.6200000000008</v>
      </c>
      <c r="I25" s="72" t="s">
        <v>71</v>
      </c>
    </row>
    <row r="26" spans="1:9" x14ac:dyDescent="0.25">
      <c r="A26" s="24" t="s">
        <v>46</v>
      </c>
      <c r="B26" s="6" t="s">
        <v>47</v>
      </c>
      <c r="C26" s="58">
        <v>0.79</v>
      </c>
      <c r="D26" s="29">
        <v>-4517.1400000000003</v>
      </c>
      <c r="E26" s="39">
        <v>29767.7</v>
      </c>
      <c r="F26" s="29">
        <v>25791.78</v>
      </c>
      <c r="G26" s="39">
        <f>E26</f>
        <v>29767.7</v>
      </c>
      <c r="H26" s="43">
        <f>F26-E26</f>
        <v>-3975.9200000000019</v>
      </c>
      <c r="I26" s="43">
        <f>H26</f>
        <v>-3975.9200000000019</v>
      </c>
    </row>
    <row r="27" spans="1:9" x14ac:dyDescent="0.25">
      <c r="A27" s="11" t="s">
        <v>48</v>
      </c>
      <c r="B27" s="11" t="s">
        <v>49</v>
      </c>
      <c r="C27" s="41" t="s">
        <v>50</v>
      </c>
      <c r="D27" s="11">
        <v>-9479.65</v>
      </c>
      <c r="E27" s="11">
        <v>135227.88</v>
      </c>
      <c r="F27" s="11">
        <v>127865.83</v>
      </c>
      <c r="G27" s="41">
        <f t="shared" si="0"/>
        <v>135227.88</v>
      </c>
      <c r="H27" s="11">
        <f>D27+F27-G27</f>
        <v>-16841.699999999997</v>
      </c>
      <c r="I27" s="11">
        <f>H27</f>
        <v>-16841.699999999997</v>
      </c>
    </row>
    <row r="28" spans="1:9" x14ac:dyDescent="0.25">
      <c r="A28" s="12" t="s">
        <v>51</v>
      </c>
      <c r="B28" s="12" t="s">
        <v>459</v>
      </c>
      <c r="C28" s="14">
        <v>1.82</v>
      </c>
      <c r="D28" s="12">
        <v>23403.89</v>
      </c>
      <c r="E28" s="14">
        <v>72707.759999999995</v>
      </c>
      <c r="F28" s="12">
        <f>F29+F31+F30</f>
        <v>69787.839999999997</v>
      </c>
      <c r="G28" s="14">
        <f>I66</f>
        <v>10194.16</v>
      </c>
      <c r="H28" s="12">
        <f>D28+F28-G28</f>
        <v>82997.569999999992</v>
      </c>
      <c r="I28" s="12"/>
    </row>
    <row r="29" spans="1:9" x14ac:dyDescent="0.25">
      <c r="A29" s="11"/>
      <c r="B29" s="9" t="s">
        <v>149</v>
      </c>
      <c r="C29" s="41"/>
      <c r="D29" s="11"/>
      <c r="E29" s="41"/>
      <c r="F29" s="11">
        <v>72340.62</v>
      </c>
      <c r="G29" s="41"/>
      <c r="H29" s="11"/>
      <c r="I29" s="11"/>
    </row>
    <row r="30" spans="1:9" x14ac:dyDescent="0.25">
      <c r="A30" s="11"/>
      <c r="B30" s="11" t="s">
        <v>1177</v>
      </c>
      <c r="C30" s="41"/>
      <c r="D30" s="11"/>
      <c r="E30" s="41">
        <v>0</v>
      </c>
      <c r="F30" s="11">
        <v>-5081.25</v>
      </c>
      <c r="G30" s="41">
        <v>0</v>
      </c>
      <c r="H30" s="11"/>
      <c r="I30" s="11"/>
    </row>
    <row r="31" spans="1:9" x14ac:dyDescent="0.25">
      <c r="A31" s="18"/>
      <c r="B31" s="18" t="s">
        <v>531</v>
      </c>
      <c r="C31" s="5"/>
      <c r="D31" s="18"/>
      <c r="E31" s="5"/>
      <c r="F31" s="18">
        <v>2528.4699999999998</v>
      </c>
      <c r="G31" s="5"/>
      <c r="H31" s="18"/>
      <c r="I31" s="18"/>
    </row>
    <row r="32" spans="1:9" x14ac:dyDescent="0.25">
      <c r="A32" s="11" t="s">
        <v>55</v>
      </c>
      <c r="B32" s="11" t="s">
        <v>146</v>
      </c>
      <c r="C32" s="41"/>
      <c r="D32" s="11" t="s">
        <v>71</v>
      </c>
      <c r="E32" s="41"/>
      <c r="F32" s="11"/>
      <c r="G32" s="41" t="s">
        <v>147</v>
      </c>
      <c r="H32" s="11" t="s">
        <v>71</v>
      </c>
      <c r="I32" s="11"/>
    </row>
    <row r="33" spans="1:9" x14ac:dyDescent="0.25">
      <c r="A33" s="11"/>
      <c r="B33" s="11" t="s">
        <v>276</v>
      </c>
      <c r="C33" s="46">
        <v>0</v>
      </c>
      <c r="D33" s="72">
        <v>-5081.25</v>
      </c>
      <c r="E33" s="68">
        <v>0</v>
      </c>
      <c r="F33" s="57">
        <f>F34+F35</f>
        <v>5081.25</v>
      </c>
      <c r="G33" s="25">
        <f>I70</f>
        <v>0</v>
      </c>
      <c r="H33" s="72">
        <f>D33+F33</f>
        <v>0</v>
      </c>
      <c r="I33" s="25">
        <f>H33</f>
        <v>0</v>
      </c>
    </row>
    <row r="34" spans="1:9" x14ac:dyDescent="0.25">
      <c r="A34" s="9"/>
      <c r="B34" s="9" t="s">
        <v>149</v>
      </c>
      <c r="C34" s="46">
        <v>0</v>
      </c>
      <c r="D34" s="9"/>
      <c r="E34" s="10">
        <v>0</v>
      </c>
      <c r="F34" s="9">
        <v>25.64</v>
      </c>
      <c r="G34" s="9">
        <v>0</v>
      </c>
      <c r="H34" s="9"/>
      <c r="I34" s="9"/>
    </row>
    <row r="35" spans="1:9" x14ac:dyDescent="0.25">
      <c r="A35" s="9"/>
      <c r="B35" s="9" t="s">
        <v>1178</v>
      </c>
      <c r="C35" s="46">
        <v>0</v>
      </c>
      <c r="D35" s="9"/>
      <c r="E35" s="10">
        <v>0</v>
      </c>
      <c r="F35" s="9">
        <v>5055.6099999999997</v>
      </c>
      <c r="G35" s="10">
        <v>0</v>
      </c>
      <c r="H35" s="9"/>
      <c r="I35" s="9"/>
    </row>
    <row r="36" spans="1:9" x14ac:dyDescent="0.25">
      <c r="A36" s="1" t="s">
        <v>58</v>
      </c>
      <c r="B36" s="2"/>
      <c r="C36" s="2"/>
      <c r="E36" s="2"/>
      <c r="F36" s="2"/>
      <c r="G36" s="2"/>
      <c r="H36" s="2"/>
      <c r="I36" s="2"/>
    </row>
    <row r="37" spans="1:9" x14ac:dyDescent="0.25">
      <c r="A37" s="25" t="s">
        <v>59</v>
      </c>
      <c r="B37" s="58" t="s">
        <v>60</v>
      </c>
      <c r="C37" s="6" t="s">
        <v>64</v>
      </c>
      <c r="D37" s="49" t="s">
        <v>62</v>
      </c>
      <c r="E37" s="58" t="s">
        <v>63</v>
      </c>
      <c r="F37" s="6" t="s">
        <v>64</v>
      </c>
      <c r="G37" s="6"/>
      <c r="H37" s="58" t="s">
        <v>199</v>
      </c>
      <c r="I37" s="49"/>
    </row>
    <row r="38" spans="1:9" x14ac:dyDescent="0.25">
      <c r="A38" s="7"/>
      <c r="B38" s="60"/>
      <c r="C38" s="62" t="s">
        <v>66</v>
      </c>
      <c r="D38" s="53" t="s">
        <v>23</v>
      </c>
      <c r="E38" s="74" t="s">
        <v>312</v>
      </c>
      <c r="F38" s="62" t="s">
        <v>30</v>
      </c>
      <c r="G38" s="62"/>
      <c r="H38" s="74"/>
      <c r="I38" s="53"/>
    </row>
    <row r="39" spans="1:9" x14ac:dyDescent="0.25">
      <c r="A39" s="12"/>
      <c r="B39" s="74" t="s">
        <v>68</v>
      </c>
      <c r="C39" s="29">
        <v>10900.5</v>
      </c>
      <c r="D39" s="9">
        <v>5553</v>
      </c>
      <c r="E39" s="79">
        <f>D39*15%</f>
        <v>832.94999999999993</v>
      </c>
      <c r="F39" s="54">
        <f>C39+(D39-E39)</f>
        <v>15620.55</v>
      </c>
      <c r="G39" s="54"/>
      <c r="H39" s="79">
        <f>F39</f>
        <v>15620.55</v>
      </c>
      <c r="I39" s="53"/>
    </row>
    <row r="40" spans="1:9" x14ac:dyDescent="0.25">
      <c r="A40" s="5"/>
      <c r="B40" s="60"/>
      <c r="C40" s="37"/>
      <c r="D40" s="60"/>
      <c r="E40" s="37"/>
      <c r="F40" s="37"/>
      <c r="G40" s="37"/>
      <c r="H40" s="37"/>
      <c r="I40" s="60"/>
    </row>
    <row r="41" spans="1:9" x14ac:dyDescent="0.25">
      <c r="A41" s="60"/>
      <c r="B41" s="60"/>
      <c r="C41" s="37"/>
      <c r="D41" s="60"/>
      <c r="E41" s="60"/>
      <c r="F41" s="37"/>
      <c r="G41" s="60"/>
      <c r="H41" s="37"/>
      <c r="I41" s="60"/>
    </row>
    <row r="42" spans="1:9" x14ac:dyDescent="0.25">
      <c r="A42" s="1" t="s">
        <v>252</v>
      </c>
      <c r="B42" s="60"/>
      <c r="C42" s="60"/>
      <c r="D42" s="60"/>
      <c r="E42" s="60"/>
      <c r="F42" s="37"/>
      <c r="G42" s="60"/>
      <c r="H42" s="37"/>
      <c r="I42" s="60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6" t="s">
        <v>71</v>
      </c>
      <c r="B44" s="57" t="s">
        <v>72</v>
      </c>
      <c r="C44" s="6" t="s">
        <v>73</v>
      </c>
      <c r="D44" s="58" t="s">
        <v>74</v>
      </c>
      <c r="E44" s="6" t="s">
        <v>75</v>
      </c>
      <c r="F44" s="58" t="s">
        <v>76</v>
      </c>
      <c r="G44" s="6" t="s">
        <v>77</v>
      </c>
      <c r="H44" s="58" t="s">
        <v>78</v>
      </c>
      <c r="I44" s="6" t="s">
        <v>19</v>
      </c>
    </row>
    <row r="45" spans="1:9" x14ac:dyDescent="0.25">
      <c r="A45" s="7"/>
      <c r="B45" s="59" t="s">
        <v>79</v>
      </c>
      <c r="C45" s="7" t="s">
        <v>80</v>
      </c>
      <c r="D45" s="60" t="s">
        <v>81</v>
      </c>
      <c r="E45" s="7" t="s">
        <v>82</v>
      </c>
      <c r="F45" s="60" t="s">
        <v>83</v>
      </c>
      <c r="G45" s="7" t="s">
        <v>84</v>
      </c>
      <c r="H45" s="60" t="s">
        <v>85</v>
      </c>
      <c r="I45" s="7" t="s">
        <v>86</v>
      </c>
    </row>
    <row r="46" spans="1:9" x14ac:dyDescent="0.25">
      <c r="A46" s="7"/>
      <c r="B46" s="51"/>
      <c r="C46" s="7"/>
      <c r="D46" s="60"/>
      <c r="E46" s="7"/>
      <c r="F46" s="60" t="s">
        <v>87</v>
      </c>
      <c r="G46" s="62" t="s">
        <v>88</v>
      </c>
      <c r="H46" s="60"/>
      <c r="I46" s="7" t="s">
        <v>30</v>
      </c>
    </row>
    <row r="47" spans="1:9" x14ac:dyDescent="0.25">
      <c r="A47" s="6"/>
      <c r="B47" s="6"/>
      <c r="C47" s="68"/>
      <c r="D47" s="6"/>
      <c r="E47" s="58"/>
      <c r="F47" s="6"/>
      <c r="G47" s="58"/>
      <c r="H47" s="6"/>
      <c r="I47" s="49"/>
    </row>
    <row r="48" spans="1:9" x14ac:dyDescent="0.25">
      <c r="A48" s="62"/>
      <c r="B48" s="62"/>
      <c r="C48" s="14"/>
      <c r="D48" s="62"/>
      <c r="E48" s="74"/>
      <c r="F48" s="62"/>
      <c r="G48" s="74"/>
      <c r="H48" s="62"/>
      <c r="I48" s="53"/>
    </row>
    <row r="49" spans="1:9" x14ac:dyDescent="0.25">
      <c r="A49" s="6">
        <v>1</v>
      </c>
      <c r="B49" s="6" t="s">
        <v>90</v>
      </c>
      <c r="C49" s="68" t="s">
        <v>91</v>
      </c>
      <c r="D49" s="6">
        <v>-33734.949999999997</v>
      </c>
      <c r="E49" s="256">
        <v>274000.73</v>
      </c>
      <c r="F49" s="6">
        <v>268172.27</v>
      </c>
      <c r="G49" s="122">
        <f>E49</f>
        <v>274000.73</v>
      </c>
      <c r="H49" s="7">
        <f>D49+F49-G49</f>
        <v>-39563.409999999974</v>
      </c>
      <c r="I49" s="6">
        <f>H49</f>
        <v>-39563.409999999974</v>
      </c>
    </row>
    <row r="50" spans="1:9" x14ac:dyDescent="0.25">
      <c r="A50" s="9"/>
      <c r="B50" s="9" t="s">
        <v>92</v>
      </c>
      <c r="C50" s="41" t="s">
        <v>93</v>
      </c>
      <c r="D50" s="9"/>
      <c r="E50" s="65"/>
      <c r="F50" s="9"/>
      <c r="G50" s="65"/>
      <c r="H50" s="9"/>
      <c r="I50" s="9"/>
    </row>
    <row r="51" spans="1:9" x14ac:dyDescent="0.25">
      <c r="A51" s="7">
        <v>2</v>
      </c>
      <c r="B51" s="7" t="s">
        <v>168</v>
      </c>
      <c r="C51" s="18" t="s">
        <v>95</v>
      </c>
      <c r="D51" s="7">
        <v>-121547.88</v>
      </c>
      <c r="E51" s="2">
        <v>479138.92</v>
      </c>
      <c r="F51" s="7">
        <v>478249.59</v>
      </c>
      <c r="G51" s="2">
        <f>E51</f>
        <v>479138.92</v>
      </c>
      <c r="H51" s="7">
        <f>D51+F51-G51</f>
        <v>-122437.20999999996</v>
      </c>
      <c r="I51" s="7">
        <f>H51</f>
        <v>-122437.20999999996</v>
      </c>
    </row>
    <row r="52" spans="1:9" x14ac:dyDescent="0.25">
      <c r="A52" s="9"/>
      <c r="B52" s="9" t="s">
        <v>202</v>
      </c>
      <c r="C52" s="41" t="s">
        <v>93</v>
      </c>
      <c r="D52" s="9"/>
      <c r="E52" s="10"/>
      <c r="F52" s="9"/>
      <c r="G52" s="10"/>
      <c r="H52" s="9"/>
      <c r="I52" s="9"/>
    </row>
    <row r="53" spans="1:9" x14ac:dyDescent="0.25">
      <c r="A53" s="9">
        <v>3</v>
      </c>
      <c r="B53" s="9" t="s">
        <v>98</v>
      </c>
      <c r="C53" s="41" t="s">
        <v>203</v>
      </c>
      <c r="D53" s="9">
        <v>-332487.7</v>
      </c>
      <c r="E53" s="10">
        <v>940409.02</v>
      </c>
      <c r="F53" s="9">
        <v>982394.61</v>
      </c>
      <c r="G53" s="10">
        <f>E53</f>
        <v>940409.02</v>
      </c>
      <c r="H53" s="9">
        <f>D53+F53-G53</f>
        <v>-290502.1100000001</v>
      </c>
      <c r="I53" s="9">
        <f>H53</f>
        <v>-290502.1100000001</v>
      </c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1" t="s">
        <v>1158</v>
      </c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5" t="s">
        <v>1179</v>
      </c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48" t="s">
        <v>12</v>
      </c>
      <c r="B57" s="6" t="s">
        <v>102</v>
      </c>
      <c r="C57" s="58" t="s">
        <v>103</v>
      </c>
      <c r="D57" s="58"/>
      <c r="E57" s="58"/>
      <c r="F57" s="48" t="s">
        <v>222</v>
      </c>
      <c r="G57" s="58"/>
      <c r="H57" s="49"/>
      <c r="I57" s="6" t="s">
        <v>105</v>
      </c>
    </row>
    <row r="58" spans="1:9" x14ac:dyDescent="0.25">
      <c r="A58" s="51" t="s">
        <v>106</v>
      </c>
      <c r="B58" s="7"/>
      <c r="C58" s="60"/>
      <c r="D58" s="60"/>
      <c r="E58" s="60"/>
      <c r="F58" s="51" t="s">
        <v>224</v>
      </c>
      <c r="G58" s="60"/>
      <c r="H58" s="61"/>
      <c r="I58" s="7" t="s">
        <v>108</v>
      </c>
    </row>
    <row r="59" spans="1:9" x14ac:dyDescent="0.25">
      <c r="A59" s="51"/>
      <c r="B59" s="7"/>
      <c r="C59" s="60"/>
      <c r="D59" s="60"/>
      <c r="E59" s="60"/>
      <c r="F59" s="51" t="s">
        <v>257</v>
      </c>
      <c r="G59" s="60"/>
      <c r="H59" s="61"/>
      <c r="I59" s="7"/>
    </row>
    <row r="60" spans="1:9" x14ac:dyDescent="0.25">
      <c r="A60" s="51"/>
      <c r="B60" s="62"/>
      <c r="C60" s="60"/>
      <c r="D60" s="60"/>
      <c r="E60" s="60"/>
      <c r="F60" s="51" t="s">
        <v>258</v>
      </c>
      <c r="G60" s="60"/>
      <c r="H60" s="61"/>
      <c r="I60" s="7"/>
    </row>
    <row r="61" spans="1:9" x14ac:dyDescent="0.25">
      <c r="A61" s="67" t="s">
        <v>110</v>
      </c>
      <c r="B61" s="18"/>
      <c r="C61" s="68" t="s">
        <v>111</v>
      </c>
      <c r="D61" s="68"/>
      <c r="E61" s="68"/>
      <c r="F61" s="48"/>
      <c r="G61" s="58"/>
      <c r="H61" s="49"/>
      <c r="I61" s="6"/>
    </row>
    <row r="62" spans="1:9" x14ac:dyDescent="0.25">
      <c r="A62" s="69"/>
      <c r="B62" s="7"/>
      <c r="C62" s="60" t="s">
        <v>112</v>
      </c>
      <c r="D62" s="60"/>
      <c r="E62" s="60"/>
      <c r="F62" s="51" t="s">
        <v>71</v>
      </c>
      <c r="G62" s="37" t="s">
        <v>71</v>
      </c>
      <c r="H62" s="61" t="s">
        <v>71</v>
      </c>
      <c r="I62" s="7"/>
    </row>
    <row r="63" spans="1:9" x14ac:dyDescent="0.25">
      <c r="A63" s="69" t="s">
        <v>113</v>
      </c>
      <c r="B63" s="70">
        <v>42853</v>
      </c>
      <c r="C63" s="60" t="s">
        <v>1180</v>
      </c>
      <c r="D63" s="60"/>
      <c r="E63" s="60"/>
      <c r="F63" s="51"/>
      <c r="G63" s="37">
        <f>I63/3329.1</f>
        <v>1.2990988555465441</v>
      </c>
      <c r="H63" s="61"/>
      <c r="I63" s="7">
        <v>4324.83</v>
      </c>
    </row>
    <row r="64" spans="1:9" x14ac:dyDescent="0.25">
      <c r="A64" s="123" t="s">
        <v>38</v>
      </c>
      <c r="B64" s="70">
        <v>42947</v>
      </c>
      <c r="C64" s="60" t="s">
        <v>1181</v>
      </c>
      <c r="D64" s="60"/>
      <c r="E64" s="60"/>
      <c r="F64" s="51"/>
      <c r="G64" s="37">
        <f>I64/3329.1</f>
        <v>1.0691388062839806</v>
      </c>
      <c r="H64" s="61"/>
      <c r="I64" s="7">
        <v>3559.27</v>
      </c>
    </row>
    <row r="65" spans="1:9" x14ac:dyDescent="0.25">
      <c r="A65" s="123" t="s">
        <v>40</v>
      </c>
      <c r="B65" s="70">
        <v>43080</v>
      </c>
      <c r="C65" s="60" t="s">
        <v>1182</v>
      </c>
      <c r="D65" s="60"/>
      <c r="E65" s="60"/>
      <c r="F65" s="51"/>
      <c r="G65" s="37">
        <f>I65/3329.1</f>
        <v>0.69389925205010361</v>
      </c>
      <c r="H65" s="61"/>
      <c r="I65" s="7">
        <v>2310.06</v>
      </c>
    </row>
    <row r="66" spans="1:9" x14ac:dyDescent="0.25">
      <c r="A66" s="69"/>
      <c r="B66" s="7"/>
      <c r="C66" s="5" t="s">
        <v>118</v>
      </c>
      <c r="D66" s="5"/>
      <c r="E66" s="5"/>
      <c r="F66" s="59"/>
      <c r="G66" s="20">
        <f>SUM(G63:G65)</f>
        <v>3.0621369138806283</v>
      </c>
      <c r="H66" s="71"/>
      <c r="I66" s="18">
        <f>SUM(I62:I65)</f>
        <v>10194.16</v>
      </c>
    </row>
    <row r="67" spans="1:9" x14ac:dyDescent="0.25">
      <c r="A67" s="6"/>
      <c r="B67" s="6"/>
      <c r="C67" s="48"/>
      <c r="D67" s="58"/>
      <c r="E67" s="49"/>
      <c r="F67" s="48"/>
      <c r="G67" s="58"/>
      <c r="H67" s="49"/>
      <c r="I67" s="6"/>
    </row>
    <row r="68" spans="1:9" x14ac:dyDescent="0.25">
      <c r="A68" s="6" t="s">
        <v>48</v>
      </c>
      <c r="B68" s="25" t="s">
        <v>119</v>
      </c>
      <c r="C68" s="57" t="s">
        <v>120</v>
      </c>
      <c r="D68" s="58"/>
      <c r="E68" s="58"/>
      <c r="F68" s="48" t="s">
        <v>121</v>
      </c>
      <c r="G68" s="86"/>
      <c r="H68" s="49"/>
      <c r="I68" s="49"/>
    </row>
    <row r="69" spans="1:9" x14ac:dyDescent="0.25">
      <c r="A69" s="69"/>
      <c r="B69" s="7" t="s">
        <v>1183</v>
      </c>
      <c r="C69" s="51"/>
      <c r="D69" s="60"/>
      <c r="E69" s="60"/>
      <c r="F69" s="51"/>
      <c r="G69" s="37"/>
      <c r="H69" s="61"/>
      <c r="I69" s="61"/>
    </row>
    <row r="70" spans="1:9" x14ac:dyDescent="0.25">
      <c r="A70" s="73"/>
      <c r="B70" s="62" t="s">
        <v>119</v>
      </c>
      <c r="C70" s="52" t="s">
        <v>118</v>
      </c>
      <c r="D70" s="74"/>
      <c r="E70" s="74"/>
      <c r="F70" s="52" t="s">
        <v>71</v>
      </c>
      <c r="G70" s="79">
        <f xml:space="preserve"> I70/3312.6</f>
        <v>0</v>
      </c>
      <c r="H70" s="53"/>
      <c r="I70" s="53">
        <f>SUM(I68:I69)</f>
        <v>0</v>
      </c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 t="s">
        <v>1184</v>
      </c>
      <c r="B72" s="2"/>
      <c r="C72" s="2" t="s">
        <v>1185</v>
      </c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="110" zoomScaleNormal="110" workbookViewId="0">
      <selection activeCell="B1" sqref="B1"/>
    </sheetView>
  </sheetViews>
  <sheetFormatPr defaultRowHeight="15" x14ac:dyDescent="0.25"/>
  <cols>
    <col min="1" max="1" width="4.42578125" style="3" customWidth="1"/>
    <col min="2" max="2" width="32.42578125" style="3" customWidth="1"/>
    <col min="3" max="3" width="12.7109375" style="3" customWidth="1"/>
    <col min="4" max="4" width="14" style="3" customWidth="1"/>
    <col min="5" max="7" width="9.140625" style="3"/>
    <col min="8" max="8" width="12.28515625" style="3" customWidth="1"/>
    <col min="9" max="9" width="20.1406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452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1186</v>
      </c>
      <c r="B6" s="1"/>
      <c r="C6" s="1"/>
      <c r="D6" s="2"/>
      <c r="E6" s="2"/>
      <c r="F6" s="2"/>
      <c r="G6" s="2"/>
      <c r="H6" s="2"/>
      <c r="I6" s="2"/>
    </row>
    <row r="7" spans="1:9" x14ac:dyDescent="0.25">
      <c r="A7" s="2" t="s">
        <v>1187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1188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1189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30</v>
      </c>
    </row>
    <row r="17" spans="1:9" x14ac:dyDescent="0.25">
      <c r="A17" s="8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992</v>
      </c>
      <c r="C18" s="14">
        <v>7.97</v>
      </c>
      <c r="D18" s="17">
        <v>-845.71</v>
      </c>
      <c r="E18" s="14">
        <v>257109.12</v>
      </c>
      <c r="F18" s="12">
        <v>268837</v>
      </c>
      <c r="G18" s="16">
        <f t="shared" ref="G18:G24" si="0">E18</f>
        <v>257109.12</v>
      </c>
      <c r="H18" s="17">
        <f>D18+F18-G18</f>
        <v>10882.169999999984</v>
      </c>
      <c r="I18" s="17"/>
    </row>
    <row r="19" spans="1:9" x14ac:dyDescent="0.25">
      <c r="A19" s="7" t="s">
        <v>36</v>
      </c>
      <c r="B19" s="62" t="s">
        <v>37</v>
      </c>
      <c r="C19" s="74">
        <v>2.62</v>
      </c>
      <c r="D19" s="22"/>
      <c r="E19" s="79">
        <f>E18*33%</f>
        <v>84846.009600000005</v>
      </c>
      <c r="F19" s="54">
        <f>F18*33/100</f>
        <v>88716.21</v>
      </c>
      <c r="G19" s="37">
        <f t="shared" si="0"/>
        <v>84846.009600000005</v>
      </c>
      <c r="H19" s="22"/>
      <c r="I19" s="22"/>
    </row>
    <row r="20" spans="1:9" x14ac:dyDescent="0.25">
      <c r="A20" s="24" t="s">
        <v>38</v>
      </c>
      <c r="B20" s="256" t="s">
        <v>39</v>
      </c>
      <c r="C20" s="58">
        <v>1.33</v>
      </c>
      <c r="D20" s="75"/>
      <c r="E20" s="86">
        <f>E18*17/100</f>
        <v>43708.5504</v>
      </c>
      <c r="F20" s="75">
        <f>F18*17/100</f>
        <v>45702.29</v>
      </c>
      <c r="G20" s="105">
        <f t="shared" si="0"/>
        <v>43708.5504</v>
      </c>
      <c r="H20" s="75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29"/>
      <c r="E21" s="86">
        <f>E18*20/100</f>
        <v>51421.824000000001</v>
      </c>
      <c r="F21" s="75">
        <f>F18*20/100</f>
        <v>53767.4</v>
      </c>
      <c r="G21" s="40">
        <f t="shared" si="0"/>
        <v>51421.824000000001</v>
      </c>
      <c r="H21" s="29"/>
      <c r="I21" s="29"/>
    </row>
    <row r="22" spans="1:9" x14ac:dyDescent="0.25">
      <c r="A22" s="24" t="s">
        <v>42</v>
      </c>
      <c r="B22" s="6" t="s">
        <v>43</v>
      </c>
      <c r="C22" s="58">
        <v>2.39</v>
      </c>
      <c r="D22" s="75"/>
      <c r="E22" s="86">
        <f>E18*30/100</f>
        <v>77132.73599999999</v>
      </c>
      <c r="F22" s="75">
        <f>F18*30/100</f>
        <v>80651.100000000006</v>
      </c>
      <c r="G22" s="105">
        <f t="shared" si="0"/>
        <v>77132.73599999999</v>
      </c>
      <c r="H22" s="75"/>
      <c r="I22" s="75"/>
    </row>
    <row r="23" spans="1:9" x14ac:dyDescent="0.25">
      <c r="A23" s="24" t="s">
        <v>44</v>
      </c>
      <c r="B23" s="6" t="s">
        <v>47</v>
      </c>
      <c r="C23" s="58">
        <v>0.78090999999999999</v>
      </c>
      <c r="D23" s="75"/>
      <c r="E23" s="10">
        <v>23304.82</v>
      </c>
      <c r="F23" s="9">
        <v>20961.77</v>
      </c>
      <c r="G23" s="10">
        <f>E23</f>
        <v>23304.82</v>
      </c>
      <c r="H23" s="9">
        <f>F23-E23</f>
        <v>-2343.0499999999993</v>
      </c>
      <c r="I23" s="9">
        <f>H23</f>
        <v>-2343.0499999999993</v>
      </c>
    </row>
    <row r="24" spans="1:9" x14ac:dyDescent="0.25">
      <c r="A24" s="11" t="s">
        <v>48</v>
      </c>
      <c r="B24" s="11" t="s">
        <v>49</v>
      </c>
      <c r="C24" s="41" t="s">
        <v>50</v>
      </c>
      <c r="D24" s="11">
        <v>-6936.5</v>
      </c>
      <c r="E24" s="46">
        <v>109198.71</v>
      </c>
      <c r="F24" s="11">
        <v>109230.84</v>
      </c>
      <c r="G24" s="41">
        <f t="shared" si="0"/>
        <v>109198.71</v>
      </c>
      <c r="H24" s="11">
        <f>D24+F24-G24</f>
        <v>-6904.3700000000099</v>
      </c>
      <c r="I24" s="11">
        <f>H24</f>
        <v>-6904.3700000000099</v>
      </c>
    </row>
    <row r="25" spans="1:9" x14ac:dyDescent="0.25">
      <c r="A25" s="12" t="s">
        <v>51</v>
      </c>
      <c r="B25" s="12" t="s">
        <v>195</v>
      </c>
      <c r="C25" s="14">
        <v>1.82</v>
      </c>
      <c r="D25" s="12">
        <v>248945.52</v>
      </c>
      <c r="E25" s="14">
        <v>58712.52</v>
      </c>
      <c r="F25" s="12">
        <f>F26+F27</f>
        <v>64187.740000000005</v>
      </c>
      <c r="G25" s="15">
        <f>I65</f>
        <v>29757.050000000003</v>
      </c>
      <c r="H25" s="12">
        <f>D25+F25-G25</f>
        <v>283376.21000000002</v>
      </c>
      <c r="I25" s="12"/>
    </row>
    <row r="26" spans="1:9" x14ac:dyDescent="0.25">
      <c r="A26" s="18"/>
      <c r="B26" s="9" t="s">
        <v>149</v>
      </c>
      <c r="C26" s="5"/>
      <c r="D26" s="18"/>
      <c r="E26" s="14">
        <v>0</v>
      </c>
      <c r="F26" s="12">
        <v>61672.01</v>
      </c>
      <c r="G26" s="5">
        <f>G25</f>
        <v>29757.050000000003</v>
      </c>
      <c r="H26" s="18"/>
      <c r="I26" s="18"/>
    </row>
    <row r="27" spans="1:9" x14ac:dyDescent="0.25">
      <c r="A27" s="11"/>
      <c r="B27" s="9" t="s">
        <v>54</v>
      </c>
      <c r="C27" s="42"/>
      <c r="D27" s="11"/>
      <c r="E27" s="41"/>
      <c r="F27" s="11">
        <v>2515.73</v>
      </c>
      <c r="G27" s="41"/>
      <c r="H27" s="11"/>
      <c r="I27" s="11"/>
    </row>
    <row r="28" spans="1:9" x14ac:dyDescent="0.25">
      <c r="A28" s="11" t="s">
        <v>55</v>
      </c>
      <c r="B28" s="11" t="s">
        <v>1190</v>
      </c>
      <c r="C28" s="41"/>
      <c r="D28" s="11">
        <v>192832.24</v>
      </c>
      <c r="E28" s="41">
        <f>E29</f>
        <v>0</v>
      </c>
      <c r="F28" s="11">
        <f>F29</f>
        <v>581.20000000000005</v>
      </c>
      <c r="G28" s="41">
        <f>I68</f>
        <v>0</v>
      </c>
      <c r="H28" s="11">
        <f>D28+F28-G28</f>
        <v>193413.44</v>
      </c>
      <c r="I28" s="11"/>
    </row>
    <row r="29" spans="1:9" x14ac:dyDescent="0.25">
      <c r="A29" s="9"/>
      <c r="B29" s="9" t="s">
        <v>149</v>
      </c>
      <c r="C29" s="10"/>
      <c r="D29" s="11"/>
      <c r="E29" s="41">
        <v>0</v>
      </c>
      <c r="F29" s="11">
        <v>581.20000000000005</v>
      </c>
      <c r="G29" s="41">
        <f>I70</f>
        <v>0</v>
      </c>
      <c r="H29" s="11"/>
      <c r="I29" s="9"/>
    </row>
    <row r="30" spans="1:9" x14ac:dyDescent="0.25">
      <c r="A30" s="9"/>
      <c r="B30" s="9" t="s">
        <v>54</v>
      </c>
      <c r="C30" s="10"/>
      <c r="D30" s="9"/>
      <c r="E30" s="10">
        <v>0</v>
      </c>
      <c r="F30" s="9">
        <v>0</v>
      </c>
      <c r="G30" s="10">
        <v>0</v>
      </c>
      <c r="H30" s="9"/>
      <c r="I30" s="9"/>
    </row>
    <row r="31" spans="1:9" x14ac:dyDescent="0.25">
      <c r="A31" s="1" t="s">
        <v>58</v>
      </c>
      <c r="B31" s="2"/>
      <c r="C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E32" s="2"/>
      <c r="F32" s="2"/>
      <c r="G32" s="2"/>
      <c r="H32" s="2"/>
      <c r="I32" s="2"/>
    </row>
    <row r="33" spans="1:9" x14ac:dyDescent="0.25">
      <c r="A33" s="25" t="s">
        <v>59</v>
      </c>
      <c r="B33" s="58" t="s">
        <v>60</v>
      </c>
      <c r="C33" s="6" t="s">
        <v>64</v>
      </c>
      <c r="D33" s="49" t="s">
        <v>62</v>
      </c>
      <c r="E33" s="58" t="s">
        <v>63</v>
      </c>
      <c r="F33" s="6" t="s">
        <v>64</v>
      </c>
      <c r="G33" s="6"/>
      <c r="H33" s="58" t="s">
        <v>199</v>
      </c>
      <c r="I33" s="49"/>
    </row>
    <row r="34" spans="1:9" x14ac:dyDescent="0.25">
      <c r="A34" s="7"/>
      <c r="B34" s="60"/>
      <c r="C34" s="62" t="s">
        <v>66</v>
      </c>
      <c r="D34" s="53" t="s">
        <v>23</v>
      </c>
      <c r="E34" s="74" t="s">
        <v>312</v>
      </c>
      <c r="F34" s="62" t="s">
        <v>30</v>
      </c>
      <c r="G34" s="62"/>
      <c r="H34" s="74"/>
      <c r="I34" s="53"/>
    </row>
    <row r="35" spans="1:9" x14ac:dyDescent="0.25">
      <c r="A35" s="12"/>
      <c r="B35" s="74" t="s">
        <v>68</v>
      </c>
      <c r="C35" s="29">
        <v>7480.5</v>
      </c>
      <c r="D35" s="9">
        <v>1953</v>
      </c>
      <c r="E35" s="79">
        <f>D35*15%</f>
        <v>292.95</v>
      </c>
      <c r="F35" s="54">
        <f>C35+(D35-E35)</f>
        <v>9140.5499999999993</v>
      </c>
      <c r="G35" s="54"/>
      <c r="H35" s="79">
        <f>F35-G35</f>
        <v>9140.5499999999993</v>
      </c>
      <c r="I35" s="53"/>
    </row>
    <row r="36" spans="1:9" x14ac:dyDescent="0.25">
      <c r="A36" s="5"/>
      <c r="B36" s="60"/>
      <c r="C36" s="37"/>
      <c r="D36" s="60"/>
      <c r="E36" s="37"/>
      <c r="F36" s="37"/>
      <c r="G36" s="37"/>
      <c r="H36" s="37"/>
      <c r="I36" s="60"/>
    </row>
    <row r="37" spans="1:9" x14ac:dyDescent="0.25">
      <c r="A37" s="5"/>
      <c r="B37" s="60"/>
      <c r="C37" s="37"/>
      <c r="D37" s="60"/>
      <c r="E37" s="37"/>
      <c r="F37" s="37"/>
      <c r="G37" s="37"/>
      <c r="H37" s="37"/>
      <c r="I37" s="60"/>
    </row>
    <row r="38" spans="1:9" x14ac:dyDescent="0.25">
      <c r="A38" s="1" t="s">
        <v>252</v>
      </c>
      <c r="B38" s="60"/>
      <c r="C38" s="37"/>
      <c r="D38" s="60"/>
      <c r="E38" s="60"/>
      <c r="F38" s="37"/>
      <c r="G38" s="60"/>
      <c r="H38" s="37"/>
      <c r="I38" s="60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6" t="s">
        <v>71</v>
      </c>
      <c r="B40" s="57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77</v>
      </c>
      <c r="H40" s="58" t="s">
        <v>78</v>
      </c>
      <c r="I40" s="6" t="s">
        <v>19</v>
      </c>
    </row>
    <row r="41" spans="1:9" x14ac:dyDescent="0.25">
      <c r="A41" s="7"/>
      <c r="B41" s="59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7" t="s">
        <v>84</v>
      </c>
      <c r="H41" s="60" t="s">
        <v>85</v>
      </c>
      <c r="I41" s="7" t="s">
        <v>86</v>
      </c>
    </row>
    <row r="42" spans="1:9" x14ac:dyDescent="0.25">
      <c r="A42" s="7"/>
      <c r="B42" s="51"/>
      <c r="C42" s="7"/>
      <c r="D42" s="60"/>
      <c r="E42" s="7"/>
      <c r="F42" s="60" t="s">
        <v>87</v>
      </c>
      <c r="G42" s="7" t="s">
        <v>88</v>
      </c>
      <c r="H42" s="60"/>
      <c r="I42" s="7" t="s">
        <v>30</v>
      </c>
    </row>
    <row r="43" spans="1:9" x14ac:dyDescent="0.25">
      <c r="A43" s="9"/>
      <c r="B43" s="8"/>
      <c r="C43" s="9"/>
      <c r="D43" s="9"/>
      <c r="E43" s="10"/>
      <c r="F43" s="9"/>
      <c r="G43" s="10"/>
      <c r="H43" s="9"/>
      <c r="I43" s="9"/>
    </row>
    <row r="44" spans="1:9" x14ac:dyDescent="0.25">
      <c r="A44" s="9">
        <v>1</v>
      </c>
      <c r="B44" s="9" t="s">
        <v>90</v>
      </c>
      <c r="C44" s="41" t="s">
        <v>91</v>
      </c>
      <c r="D44" s="9">
        <v>-17271.55</v>
      </c>
      <c r="E44" s="65">
        <v>175168.62</v>
      </c>
      <c r="F44" s="9">
        <v>190006.28</v>
      </c>
      <c r="G44" s="65">
        <f>E44</f>
        <v>175168.62</v>
      </c>
      <c r="H44" s="9">
        <f>D44+F44-G44</f>
        <v>-2433.8899999999849</v>
      </c>
      <c r="I44" s="9">
        <f>H44</f>
        <v>-2433.8899999999849</v>
      </c>
    </row>
    <row r="45" spans="1:9" x14ac:dyDescent="0.25">
      <c r="A45" s="9"/>
      <c r="B45" s="9" t="s">
        <v>92</v>
      </c>
      <c r="C45" s="41" t="s">
        <v>93</v>
      </c>
      <c r="D45" s="9"/>
      <c r="E45" s="65"/>
      <c r="F45" s="9"/>
      <c r="G45" s="65"/>
      <c r="H45" s="9"/>
      <c r="I45" s="9"/>
    </row>
    <row r="46" spans="1:9" x14ac:dyDescent="0.25">
      <c r="A46" s="7">
        <v>2</v>
      </c>
      <c r="B46" s="7" t="s">
        <v>94</v>
      </c>
      <c r="C46" s="1" t="s">
        <v>95</v>
      </c>
      <c r="D46" s="7">
        <v>-16663.32</v>
      </c>
      <c r="E46" s="2">
        <v>287392.24</v>
      </c>
      <c r="F46" s="7">
        <v>321241.18</v>
      </c>
      <c r="G46" s="2">
        <f>E46</f>
        <v>287392.24</v>
      </c>
      <c r="H46" s="7">
        <f>D46+F46-G46</f>
        <v>17185.619999999995</v>
      </c>
      <c r="I46" s="7"/>
    </row>
    <row r="47" spans="1:9" x14ac:dyDescent="0.25">
      <c r="A47" s="9"/>
      <c r="B47" s="9" t="s">
        <v>96</v>
      </c>
      <c r="C47" s="41"/>
      <c r="D47" s="9"/>
      <c r="E47" s="10"/>
      <c r="F47" s="9"/>
      <c r="G47" s="10"/>
      <c r="H47" s="9"/>
      <c r="I47" s="9"/>
    </row>
    <row r="48" spans="1:9" x14ac:dyDescent="0.25">
      <c r="A48" s="9"/>
      <c r="B48" s="9" t="s">
        <v>313</v>
      </c>
      <c r="C48" s="41" t="s">
        <v>1191</v>
      </c>
      <c r="D48" s="9"/>
      <c r="E48" s="10"/>
      <c r="F48" s="9"/>
      <c r="G48" s="10"/>
      <c r="H48" s="9"/>
      <c r="I48" s="9"/>
    </row>
    <row r="49" spans="1:9" x14ac:dyDescent="0.25">
      <c r="A49" s="9">
        <v>3</v>
      </c>
      <c r="B49" s="9" t="s">
        <v>98</v>
      </c>
      <c r="C49" s="41" t="s">
        <v>203</v>
      </c>
      <c r="D49" s="9">
        <v>-204291.99</v>
      </c>
      <c r="E49" s="10">
        <v>943468.63</v>
      </c>
      <c r="F49" s="9">
        <v>966871.99</v>
      </c>
      <c r="G49" s="10">
        <f>E49</f>
        <v>943468.63</v>
      </c>
      <c r="H49" s="9">
        <f>D49+F49-G49</f>
        <v>-180888.63</v>
      </c>
      <c r="I49" s="9">
        <f>H49</f>
        <v>-180888.63</v>
      </c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1" t="s">
        <v>1158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1192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/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257</v>
      </c>
      <c r="G55" s="60"/>
      <c r="H55" s="61"/>
      <c r="I55" s="7"/>
    </row>
    <row r="56" spans="1:9" x14ac:dyDescent="0.25">
      <c r="A56" s="51"/>
      <c r="B56" s="7"/>
      <c r="C56" s="60"/>
      <c r="D56" s="60"/>
      <c r="E56" s="60"/>
      <c r="F56" s="51" t="s">
        <v>258</v>
      </c>
      <c r="G56" s="60"/>
      <c r="H56" s="61"/>
      <c r="I56" s="7"/>
    </row>
    <row r="57" spans="1:9" x14ac:dyDescent="0.25">
      <c r="A57" s="52"/>
      <c r="B57" s="62"/>
      <c r="C57" s="60"/>
      <c r="D57" s="60"/>
      <c r="E57" s="60"/>
      <c r="F57" s="51"/>
      <c r="G57" s="60"/>
      <c r="H57" s="61"/>
      <c r="I57" s="62"/>
    </row>
    <row r="58" spans="1:9" x14ac:dyDescent="0.25">
      <c r="A58" s="67" t="s">
        <v>110</v>
      </c>
      <c r="B58" s="18"/>
      <c r="C58" s="68" t="s">
        <v>111</v>
      </c>
      <c r="D58" s="68"/>
      <c r="E58" s="68"/>
      <c r="F58" s="48"/>
      <c r="G58" s="58"/>
      <c r="H58" s="49"/>
      <c r="I58" s="6"/>
    </row>
    <row r="59" spans="1:9" x14ac:dyDescent="0.25">
      <c r="A59" s="69"/>
      <c r="B59" s="7"/>
      <c r="C59" s="60" t="s">
        <v>112</v>
      </c>
      <c r="D59" s="60"/>
      <c r="E59" s="60"/>
      <c r="F59" s="51" t="s">
        <v>71</v>
      </c>
      <c r="G59" s="37"/>
      <c r="H59" s="61" t="s">
        <v>71</v>
      </c>
      <c r="I59" s="7" t="s">
        <v>71</v>
      </c>
    </row>
    <row r="60" spans="1:9" x14ac:dyDescent="0.25">
      <c r="A60" s="69" t="s">
        <v>113</v>
      </c>
      <c r="B60" s="70">
        <v>42851</v>
      </c>
      <c r="C60" s="60" t="s">
        <v>114</v>
      </c>
      <c r="D60" s="60"/>
      <c r="E60" s="60"/>
      <c r="F60" s="51"/>
      <c r="G60" s="37">
        <f>I60/2770.8</f>
        <v>4.1143352100476394</v>
      </c>
      <c r="H60" s="61"/>
      <c r="I60" s="7">
        <v>11400</v>
      </c>
    </row>
    <row r="61" spans="1:9" x14ac:dyDescent="0.25">
      <c r="A61" s="69" t="s">
        <v>38</v>
      </c>
      <c r="B61" s="70">
        <v>42978</v>
      </c>
      <c r="C61" s="60" t="s">
        <v>1193</v>
      </c>
      <c r="D61" s="60"/>
      <c r="E61" s="60"/>
      <c r="F61" s="51"/>
      <c r="G61" s="37">
        <f>I61/2770.8</f>
        <v>3.3243828497184928</v>
      </c>
      <c r="H61" s="61"/>
      <c r="I61" s="7">
        <v>9211.2000000000007</v>
      </c>
    </row>
    <row r="62" spans="1:9" x14ac:dyDescent="0.25">
      <c r="A62" s="69" t="s">
        <v>40</v>
      </c>
      <c r="B62" s="70">
        <v>43069</v>
      </c>
      <c r="C62" s="60" t="s">
        <v>1194</v>
      </c>
      <c r="D62" s="60"/>
      <c r="E62" s="60"/>
      <c r="F62" s="51"/>
      <c r="G62" s="37">
        <f>I62/2770.8</f>
        <v>3.3007976035801931</v>
      </c>
      <c r="H62" s="61"/>
      <c r="I62" s="7">
        <v>9145.85</v>
      </c>
    </row>
    <row r="63" spans="1:9" x14ac:dyDescent="0.25">
      <c r="A63" s="69"/>
      <c r="B63" s="70"/>
      <c r="C63" s="60"/>
      <c r="D63" s="60"/>
      <c r="E63" s="60"/>
      <c r="F63" s="51"/>
      <c r="G63" s="37"/>
      <c r="H63" s="61"/>
      <c r="I63" s="7"/>
    </row>
    <row r="64" spans="1:9" x14ac:dyDescent="0.25">
      <c r="A64" s="69"/>
      <c r="B64" s="70"/>
      <c r="C64" s="60"/>
      <c r="D64" s="60"/>
      <c r="E64" s="60"/>
      <c r="F64" s="51"/>
      <c r="G64" s="37"/>
      <c r="H64" s="61"/>
      <c r="I64" s="7"/>
    </row>
    <row r="65" spans="1:9" x14ac:dyDescent="0.25">
      <c r="A65" s="69"/>
      <c r="B65" s="7"/>
      <c r="C65" s="5" t="s">
        <v>118</v>
      </c>
      <c r="D65" s="5"/>
      <c r="E65" s="5"/>
      <c r="F65" s="59"/>
      <c r="G65" s="20">
        <f>SUM(G60:G64)</f>
        <v>10.739515663346324</v>
      </c>
      <c r="H65" s="71"/>
      <c r="I65" s="18">
        <f>SUM(I60:I64)</f>
        <v>29757.050000000003</v>
      </c>
    </row>
    <row r="66" spans="1:9" x14ac:dyDescent="0.25">
      <c r="A66" s="6"/>
      <c r="B66" s="6"/>
      <c r="C66" s="48"/>
      <c r="D66" s="58"/>
      <c r="E66" s="49"/>
      <c r="F66" s="48"/>
      <c r="G66" s="58"/>
      <c r="H66" s="49"/>
      <c r="I66" s="6"/>
    </row>
    <row r="67" spans="1:9" x14ac:dyDescent="0.25">
      <c r="A67" s="25" t="s">
        <v>48</v>
      </c>
      <c r="B67" s="25" t="s">
        <v>119</v>
      </c>
      <c r="C67" s="57" t="s">
        <v>120</v>
      </c>
      <c r="D67" s="58"/>
      <c r="E67" s="49"/>
      <c r="F67" s="48" t="s">
        <v>121</v>
      </c>
      <c r="G67" s="58"/>
      <c r="H67" s="49"/>
      <c r="I67" s="6"/>
    </row>
    <row r="68" spans="1:9" x14ac:dyDescent="0.25">
      <c r="A68" s="73"/>
      <c r="B68" s="62" t="s">
        <v>119</v>
      </c>
      <c r="C68" s="52" t="s">
        <v>118</v>
      </c>
      <c r="D68" s="74"/>
      <c r="E68" s="53"/>
      <c r="F68" s="52" t="s">
        <v>71</v>
      </c>
      <c r="G68" s="74"/>
      <c r="H68" s="53"/>
      <c r="I68" s="62">
        <v>0</v>
      </c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 t="s">
        <v>227</v>
      </c>
      <c r="B71" s="2"/>
      <c r="C71" s="2" t="s">
        <v>1195</v>
      </c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zoomScale="110" zoomScaleNormal="110" workbookViewId="0">
      <selection activeCell="H32" sqref="H32"/>
    </sheetView>
  </sheetViews>
  <sheetFormatPr defaultRowHeight="15" x14ac:dyDescent="0.25"/>
  <cols>
    <col min="1" max="1" width="5.5703125" style="3" customWidth="1"/>
    <col min="2" max="2" width="32.5703125" style="3" customWidth="1"/>
    <col min="3" max="3" width="13.7109375" style="3" customWidth="1"/>
    <col min="4" max="4" width="10.7109375" style="3" customWidth="1"/>
    <col min="5" max="6" width="9.140625" style="3"/>
    <col min="7" max="7" width="13.140625" style="3" customWidth="1"/>
    <col min="8" max="8" width="12.5703125" style="3" customWidth="1"/>
    <col min="9" max="9" width="20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1196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1197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1198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1" spans="1:9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7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7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7" t="s">
        <v>139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10">
        <v>1</v>
      </c>
      <c r="B18" s="9">
        <v>2</v>
      </c>
      <c r="C18" s="10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11">
        <v>1</v>
      </c>
      <c r="B19" s="12" t="s">
        <v>992</v>
      </c>
      <c r="C19" s="12">
        <v>7.97</v>
      </c>
      <c r="D19" s="17">
        <v>12721.48</v>
      </c>
      <c r="E19" s="17">
        <v>271714.08</v>
      </c>
      <c r="F19" s="14">
        <v>260161.67</v>
      </c>
      <c r="G19" s="17">
        <f t="shared" ref="G19:G26" si="0">E19</f>
        <v>271714.08</v>
      </c>
      <c r="H19" s="16">
        <f>D19+F19-G19</f>
        <v>1169.070000000007</v>
      </c>
      <c r="I19" s="17"/>
    </row>
    <row r="20" spans="1:9" x14ac:dyDescent="0.25">
      <c r="A20" s="73" t="s">
        <v>113</v>
      </c>
      <c r="B20" s="62" t="s">
        <v>37</v>
      </c>
      <c r="C20" s="74">
        <v>2.62</v>
      </c>
      <c r="D20" s="54"/>
      <c r="E20" s="141">
        <f>E19*33%</f>
        <v>89665.646400000012</v>
      </c>
      <c r="F20" s="54">
        <f>F19*33%</f>
        <v>85853.351100000014</v>
      </c>
      <c r="G20" s="54">
        <f t="shared" si="0"/>
        <v>89665.646400000012</v>
      </c>
      <c r="H20" s="55"/>
      <c r="I20" s="54"/>
    </row>
    <row r="21" spans="1:9" x14ac:dyDescent="0.25">
      <c r="A21" s="24" t="s">
        <v>38</v>
      </c>
      <c r="B21" s="6" t="s">
        <v>39</v>
      </c>
      <c r="C21" s="58">
        <v>1.33</v>
      </c>
      <c r="D21" s="75"/>
      <c r="E21" s="75">
        <f>E19*17%</f>
        <v>46191.393600000003</v>
      </c>
      <c r="F21" s="75">
        <f>F19*17%</f>
        <v>44227.483900000007</v>
      </c>
      <c r="G21" s="75">
        <f t="shared" si="0"/>
        <v>46191.393600000003</v>
      </c>
      <c r="H21" s="105"/>
      <c r="I21" s="75"/>
    </row>
    <row r="22" spans="1:9" x14ac:dyDescent="0.25">
      <c r="A22" s="24" t="s">
        <v>40</v>
      </c>
      <c r="B22" s="6" t="s">
        <v>41</v>
      </c>
      <c r="C22" s="58">
        <v>1.63</v>
      </c>
      <c r="D22" s="75"/>
      <c r="E22" s="75">
        <f>E19*20%</f>
        <v>54342.816000000006</v>
      </c>
      <c r="F22" s="75">
        <f>F19*20%</f>
        <v>52032.334000000003</v>
      </c>
      <c r="G22" s="75">
        <f t="shared" si="0"/>
        <v>54342.816000000006</v>
      </c>
      <c r="H22" s="110"/>
      <c r="I22" s="75"/>
    </row>
    <row r="23" spans="1:9" x14ac:dyDescent="0.25">
      <c r="A23" s="24" t="s">
        <v>42</v>
      </c>
      <c r="B23" s="6" t="s">
        <v>43</v>
      </c>
      <c r="C23" s="58">
        <v>2.39</v>
      </c>
      <c r="D23" s="29"/>
      <c r="E23" s="75">
        <f>E19*30%</f>
        <v>81514.224000000002</v>
      </c>
      <c r="F23" s="75">
        <f>F19*30%</f>
        <v>78048.501000000004</v>
      </c>
      <c r="G23" s="29">
        <f t="shared" si="0"/>
        <v>81514.224000000002</v>
      </c>
      <c r="H23" s="105"/>
      <c r="I23" s="29"/>
    </row>
    <row r="24" spans="1:9" x14ac:dyDescent="0.25">
      <c r="A24" s="24" t="s">
        <v>44</v>
      </c>
      <c r="B24" s="6" t="s">
        <v>45</v>
      </c>
      <c r="C24" s="58">
        <v>0.63070000000000004</v>
      </c>
      <c r="D24" s="29"/>
      <c r="E24" s="75">
        <v>5938.65</v>
      </c>
      <c r="F24" s="75">
        <v>3317.39</v>
      </c>
      <c r="G24" s="39">
        <f>E24</f>
        <v>5938.65</v>
      </c>
      <c r="H24" s="28">
        <f>F24-E24</f>
        <v>-2621.2599999999998</v>
      </c>
      <c r="I24" s="43">
        <f>H24</f>
        <v>-2621.2599999999998</v>
      </c>
    </row>
    <row r="25" spans="1:9" x14ac:dyDescent="0.25">
      <c r="A25" s="24" t="s">
        <v>46</v>
      </c>
      <c r="B25" s="6" t="s">
        <v>47</v>
      </c>
      <c r="C25" s="58">
        <v>0.79917000000000005</v>
      </c>
      <c r="D25" s="29"/>
      <c r="E25" s="10">
        <v>30953.03</v>
      </c>
      <c r="F25" s="9">
        <v>26813.22</v>
      </c>
      <c r="G25" s="10">
        <f>E25</f>
        <v>30953.03</v>
      </c>
      <c r="H25" s="11">
        <f>F25-E25</f>
        <v>-4139.8099999999977</v>
      </c>
      <c r="I25" s="11">
        <f>H25</f>
        <v>-4139.8099999999977</v>
      </c>
    </row>
    <row r="26" spans="1:9" x14ac:dyDescent="0.25">
      <c r="A26" s="11" t="s">
        <v>48</v>
      </c>
      <c r="B26" s="11" t="s">
        <v>49</v>
      </c>
      <c r="C26" s="11" t="s">
        <v>50</v>
      </c>
      <c r="D26" s="43">
        <v>-5789.91</v>
      </c>
      <c r="E26" s="11">
        <v>115401.33</v>
      </c>
      <c r="F26" s="11">
        <v>104143.26</v>
      </c>
      <c r="G26" s="41">
        <f t="shared" si="0"/>
        <v>115401.33</v>
      </c>
      <c r="H26" s="34">
        <f>D26++F26-G26</f>
        <v>-17047.98000000001</v>
      </c>
      <c r="I26" s="43">
        <f>H26</f>
        <v>-17047.98000000001</v>
      </c>
    </row>
    <row r="27" spans="1:9" x14ac:dyDescent="0.25">
      <c r="A27" s="25" t="s">
        <v>51</v>
      </c>
      <c r="B27" s="12" t="s">
        <v>459</v>
      </c>
      <c r="C27" s="14">
        <v>1.82</v>
      </c>
      <c r="D27" s="44">
        <v>35775.730000000003</v>
      </c>
      <c r="E27" s="12">
        <v>216427.5</v>
      </c>
      <c r="F27" s="12">
        <v>187668.37</v>
      </c>
      <c r="G27" s="12">
        <f>I65</f>
        <v>284070.20999999996</v>
      </c>
      <c r="H27" s="15">
        <f>D27+F27-G27</f>
        <v>-60626.109999999957</v>
      </c>
      <c r="I27" s="44">
        <f>H27</f>
        <v>-60626.109999999957</v>
      </c>
    </row>
    <row r="28" spans="1:9" x14ac:dyDescent="0.25">
      <c r="A28" s="11"/>
      <c r="B28" s="11"/>
      <c r="C28" s="41"/>
      <c r="D28" s="42" t="s">
        <v>71</v>
      </c>
      <c r="E28" s="11"/>
      <c r="F28" s="11"/>
      <c r="G28" s="41" t="s">
        <v>147</v>
      </c>
      <c r="H28" s="42" t="s">
        <v>71</v>
      </c>
      <c r="I28" s="43" t="str">
        <f>H28</f>
        <v xml:space="preserve"> </v>
      </c>
    </row>
    <row r="29" spans="1:9" x14ac:dyDescent="0.25">
      <c r="A29" s="11" t="s">
        <v>55</v>
      </c>
      <c r="B29" s="12" t="s">
        <v>1190</v>
      </c>
      <c r="C29" s="17"/>
      <c r="D29" s="15">
        <v>3853.84</v>
      </c>
      <c r="E29" s="12">
        <f>E30+E31</f>
        <v>0</v>
      </c>
      <c r="F29" s="12">
        <f>F30+F31</f>
        <v>0</v>
      </c>
      <c r="G29" s="14">
        <f>G30</f>
        <v>0</v>
      </c>
      <c r="H29" s="15">
        <f>D29+F29-G29</f>
        <v>3853.84</v>
      </c>
      <c r="I29" s="17"/>
    </row>
    <row r="30" spans="1:9" x14ac:dyDescent="0.25">
      <c r="A30" s="9"/>
      <c r="B30" s="9" t="s">
        <v>149</v>
      </c>
      <c r="C30" s="39"/>
      <c r="D30" s="15"/>
      <c r="E30" s="12">
        <v>0</v>
      </c>
      <c r="F30" s="12">
        <v>0</v>
      </c>
      <c r="G30" s="14">
        <f>I71</f>
        <v>0</v>
      </c>
      <c r="H30" s="15"/>
      <c r="I30" s="29"/>
    </row>
    <row r="31" spans="1:9" x14ac:dyDescent="0.25">
      <c r="A31" s="9"/>
      <c r="B31" s="9"/>
      <c r="C31" s="10"/>
      <c r="D31" s="8"/>
      <c r="E31" s="9">
        <v>0</v>
      </c>
      <c r="F31" s="9">
        <v>0</v>
      </c>
      <c r="G31" s="10">
        <v>0</v>
      </c>
      <c r="H31" s="8"/>
      <c r="I31" s="54"/>
    </row>
    <row r="32" spans="1:9" x14ac:dyDescent="0.25">
      <c r="A32" s="1" t="s">
        <v>58</v>
      </c>
      <c r="B32" s="2"/>
      <c r="C32" s="2"/>
      <c r="E32" s="2"/>
      <c r="F32" s="2"/>
      <c r="G32" s="2"/>
      <c r="H32" s="2"/>
      <c r="I32" s="2"/>
    </row>
    <row r="33" spans="1:9" x14ac:dyDescent="0.25">
      <c r="A33" s="1"/>
      <c r="B33" s="2"/>
      <c r="C33" s="2"/>
      <c r="E33" s="2"/>
      <c r="F33" s="2"/>
      <c r="G33" s="2"/>
      <c r="H33" s="2"/>
      <c r="I33" s="2"/>
    </row>
    <row r="34" spans="1:9" x14ac:dyDescent="0.25">
      <c r="A34" s="25" t="s">
        <v>59</v>
      </c>
      <c r="B34" s="58" t="s">
        <v>60</v>
      </c>
      <c r="C34" s="6" t="s">
        <v>64</v>
      </c>
      <c r="D34" s="49" t="s">
        <v>62</v>
      </c>
      <c r="E34" s="58" t="s">
        <v>63</v>
      </c>
      <c r="F34" s="6" t="s">
        <v>64</v>
      </c>
      <c r="G34" s="6"/>
      <c r="H34" s="58" t="s">
        <v>199</v>
      </c>
      <c r="I34" s="49"/>
    </row>
    <row r="35" spans="1:9" x14ac:dyDescent="0.25">
      <c r="A35" s="7"/>
      <c r="B35" s="60"/>
      <c r="C35" s="62" t="s">
        <v>66</v>
      </c>
      <c r="D35" s="53" t="s">
        <v>23</v>
      </c>
      <c r="E35" s="74" t="s">
        <v>312</v>
      </c>
      <c r="F35" s="62" t="s">
        <v>30</v>
      </c>
      <c r="G35" s="62"/>
      <c r="H35" s="74"/>
      <c r="I35" s="53"/>
    </row>
    <row r="36" spans="1:9" x14ac:dyDescent="0.25">
      <c r="A36" s="12"/>
      <c r="B36" s="74" t="s">
        <v>68</v>
      </c>
      <c r="C36" s="29">
        <v>10900.5</v>
      </c>
      <c r="D36" s="9">
        <v>5553</v>
      </c>
      <c r="E36" s="79">
        <f>D36*15%</f>
        <v>832.94999999999993</v>
      </c>
      <c r="F36" s="54">
        <f>C36+(D36-E36)</f>
        <v>15620.55</v>
      </c>
      <c r="G36" s="54"/>
      <c r="H36" s="79">
        <f>F36-G36</f>
        <v>15620.55</v>
      </c>
      <c r="I36" s="53"/>
    </row>
    <row r="37" spans="1:9" x14ac:dyDescent="0.25">
      <c r="A37" s="60"/>
      <c r="B37" s="60"/>
      <c r="C37" s="37"/>
      <c r="D37" s="60"/>
      <c r="E37" s="37"/>
      <c r="F37" s="37"/>
      <c r="G37" s="37"/>
      <c r="H37" s="37"/>
      <c r="I37" s="60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253</v>
      </c>
      <c r="H39" s="6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7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7"/>
      <c r="I41" s="7" t="s">
        <v>30</v>
      </c>
    </row>
    <row r="42" spans="1:9" x14ac:dyDescent="0.25">
      <c r="A42" s="7"/>
      <c r="B42" s="51"/>
      <c r="C42" s="7"/>
      <c r="D42" s="60"/>
      <c r="E42" s="7"/>
      <c r="F42" s="60"/>
      <c r="G42" s="7"/>
      <c r="H42" s="7"/>
      <c r="I42" s="7"/>
    </row>
    <row r="43" spans="1:9" x14ac:dyDescent="0.25">
      <c r="A43" s="9"/>
      <c r="B43" s="8"/>
      <c r="C43" s="9"/>
      <c r="D43" s="9"/>
      <c r="E43" s="10"/>
      <c r="F43" s="9"/>
      <c r="G43" s="10"/>
      <c r="H43" s="9"/>
      <c r="I43" s="9"/>
    </row>
    <row r="44" spans="1:9" x14ac:dyDescent="0.25">
      <c r="A44" s="7">
        <v>1</v>
      </c>
      <c r="B44" s="7" t="s">
        <v>90</v>
      </c>
      <c r="C44" s="5" t="s">
        <v>91</v>
      </c>
      <c r="D44" s="7">
        <v>-19453.830000000002</v>
      </c>
      <c r="E44" s="112">
        <v>249297.09</v>
      </c>
      <c r="F44" s="7">
        <v>236179.56</v>
      </c>
      <c r="G44" s="112">
        <f>E44</f>
        <v>249297.09</v>
      </c>
      <c r="H44" s="7">
        <f>D44+F44-G44</f>
        <v>-32571.360000000015</v>
      </c>
      <c r="I44" s="7">
        <f>H44</f>
        <v>-32571.360000000015</v>
      </c>
    </row>
    <row r="45" spans="1:9" x14ac:dyDescent="0.25">
      <c r="A45" s="9"/>
      <c r="B45" s="9" t="s">
        <v>92</v>
      </c>
      <c r="C45" s="41" t="s">
        <v>93</v>
      </c>
      <c r="D45" s="9"/>
      <c r="E45" s="65"/>
      <c r="F45" s="9"/>
      <c r="G45" s="65"/>
      <c r="H45" s="9"/>
      <c r="I45" s="9"/>
    </row>
    <row r="46" spans="1:9" x14ac:dyDescent="0.25">
      <c r="A46" s="7">
        <v>2</v>
      </c>
      <c r="B46" s="7" t="s">
        <v>168</v>
      </c>
      <c r="C46" s="1" t="s">
        <v>95</v>
      </c>
      <c r="D46" s="7">
        <v>-86316</v>
      </c>
      <c r="E46" s="2">
        <v>378021.25</v>
      </c>
      <c r="F46" s="7">
        <v>367418.5</v>
      </c>
      <c r="G46" s="2">
        <f>E46</f>
        <v>378021.25</v>
      </c>
      <c r="H46" s="7">
        <f>D46+F46-G46</f>
        <v>-96918.75</v>
      </c>
      <c r="I46" s="62">
        <f>H46</f>
        <v>-96918.75</v>
      </c>
    </row>
    <row r="47" spans="1:9" x14ac:dyDescent="0.25">
      <c r="A47" s="9"/>
      <c r="B47" s="9" t="s">
        <v>313</v>
      </c>
      <c r="C47" s="41" t="s">
        <v>93</v>
      </c>
      <c r="D47" s="9"/>
      <c r="E47" s="10"/>
      <c r="F47" s="9"/>
      <c r="G47" s="10"/>
      <c r="H47" s="9"/>
      <c r="I47" s="9"/>
    </row>
    <row r="48" spans="1:9" x14ac:dyDescent="0.25">
      <c r="A48" s="9">
        <v>3</v>
      </c>
      <c r="B48" s="9" t="s">
        <v>98</v>
      </c>
      <c r="C48" s="41" t="s">
        <v>203</v>
      </c>
      <c r="D48" s="9">
        <v>-214054.16</v>
      </c>
      <c r="E48" s="10">
        <v>899713.77</v>
      </c>
      <c r="F48" s="9">
        <v>854901.1</v>
      </c>
      <c r="G48" s="10">
        <f>E48</f>
        <v>899713.77</v>
      </c>
      <c r="H48" s="9">
        <f>D48+F48-G48</f>
        <v>-258866.83000000007</v>
      </c>
      <c r="I48" s="9">
        <f>H48</f>
        <v>-258866.83000000007</v>
      </c>
    </row>
    <row r="49" spans="1:9" x14ac:dyDescent="0.25">
      <c r="A49" s="1" t="s">
        <v>255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256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102</v>
      </c>
      <c r="C51" s="58" t="s">
        <v>103</v>
      </c>
      <c r="D51" s="58"/>
      <c r="E51" s="58"/>
      <c r="F51" s="48" t="s">
        <v>428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1199</v>
      </c>
      <c r="G52" s="60"/>
      <c r="H52" s="61"/>
      <c r="I52" s="7" t="s">
        <v>108</v>
      </c>
    </row>
    <row r="53" spans="1:9" x14ac:dyDescent="0.25">
      <c r="A53" s="51"/>
      <c r="B53" s="62"/>
      <c r="C53" s="60"/>
      <c r="D53" s="60"/>
      <c r="E53" s="60"/>
      <c r="F53" s="51" t="s">
        <v>258</v>
      </c>
      <c r="G53" s="60"/>
      <c r="H53" s="61"/>
      <c r="I53" s="7"/>
    </row>
    <row r="54" spans="1:9" x14ac:dyDescent="0.25">
      <c r="A54" s="67" t="s">
        <v>110</v>
      </c>
      <c r="B54" s="18"/>
      <c r="C54" s="68" t="s">
        <v>111</v>
      </c>
      <c r="D54" s="68"/>
      <c r="E54" s="68"/>
      <c r="F54" s="48"/>
      <c r="G54" s="58"/>
      <c r="H54" s="58"/>
      <c r="I54" s="6"/>
    </row>
    <row r="55" spans="1:9" x14ac:dyDescent="0.25">
      <c r="A55" s="69"/>
      <c r="B55" s="7"/>
      <c r="C55" s="60" t="s">
        <v>112</v>
      </c>
      <c r="D55" s="60"/>
      <c r="E55" s="60"/>
      <c r="F55" s="51" t="s">
        <v>71</v>
      </c>
      <c r="G55" s="37"/>
      <c r="H55" s="60" t="s">
        <v>71</v>
      </c>
      <c r="I55" s="7" t="s">
        <v>71</v>
      </c>
    </row>
    <row r="56" spans="1:9" x14ac:dyDescent="0.25">
      <c r="A56" s="69" t="s">
        <v>113</v>
      </c>
      <c r="B56" s="70">
        <v>42851</v>
      </c>
      <c r="C56" s="60" t="s">
        <v>114</v>
      </c>
      <c r="D56" s="60"/>
      <c r="E56" s="60"/>
      <c r="F56" s="51"/>
      <c r="G56" s="37">
        <f t="shared" ref="G56:G64" si="1">I56/2841</f>
        <v>8.5181274199225623</v>
      </c>
      <c r="H56" s="60"/>
      <c r="I56" s="7">
        <v>24200</v>
      </c>
    </row>
    <row r="57" spans="1:9" x14ac:dyDescent="0.25">
      <c r="A57" s="69" t="s">
        <v>38</v>
      </c>
      <c r="B57" s="70">
        <v>42853</v>
      </c>
      <c r="C57" s="60" t="s">
        <v>354</v>
      </c>
      <c r="D57" s="60"/>
      <c r="E57" s="60"/>
      <c r="F57" s="51"/>
      <c r="G57" s="37">
        <f t="shared" si="1"/>
        <v>4.29208025343189</v>
      </c>
      <c r="H57" s="60"/>
      <c r="I57" s="7">
        <v>12193.8</v>
      </c>
    </row>
    <row r="58" spans="1:9" x14ac:dyDescent="0.25">
      <c r="A58" s="69" t="s">
        <v>40</v>
      </c>
      <c r="B58" s="70">
        <v>42947</v>
      </c>
      <c r="C58" s="70" t="s">
        <v>1200</v>
      </c>
      <c r="D58" s="60"/>
      <c r="E58" s="60"/>
      <c r="F58" s="51"/>
      <c r="G58" s="37">
        <f t="shared" si="1"/>
        <v>2.1757479760647658</v>
      </c>
      <c r="H58" s="60"/>
      <c r="I58" s="7">
        <v>6181.3</v>
      </c>
    </row>
    <row r="59" spans="1:9" x14ac:dyDescent="0.25">
      <c r="A59" s="69" t="s">
        <v>42</v>
      </c>
      <c r="B59" s="70">
        <v>42963</v>
      </c>
      <c r="C59" s="60" t="s">
        <v>1201</v>
      </c>
      <c r="D59" s="60"/>
      <c r="E59" s="60"/>
      <c r="F59" s="51"/>
      <c r="G59" s="37">
        <f t="shared" si="1"/>
        <v>0.8131151003167898</v>
      </c>
      <c r="H59" s="60"/>
      <c r="I59" s="7">
        <v>2310.06</v>
      </c>
    </row>
    <row r="60" spans="1:9" x14ac:dyDescent="0.25">
      <c r="A60" s="69" t="s">
        <v>44</v>
      </c>
      <c r="B60" s="70">
        <v>42978</v>
      </c>
      <c r="C60" s="60" t="s">
        <v>807</v>
      </c>
      <c r="D60" s="60"/>
      <c r="E60" s="60"/>
      <c r="F60" s="51"/>
      <c r="G60" s="37">
        <f t="shared" si="1"/>
        <v>19.359380499824006</v>
      </c>
      <c r="H60" s="60"/>
      <c r="I60" s="7">
        <v>55000</v>
      </c>
    </row>
    <row r="61" spans="1:9" x14ac:dyDescent="0.25">
      <c r="A61" s="69" t="s">
        <v>46</v>
      </c>
      <c r="B61" s="70">
        <v>43008</v>
      </c>
      <c r="C61" s="60" t="s">
        <v>1171</v>
      </c>
      <c r="D61" s="60"/>
      <c r="E61" s="60"/>
      <c r="F61" s="51"/>
      <c r="G61" s="37">
        <f t="shared" si="1"/>
        <v>1.0971629707849349</v>
      </c>
      <c r="H61" s="60"/>
      <c r="I61" s="7">
        <v>3117.04</v>
      </c>
    </row>
    <row r="62" spans="1:9" x14ac:dyDescent="0.25">
      <c r="A62" s="69" t="s">
        <v>356</v>
      </c>
      <c r="B62" s="70">
        <v>43098</v>
      </c>
      <c r="C62" s="70" t="s">
        <v>1202</v>
      </c>
      <c r="D62" s="70"/>
      <c r="E62" s="70"/>
      <c r="F62" s="51"/>
      <c r="G62" s="37">
        <f t="shared" si="1"/>
        <v>1.3314009151707147</v>
      </c>
      <c r="H62" s="60"/>
      <c r="I62" s="7">
        <v>3782.51</v>
      </c>
    </row>
    <row r="63" spans="1:9" x14ac:dyDescent="0.25">
      <c r="A63" s="69" t="s">
        <v>358</v>
      </c>
      <c r="B63" s="70" t="s">
        <v>180</v>
      </c>
      <c r="C63" s="195" t="s">
        <v>1203</v>
      </c>
      <c r="D63" s="195"/>
      <c r="E63" s="195"/>
      <c r="F63" s="51"/>
      <c r="G63" s="37">
        <f t="shared" si="1"/>
        <v>60.29743048222457</v>
      </c>
      <c r="H63" s="60"/>
      <c r="I63" s="7">
        <v>171305</v>
      </c>
    </row>
    <row r="64" spans="1:9" x14ac:dyDescent="0.25">
      <c r="A64" s="69" t="s">
        <v>360</v>
      </c>
      <c r="B64" s="70" t="s">
        <v>867</v>
      </c>
      <c r="C64" s="195" t="s">
        <v>381</v>
      </c>
      <c r="D64" s="195"/>
      <c r="E64" s="195"/>
      <c r="F64" s="51"/>
      <c r="G64" s="37">
        <f t="shared" si="1"/>
        <v>2.1050686378035901</v>
      </c>
      <c r="H64" s="60"/>
      <c r="I64" s="7">
        <v>5980.5</v>
      </c>
    </row>
    <row r="65" spans="1:9" x14ac:dyDescent="0.25">
      <c r="A65" s="69"/>
      <c r="B65" s="7"/>
      <c r="C65" s="5" t="s">
        <v>118</v>
      </c>
      <c r="D65" s="5"/>
      <c r="E65" s="5"/>
      <c r="F65" s="15"/>
      <c r="G65" s="78">
        <f>SUM(G56:G64)</f>
        <v>99.989514255543824</v>
      </c>
      <c r="H65" s="14"/>
      <c r="I65" s="12">
        <f>SUM(I56:I64)</f>
        <v>284070.20999999996</v>
      </c>
    </row>
    <row r="66" spans="1:9" x14ac:dyDescent="0.25">
      <c r="A66" s="6"/>
      <c r="B66" s="6"/>
      <c r="C66" s="48"/>
      <c r="D66" s="58"/>
      <c r="E66" s="49"/>
      <c r="F66" s="51"/>
      <c r="G66" s="60"/>
      <c r="H66" s="61"/>
    </row>
    <row r="67" spans="1:9" x14ac:dyDescent="0.25">
      <c r="A67" s="6" t="s">
        <v>48</v>
      </c>
      <c r="B67" s="25" t="s">
        <v>119</v>
      </c>
      <c r="C67" s="57" t="s">
        <v>120</v>
      </c>
      <c r="D67" s="58"/>
      <c r="E67" s="49"/>
      <c r="F67" s="48" t="s">
        <v>121</v>
      </c>
      <c r="G67" s="58"/>
      <c r="H67" s="49"/>
      <c r="I67" s="6"/>
    </row>
    <row r="68" spans="1:9" x14ac:dyDescent="0.25">
      <c r="A68" s="7"/>
      <c r="B68" s="18"/>
      <c r="C68" s="59"/>
      <c r="D68" s="60"/>
      <c r="E68" s="61"/>
      <c r="F68" s="51"/>
      <c r="G68" s="60"/>
      <c r="H68" s="61"/>
      <c r="I68" s="7"/>
    </row>
    <row r="69" spans="1:9" x14ac:dyDescent="0.25">
      <c r="A69" s="69" t="s">
        <v>182</v>
      </c>
      <c r="B69" s="70"/>
      <c r="C69" s="51"/>
      <c r="D69" s="60"/>
      <c r="E69" s="61"/>
      <c r="F69" s="51"/>
      <c r="G69" s="37">
        <f>I69/2834.8</f>
        <v>0</v>
      </c>
      <c r="H69" s="61"/>
      <c r="I69" s="7"/>
    </row>
    <row r="70" spans="1:9" x14ac:dyDescent="0.25">
      <c r="A70" s="69" t="s">
        <v>796</v>
      </c>
      <c r="B70" s="70"/>
      <c r="C70" s="51"/>
      <c r="D70" s="60"/>
      <c r="E70" s="61"/>
      <c r="F70" s="51"/>
      <c r="G70" s="37">
        <f>I70/2834.8</f>
        <v>0</v>
      </c>
      <c r="H70" s="61"/>
      <c r="I70" s="7"/>
    </row>
    <row r="71" spans="1:9" x14ac:dyDescent="0.25">
      <c r="A71" s="73"/>
      <c r="B71" s="62" t="s">
        <v>119</v>
      </c>
      <c r="C71" s="15" t="s">
        <v>118</v>
      </c>
      <c r="D71" s="74"/>
      <c r="E71" s="53"/>
      <c r="F71" s="52" t="s">
        <v>71</v>
      </c>
      <c r="G71" s="78">
        <f>SUM(G69:G70)</f>
        <v>0</v>
      </c>
      <c r="H71" s="85"/>
      <c r="I71" s="12">
        <f>SUM(I69:I70)</f>
        <v>0</v>
      </c>
    </row>
    <row r="72" spans="1:9" x14ac:dyDescent="0.25">
      <c r="A72" s="2" t="s">
        <v>317</v>
      </c>
      <c r="B72" s="2"/>
      <c r="C72" s="114" t="s">
        <v>123</v>
      </c>
      <c r="E72" s="2" t="s">
        <v>124</v>
      </c>
      <c r="G72" s="2" t="s">
        <v>262</v>
      </c>
      <c r="H72" s="2"/>
      <c r="I72" s="2" t="s">
        <v>263</v>
      </c>
    </row>
    <row r="73" spans="1:9" x14ac:dyDescent="0.25">
      <c r="A73" s="2"/>
      <c r="B73" s="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="110" zoomScaleNormal="110" workbookViewId="0">
      <selection activeCell="B3" sqref="B3"/>
    </sheetView>
  </sheetViews>
  <sheetFormatPr defaultRowHeight="15" x14ac:dyDescent="0.25"/>
  <cols>
    <col min="1" max="1" width="4" style="3" customWidth="1"/>
    <col min="2" max="2" width="29.140625" style="3" customWidth="1"/>
    <col min="3" max="3" width="13" style="3" customWidth="1"/>
    <col min="4" max="6" width="9.140625" style="3"/>
    <col min="7" max="7" width="10.7109375" style="3" customWidth="1"/>
    <col min="8" max="8" width="13.5703125" style="3" customWidth="1"/>
    <col min="9" max="9" width="18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1"/>
      <c r="C5" s="1"/>
      <c r="D5" s="1"/>
      <c r="E5" s="1"/>
      <c r="F5" s="1"/>
      <c r="G5" s="1"/>
      <c r="H5" s="2"/>
      <c r="I5" s="2"/>
    </row>
    <row r="6" spans="1:9" x14ac:dyDescent="0.25">
      <c r="A6" s="1" t="s">
        <v>1204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1205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1206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156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991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57">
        <v>1</v>
      </c>
      <c r="B18" s="25" t="s">
        <v>191</v>
      </c>
      <c r="C18" s="25"/>
      <c r="D18" s="57"/>
      <c r="E18" s="45" t="s">
        <v>71</v>
      </c>
      <c r="F18" s="25" t="s">
        <v>71</v>
      </c>
      <c r="G18" s="25"/>
      <c r="H18" s="57" t="s">
        <v>71</v>
      </c>
      <c r="I18" s="45"/>
    </row>
    <row r="19" spans="1:9" x14ac:dyDescent="0.25">
      <c r="A19" s="15"/>
      <c r="B19" s="12" t="s">
        <v>192</v>
      </c>
      <c r="C19" s="12">
        <v>7.97</v>
      </c>
      <c r="D19" s="17">
        <v>18148.78</v>
      </c>
      <c r="E19" s="17">
        <v>408211.20000000001</v>
      </c>
      <c r="F19" s="14">
        <v>417823.76</v>
      </c>
      <c r="G19" s="17">
        <f>E19</f>
        <v>408211.20000000001</v>
      </c>
      <c r="H19" s="16">
        <f>D19+F19-G19</f>
        <v>27761.340000000026</v>
      </c>
      <c r="I19" s="17" t="s">
        <v>71</v>
      </c>
    </row>
    <row r="20" spans="1:9" x14ac:dyDescent="0.25">
      <c r="A20" s="7" t="s">
        <v>36</v>
      </c>
      <c r="B20" s="7" t="s">
        <v>457</v>
      </c>
      <c r="C20" s="60"/>
      <c r="D20" s="75"/>
      <c r="E20" s="7"/>
      <c r="F20" s="22"/>
      <c r="G20" s="7" t="s">
        <v>71</v>
      </c>
      <c r="H20" s="51"/>
      <c r="I20" s="75"/>
    </row>
    <row r="21" spans="1:9" x14ac:dyDescent="0.25">
      <c r="A21" s="62"/>
      <c r="B21" s="62" t="s">
        <v>458</v>
      </c>
      <c r="C21" s="74">
        <v>2.62</v>
      </c>
      <c r="D21" s="54"/>
      <c r="E21" s="141">
        <f>E19*33%</f>
        <v>134709.696</v>
      </c>
      <c r="F21" s="54">
        <f>F19*33%</f>
        <v>137881.84080000001</v>
      </c>
      <c r="G21" s="54">
        <f t="shared" ref="G21:G27" si="0">E21</f>
        <v>134709.696</v>
      </c>
      <c r="H21" s="55"/>
      <c r="I21" s="54"/>
    </row>
    <row r="22" spans="1:9" x14ac:dyDescent="0.25">
      <c r="A22" s="24" t="s">
        <v>38</v>
      </c>
      <c r="B22" s="6" t="s">
        <v>39</v>
      </c>
      <c r="C22" s="58">
        <v>1.33</v>
      </c>
      <c r="D22" s="75"/>
      <c r="E22" s="75">
        <f>E19*17%</f>
        <v>69395.90400000001</v>
      </c>
      <c r="F22" s="75">
        <f>F19*17%</f>
        <v>71030.039200000014</v>
      </c>
      <c r="G22" s="75">
        <f t="shared" si="0"/>
        <v>69395.90400000001</v>
      </c>
      <c r="H22" s="105"/>
      <c r="I22" s="75"/>
    </row>
    <row r="23" spans="1:9" x14ac:dyDescent="0.25">
      <c r="A23" s="24" t="s">
        <v>40</v>
      </c>
      <c r="B23" s="6" t="s">
        <v>41</v>
      </c>
      <c r="C23" s="58">
        <v>1.63</v>
      </c>
      <c r="D23" s="29"/>
      <c r="E23" s="75">
        <f>E19*20%</f>
        <v>81642.240000000005</v>
      </c>
      <c r="F23" s="75">
        <f>F19*20%</f>
        <v>83564.752000000008</v>
      </c>
      <c r="G23" s="29">
        <f t="shared" si="0"/>
        <v>81642.240000000005</v>
      </c>
      <c r="H23" s="110"/>
      <c r="I23" s="29"/>
    </row>
    <row r="24" spans="1:9" x14ac:dyDescent="0.25">
      <c r="A24" s="24" t="s">
        <v>42</v>
      </c>
      <c r="B24" s="6" t="s">
        <v>43</v>
      </c>
      <c r="C24" s="58">
        <v>2.39</v>
      </c>
      <c r="D24" s="22"/>
      <c r="E24" s="75">
        <f>E19*30%</f>
        <v>122463.36</v>
      </c>
      <c r="F24" s="75">
        <f>F19*30%</f>
        <v>125347.128</v>
      </c>
      <c r="G24" s="37">
        <f t="shared" si="0"/>
        <v>122463.36</v>
      </c>
      <c r="H24" s="105"/>
      <c r="I24" s="22"/>
    </row>
    <row r="25" spans="1:9" x14ac:dyDescent="0.25">
      <c r="A25" s="24" t="s">
        <v>44</v>
      </c>
      <c r="B25" s="6" t="s">
        <v>47</v>
      </c>
      <c r="C25" s="58">
        <v>0.85687999999999998</v>
      </c>
      <c r="D25" s="29"/>
      <c r="E25" s="10">
        <v>48604.84</v>
      </c>
      <c r="F25" s="9">
        <v>43969.65</v>
      </c>
      <c r="G25" s="10">
        <f t="shared" si="0"/>
        <v>48604.84</v>
      </c>
      <c r="H25" s="11">
        <f>F25-E25</f>
        <v>-4635.1899999999951</v>
      </c>
      <c r="I25" s="11">
        <f>H25</f>
        <v>-4635.1899999999951</v>
      </c>
    </row>
    <row r="26" spans="1:9" x14ac:dyDescent="0.25">
      <c r="A26" s="24" t="s">
        <v>356</v>
      </c>
      <c r="B26" s="6" t="s">
        <v>249</v>
      </c>
      <c r="C26" s="58">
        <v>0.41123999999999999</v>
      </c>
      <c r="D26" s="29"/>
      <c r="E26" s="29">
        <v>5499.93</v>
      </c>
      <c r="F26" s="29">
        <v>3566.67</v>
      </c>
      <c r="G26" s="39">
        <f t="shared" si="0"/>
        <v>5499.93</v>
      </c>
      <c r="H26" s="34">
        <f>F26-E26</f>
        <v>-1933.2600000000002</v>
      </c>
      <c r="I26" s="43">
        <f>H26</f>
        <v>-1933.2600000000002</v>
      </c>
    </row>
    <row r="27" spans="1:9" x14ac:dyDescent="0.25">
      <c r="A27" s="11" t="s">
        <v>48</v>
      </c>
      <c r="B27" s="11" t="s">
        <v>49</v>
      </c>
      <c r="C27" s="11" t="s">
        <v>50</v>
      </c>
      <c r="D27" s="43">
        <v>-8872.98</v>
      </c>
      <c r="E27" s="11">
        <v>173374.32</v>
      </c>
      <c r="F27" s="11">
        <v>169404.89</v>
      </c>
      <c r="G27" s="41">
        <f t="shared" si="0"/>
        <v>173374.32</v>
      </c>
      <c r="H27" s="34">
        <f>D27+F27-G27</f>
        <v>-12842.410000000003</v>
      </c>
      <c r="I27" s="43">
        <f>H27</f>
        <v>-12842.410000000003</v>
      </c>
    </row>
    <row r="28" spans="1:9" x14ac:dyDescent="0.25">
      <c r="A28" s="12" t="s">
        <v>51</v>
      </c>
      <c r="B28" s="12" t="s">
        <v>1207</v>
      </c>
      <c r="C28" s="14">
        <v>1.82</v>
      </c>
      <c r="D28" s="42">
        <v>61701.13</v>
      </c>
      <c r="E28" s="11">
        <v>178581.44</v>
      </c>
      <c r="F28" s="11">
        <v>179872.67</v>
      </c>
      <c r="G28" s="11">
        <f>I63</f>
        <v>130668.94</v>
      </c>
      <c r="H28" s="42">
        <f>D28+F28-G28</f>
        <v>110904.86000000002</v>
      </c>
      <c r="I28" s="43"/>
    </row>
    <row r="29" spans="1:9" x14ac:dyDescent="0.25">
      <c r="A29" s="12"/>
      <c r="B29" s="12"/>
      <c r="C29" s="14"/>
      <c r="D29" s="42"/>
      <c r="E29" s="12"/>
      <c r="F29" s="12"/>
      <c r="G29" s="41"/>
      <c r="H29" s="42"/>
      <c r="I29" s="43"/>
    </row>
    <row r="30" spans="1:9" x14ac:dyDescent="0.25">
      <c r="A30" s="12"/>
      <c r="B30" s="12"/>
      <c r="C30" s="14"/>
      <c r="D30" s="42"/>
      <c r="E30" s="12"/>
      <c r="F30" s="12"/>
      <c r="G30" s="41"/>
      <c r="H30" s="42"/>
      <c r="I30" s="43"/>
    </row>
    <row r="31" spans="1:9" x14ac:dyDescent="0.25">
      <c r="A31" s="11" t="s">
        <v>55</v>
      </c>
      <c r="B31" s="12" t="s">
        <v>1208</v>
      </c>
      <c r="C31" s="17">
        <v>0</v>
      </c>
      <c r="D31" s="43">
        <v>-36090.730000000003</v>
      </c>
      <c r="E31" s="12">
        <v>0</v>
      </c>
      <c r="F31" s="12">
        <v>0</v>
      </c>
      <c r="G31" s="41">
        <v>0</v>
      </c>
      <c r="H31" s="42">
        <f>D31+F31-G31</f>
        <v>-36090.730000000003</v>
      </c>
      <c r="I31" s="43">
        <f>H31</f>
        <v>-36090.730000000003</v>
      </c>
    </row>
    <row r="32" spans="1:9" x14ac:dyDescent="0.25">
      <c r="A32" s="9"/>
      <c r="B32" s="9" t="s">
        <v>149</v>
      </c>
      <c r="C32" s="39"/>
      <c r="D32" s="8"/>
      <c r="E32" s="9">
        <v>0</v>
      </c>
      <c r="F32" s="9">
        <v>0</v>
      </c>
      <c r="G32" s="10">
        <v>0</v>
      </c>
      <c r="H32" s="8"/>
      <c r="I32" s="29"/>
    </row>
    <row r="33" spans="1:9" x14ac:dyDescent="0.25">
      <c r="A33" s="60"/>
      <c r="B33" s="60"/>
      <c r="C33" s="60"/>
      <c r="D33" s="60"/>
      <c r="E33" s="60"/>
      <c r="F33" s="60"/>
      <c r="G33" s="60"/>
      <c r="H33" s="60"/>
      <c r="I33" s="37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25" t="s">
        <v>59</v>
      </c>
      <c r="B35" s="58" t="s">
        <v>60</v>
      </c>
      <c r="C35" s="6" t="s">
        <v>64</v>
      </c>
      <c r="D35" s="49" t="s">
        <v>62</v>
      </c>
      <c r="E35" s="58" t="s">
        <v>63</v>
      </c>
      <c r="F35" s="6" t="s">
        <v>64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66</v>
      </c>
      <c r="D36" s="53" t="s">
        <v>23</v>
      </c>
      <c r="E36" s="74" t="s">
        <v>312</v>
      </c>
      <c r="F36" s="62" t="s">
        <v>30</v>
      </c>
      <c r="G36" s="62"/>
      <c r="H36" s="74"/>
      <c r="I36" s="53"/>
    </row>
    <row r="37" spans="1:9" x14ac:dyDescent="0.25">
      <c r="A37" s="12"/>
      <c r="B37" s="74" t="s">
        <v>68</v>
      </c>
      <c r="C37" s="29">
        <v>16498.5</v>
      </c>
      <c r="D37" s="9">
        <v>9153</v>
      </c>
      <c r="E37" s="79">
        <f>D37*15%</f>
        <v>1372.95</v>
      </c>
      <c r="F37" s="54">
        <f>C37+(D37-E37)</f>
        <v>24278.55</v>
      </c>
      <c r="G37" s="54"/>
      <c r="H37" s="79">
        <f>F37-G37</f>
        <v>24278.55</v>
      </c>
      <c r="I37" s="53"/>
    </row>
    <row r="38" spans="1:9" x14ac:dyDescent="0.25">
      <c r="A38" s="5"/>
      <c r="B38" s="60"/>
      <c r="C38" s="37"/>
      <c r="D38" s="60"/>
      <c r="E38" s="37"/>
      <c r="F38" s="37"/>
      <c r="G38" s="37"/>
      <c r="H38" s="37"/>
      <c r="I38" s="60"/>
    </row>
    <row r="39" spans="1:9" x14ac:dyDescent="0.25">
      <c r="A39" s="60"/>
      <c r="B39" s="60"/>
      <c r="C39" s="60"/>
      <c r="D39" s="118"/>
      <c r="E39" s="37"/>
      <c r="F39" s="37"/>
      <c r="G39" s="37"/>
      <c r="H39" s="37"/>
      <c r="I39" s="60"/>
    </row>
    <row r="40" spans="1:9" x14ac:dyDescent="0.25">
      <c r="A40" s="1" t="s">
        <v>252</v>
      </c>
      <c r="B40" s="1"/>
      <c r="C40" s="1"/>
      <c r="D40" s="47"/>
      <c r="E40" s="1"/>
      <c r="F40" s="1"/>
      <c r="G40" s="1"/>
      <c r="H40" s="1"/>
      <c r="I40" s="1"/>
    </row>
    <row r="41" spans="1:9" x14ac:dyDescent="0.25">
      <c r="A41" s="6" t="s">
        <v>71</v>
      </c>
      <c r="B41" s="57" t="s">
        <v>72</v>
      </c>
      <c r="C41" s="6" t="s">
        <v>73</v>
      </c>
      <c r="D41" s="58" t="s">
        <v>74</v>
      </c>
      <c r="E41" s="6" t="s">
        <v>75</v>
      </c>
      <c r="F41" s="58" t="s">
        <v>76</v>
      </c>
      <c r="G41" s="6" t="s">
        <v>253</v>
      </c>
      <c r="H41" s="6" t="s">
        <v>78</v>
      </c>
      <c r="I41" s="6" t="s">
        <v>19</v>
      </c>
    </row>
    <row r="42" spans="1:9" x14ac:dyDescent="0.25">
      <c r="A42" s="7"/>
      <c r="B42" s="59" t="s">
        <v>79</v>
      </c>
      <c r="C42" s="7" t="s">
        <v>80</v>
      </c>
      <c r="D42" s="60" t="s">
        <v>81</v>
      </c>
      <c r="E42" s="7" t="s">
        <v>82</v>
      </c>
      <c r="F42" s="60" t="s">
        <v>83</v>
      </c>
      <c r="G42" s="7" t="s">
        <v>84</v>
      </c>
      <c r="H42" s="7" t="s">
        <v>85</v>
      </c>
      <c r="I42" s="7" t="s">
        <v>86</v>
      </c>
    </row>
    <row r="43" spans="1:9" x14ac:dyDescent="0.25">
      <c r="A43" s="7"/>
      <c r="B43" s="51"/>
      <c r="C43" s="7"/>
      <c r="D43" s="60"/>
      <c r="E43" s="7"/>
      <c r="F43" s="60" t="s">
        <v>87</v>
      </c>
      <c r="G43" s="7" t="s">
        <v>88</v>
      </c>
      <c r="H43" s="7"/>
      <c r="I43" s="7" t="s">
        <v>30</v>
      </c>
    </row>
    <row r="44" spans="1:9" x14ac:dyDescent="0.25">
      <c r="A44" s="9"/>
      <c r="B44" s="9"/>
      <c r="C44" s="10"/>
      <c r="D44" s="9"/>
      <c r="E44" s="10"/>
      <c r="F44" s="9"/>
      <c r="G44" s="10"/>
      <c r="H44" s="9"/>
      <c r="I44" s="9"/>
    </row>
    <row r="45" spans="1:9" x14ac:dyDescent="0.25">
      <c r="A45" s="7">
        <v>1</v>
      </c>
      <c r="B45" s="7" t="s">
        <v>90</v>
      </c>
      <c r="C45" s="5" t="s">
        <v>91</v>
      </c>
      <c r="D45" s="7">
        <v>-42624.62</v>
      </c>
      <c r="E45" s="112">
        <v>332820.93</v>
      </c>
      <c r="F45" s="7">
        <v>331533.94</v>
      </c>
      <c r="G45" s="112">
        <f>E45</f>
        <v>332820.93</v>
      </c>
      <c r="H45" s="7">
        <f>D45+F45-G45</f>
        <v>-43911.609999999986</v>
      </c>
      <c r="I45" s="7">
        <f>H45</f>
        <v>-43911.609999999986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65"/>
      <c r="H46" s="9"/>
      <c r="I46" s="9"/>
    </row>
    <row r="47" spans="1:9" x14ac:dyDescent="0.25">
      <c r="A47" s="7">
        <v>2</v>
      </c>
      <c r="B47" s="7" t="s">
        <v>168</v>
      </c>
      <c r="C47" s="1" t="s">
        <v>95</v>
      </c>
      <c r="D47" s="7">
        <v>-119101.03</v>
      </c>
      <c r="E47" s="2">
        <v>517743.33</v>
      </c>
      <c r="F47" s="7">
        <v>520043.96</v>
      </c>
      <c r="G47" s="2">
        <f>E47</f>
        <v>517743.33</v>
      </c>
      <c r="H47" s="7">
        <f>D47+F47-G47</f>
        <v>-116800.39999999997</v>
      </c>
      <c r="I47" s="7">
        <f>H47</f>
        <v>-116800.39999999997</v>
      </c>
    </row>
    <row r="48" spans="1:9" x14ac:dyDescent="0.25">
      <c r="A48" s="9"/>
      <c r="B48" s="9" t="s">
        <v>313</v>
      </c>
      <c r="C48" s="41" t="s">
        <v>93</v>
      </c>
      <c r="D48" s="9"/>
      <c r="E48" s="10"/>
      <c r="F48" s="9"/>
      <c r="G48" s="10"/>
      <c r="H48" s="9"/>
      <c r="I48" s="9"/>
    </row>
    <row r="49" spans="1:9" x14ac:dyDescent="0.25">
      <c r="A49" s="9">
        <v>3</v>
      </c>
      <c r="B49" s="9" t="s">
        <v>98</v>
      </c>
      <c r="C49" s="41" t="s">
        <v>203</v>
      </c>
      <c r="D49" s="9">
        <v>-405259.98</v>
      </c>
      <c r="E49" s="10">
        <v>1309099.22</v>
      </c>
      <c r="F49" s="9">
        <v>1369654.28</v>
      </c>
      <c r="G49" s="10">
        <f>E49</f>
        <v>1309099.22</v>
      </c>
      <c r="H49" s="9">
        <f>D49+F49-G49</f>
        <v>-344704.91999999993</v>
      </c>
      <c r="I49" s="9">
        <f>H49</f>
        <v>-344704.91999999993</v>
      </c>
    </row>
    <row r="50" spans="1:9" x14ac:dyDescent="0.25">
      <c r="A50" s="1" t="s">
        <v>255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5" t="s">
        <v>256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8" t="s">
        <v>12</v>
      </c>
      <c r="B52" s="6" t="s">
        <v>102</v>
      </c>
      <c r="C52" s="58" t="s">
        <v>103</v>
      </c>
      <c r="D52" s="58"/>
      <c r="E52" s="58"/>
      <c r="F52" s="48" t="s">
        <v>222</v>
      </c>
      <c r="G52" s="58"/>
      <c r="H52" s="49"/>
      <c r="I52" s="6" t="s">
        <v>105</v>
      </c>
    </row>
    <row r="53" spans="1:9" x14ac:dyDescent="0.25">
      <c r="A53" s="51" t="s">
        <v>106</v>
      </c>
      <c r="B53" s="7" t="s">
        <v>71</v>
      </c>
      <c r="C53" s="60"/>
      <c r="D53" s="60"/>
      <c r="E53" s="60"/>
      <c r="F53" s="51" t="s">
        <v>224</v>
      </c>
      <c r="G53" s="60"/>
      <c r="H53" s="61"/>
      <c r="I53" s="7" t="s">
        <v>108</v>
      </c>
    </row>
    <row r="54" spans="1:9" x14ac:dyDescent="0.25">
      <c r="A54" s="51"/>
      <c r="B54" s="7"/>
      <c r="C54" s="60"/>
      <c r="D54" s="60"/>
      <c r="E54" s="60"/>
      <c r="F54" s="51" t="s">
        <v>257</v>
      </c>
      <c r="G54" s="60"/>
      <c r="H54" s="61"/>
      <c r="I54" s="7"/>
    </row>
    <row r="55" spans="1:9" x14ac:dyDescent="0.25">
      <c r="A55" s="51"/>
      <c r="B55" s="62"/>
      <c r="C55" s="60"/>
      <c r="D55" s="60"/>
      <c r="E55" s="60"/>
      <c r="F55" s="51" t="s">
        <v>258</v>
      </c>
      <c r="G55" s="60"/>
      <c r="H55" s="61"/>
      <c r="I55" s="7"/>
    </row>
    <row r="56" spans="1:9" x14ac:dyDescent="0.25">
      <c r="A56" s="67" t="s">
        <v>110</v>
      </c>
      <c r="B56" s="18"/>
      <c r="C56" s="68" t="s">
        <v>111</v>
      </c>
      <c r="D56" s="68"/>
      <c r="E56" s="68"/>
      <c r="F56" s="48"/>
      <c r="G56" s="58"/>
      <c r="H56" s="58"/>
      <c r="I56" s="6"/>
    </row>
    <row r="57" spans="1:9" x14ac:dyDescent="0.25">
      <c r="A57" s="69"/>
      <c r="B57" s="7"/>
      <c r="C57" s="60" t="s">
        <v>112</v>
      </c>
      <c r="D57" s="60"/>
      <c r="E57" s="60"/>
      <c r="F57" s="51" t="s">
        <v>71</v>
      </c>
      <c r="G57" s="37"/>
      <c r="H57" s="60" t="s">
        <v>71</v>
      </c>
      <c r="I57" s="7" t="s">
        <v>71</v>
      </c>
    </row>
    <row r="58" spans="1:9" x14ac:dyDescent="0.25">
      <c r="A58" s="69" t="s">
        <v>113</v>
      </c>
      <c r="B58" s="70">
        <v>42851</v>
      </c>
      <c r="C58" s="60" t="s">
        <v>114</v>
      </c>
      <c r="D58" s="60"/>
      <c r="E58" s="60"/>
      <c r="F58" s="51"/>
      <c r="G58" s="37">
        <f>I58/4268.2</f>
        <v>5.6698374021835907</v>
      </c>
      <c r="H58" s="60"/>
      <c r="I58" s="7">
        <v>24200</v>
      </c>
    </row>
    <row r="59" spans="1:9" x14ac:dyDescent="0.25">
      <c r="A59" s="69" t="s">
        <v>38</v>
      </c>
      <c r="B59" s="70">
        <v>42879</v>
      </c>
      <c r="C59" s="60" t="s">
        <v>1209</v>
      </c>
      <c r="D59" s="60"/>
      <c r="E59" s="60"/>
      <c r="F59" s="51"/>
      <c r="G59" s="37">
        <f>I59/4268.2</f>
        <v>23.429080174312357</v>
      </c>
      <c r="H59" s="60"/>
      <c r="I59" s="7">
        <v>100000</v>
      </c>
    </row>
    <row r="60" spans="1:9" x14ac:dyDescent="0.25">
      <c r="A60" s="69" t="s">
        <v>40</v>
      </c>
      <c r="B60" s="70">
        <v>43039</v>
      </c>
      <c r="C60" s="60" t="s">
        <v>1210</v>
      </c>
      <c r="D60" s="60"/>
      <c r="E60" s="60"/>
      <c r="F60" s="51"/>
      <c r="G60" s="37">
        <f>I60/4268.2</f>
        <v>1.5156131390281617</v>
      </c>
      <c r="H60" s="60"/>
      <c r="I60" s="7">
        <v>6468.94</v>
      </c>
    </row>
    <row r="61" spans="1:9" x14ac:dyDescent="0.25">
      <c r="A61" s="69" t="s">
        <v>42</v>
      </c>
      <c r="B61" s="70"/>
      <c r="C61" s="60"/>
      <c r="D61" s="60"/>
      <c r="E61" s="60"/>
      <c r="F61" s="51"/>
      <c r="G61" s="37"/>
      <c r="H61" s="60"/>
      <c r="I61" s="7"/>
    </row>
    <row r="62" spans="1:9" x14ac:dyDescent="0.25">
      <c r="A62" s="69"/>
      <c r="B62" s="70"/>
      <c r="C62" s="60"/>
      <c r="D62" s="60"/>
      <c r="E62" s="60"/>
      <c r="F62" s="51"/>
      <c r="G62" s="37"/>
      <c r="H62" s="60"/>
      <c r="I62" s="7"/>
    </row>
    <row r="63" spans="1:9" x14ac:dyDescent="0.25">
      <c r="A63" s="69"/>
      <c r="B63" s="7"/>
      <c r="C63" s="5" t="s">
        <v>118</v>
      </c>
      <c r="D63" s="5"/>
      <c r="E63" s="5"/>
      <c r="F63" s="59"/>
      <c r="G63" s="196">
        <f>SUM(G58:G62)</f>
        <v>30.614530715524111</v>
      </c>
      <c r="H63" s="5"/>
      <c r="I63" s="12">
        <f>SUM(I58:I62)</f>
        <v>130668.94</v>
      </c>
    </row>
    <row r="64" spans="1:9" x14ac:dyDescent="0.25">
      <c r="A64" s="6"/>
      <c r="B64" s="6"/>
      <c r="C64" s="48"/>
      <c r="D64" s="58"/>
      <c r="E64" s="49"/>
      <c r="F64" s="48"/>
      <c r="G64" s="86"/>
      <c r="H64" s="49"/>
    </row>
    <row r="65" spans="1:9" x14ac:dyDescent="0.25">
      <c r="A65" s="6" t="s">
        <v>48</v>
      </c>
      <c r="B65" s="25" t="s">
        <v>119</v>
      </c>
      <c r="C65" s="57" t="s">
        <v>120</v>
      </c>
      <c r="D65" s="58"/>
      <c r="E65" s="49"/>
      <c r="F65" s="48" t="s">
        <v>121</v>
      </c>
      <c r="G65" s="58"/>
      <c r="H65" s="49"/>
      <c r="I65" s="6"/>
    </row>
    <row r="66" spans="1:9" x14ac:dyDescent="0.25">
      <c r="A66" s="69" t="s">
        <v>182</v>
      </c>
      <c r="B66" s="70"/>
      <c r="C66" s="51"/>
      <c r="D66" s="60"/>
      <c r="E66" s="61"/>
      <c r="F66" s="51"/>
      <c r="G66" s="37"/>
      <c r="H66" s="61"/>
      <c r="I66" s="7"/>
    </row>
    <row r="67" spans="1:9" x14ac:dyDescent="0.25">
      <c r="A67" s="73"/>
      <c r="B67" s="62" t="s">
        <v>119</v>
      </c>
      <c r="C67" s="52" t="s">
        <v>118</v>
      </c>
      <c r="D67" s="74"/>
      <c r="E67" s="53"/>
      <c r="F67" s="52" t="s">
        <v>71</v>
      </c>
      <c r="G67" s="74">
        <v>0</v>
      </c>
      <c r="H67" s="53"/>
      <c r="I67" s="62">
        <v>0</v>
      </c>
    </row>
    <row r="68" spans="1:9" x14ac:dyDescent="0.25">
      <c r="A68" s="2" t="s">
        <v>1211</v>
      </c>
      <c r="B68" s="2"/>
      <c r="C68" s="114" t="s">
        <v>123</v>
      </c>
      <c r="E68" s="2" t="s">
        <v>124</v>
      </c>
      <c r="G68" s="2" t="s">
        <v>262</v>
      </c>
      <c r="H68" s="2"/>
      <c r="I68" s="2" t="s">
        <v>263</v>
      </c>
    </row>
    <row r="69" spans="1:9" x14ac:dyDescent="0.25">
      <c r="A69" s="2"/>
      <c r="B69" s="2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="110" zoomScaleNormal="110" workbookViewId="0">
      <selection activeCell="B10" sqref="B10"/>
    </sheetView>
  </sheetViews>
  <sheetFormatPr defaultRowHeight="15" x14ac:dyDescent="0.25"/>
  <cols>
    <col min="1" max="1" width="4.42578125" style="3" customWidth="1"/>
    <col min="2" max="2" width="32.140625" style="3" customWidth="1"/>
    <col min="3" max="3" width="13" style="3" customWidth="1"/>
    <col min="4" max="4" width="12.5703125" style="3" customWidth="1"/>
    <col min="5" max="7" width="9.140625" style="3"/>
    <col min="8" max="8" width="11.7109375" style="3" customWidth="1"/>
    <col min="9" max="9" width="20.4257812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3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1212</v>
      </c>
      <c r="B6" s="1"/>
      <c r="C6" s="2"/>
      <c r="D6" s="2"/>
      <c r="E6" s="2"/>
      <c r="F6" s="2"/>
      <c r="G6" s="2"/>
      <c r="H6" s="2"/>
      <c r="I6" s="2"/>
    </row>
    <row r="7" spans="1:9" x14ac:dyDescent="0.25">
      <c r="A7" s="2" t="s">
        <v>1213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1214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898</v>
      </c>
      <c r="C18" s="15">
        <v>7.97</v>
      </c>
      <c r="D18" s="17">
        <v>-6109.07</v>
      </c>
      <c r="E18" s="17">
        <v>404586.23999999999</v>
      </c>
      <c r="F18" s="14">
        <v>392413.84</v>
      </c>
      <c r="G18" s="17">
        <f t="shared" ref="G18:G25" si="0">E18</f>
        <v>404586.23999999999</v>
      </c>
      <c r="H18" s="16">
        <f>D18+F18-G18</f>
        <v>-18281.469999999972</v>
      </c>
      <c r="I18" s="17">
        <f>H18</f>
        <v>-18281.469999999972</v>
      </c>
    </row>
    <row r="19" spans="1:9" x14ac:dyDescent="0.25">
      <c r="A19" s="73" t="s">
        <v>113</v>
      </c>
      <c r="B19" s="62" t="s">
        <v>37</v>
      </c>
      <c r="C19" s="74">
        <v>2.62</v>
      </c>
      <c r="D19" s="54"/>
      <c r="E19" s="141">
        <f>E18*33%</f>
        <v>133513.45920000001</v>
      </c>
      <c r="F19" s="54">
        <f>F18*33%</f>
        <v>129496.56720000002</v>
      </c>
      <c r="G19" s="54">
        <f t="shared" si="0"/>
        <v>133513.45920000001</v>
      </c>
      <c r="H19" s="55"/>
      <c r="I19" s="54"/>
    </row>
    <row r="20" spans="1:9" x14ac:dyDescent="0.25">
      <c r="A20" s="24" t="s">
        <v>38</v>
      </c>
      <c r="B20" s="6" t="s">
        <v>39</v>
      </c>
      <c r="C20" s="58">
        <v>1.33</v>
      </c>
      <c r="D20" s="75"/>
      <c r="E20" s="75">
        <f>E18*17%</f>
        <v>68779.660799999998</v>
      </c>
      <c r="F20" s="75">
        <f>F18*17%</f>
        <v>66710.352800000008</v>
      </c>
      <c r="G20" s="75">
        <f t="shared" si="0"/>
        <v>68779.660799999998</v>
      </c>
      <c r="H20" s="105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29"/>
      <c r="E21" s="75">
        <f>E18*20%</f>
        <v>80917.248000000007</v>
      </c>
      <c r="F21" s="75">
        <f>F18*20%</f>
        <v>78482.768000000011</v>
      </c>
      <c r="G21" s="29">
        <f t="shared" si="0"/>
        <v>80917.248000000007</v>
      </c>
      <c r="H21" s="110"/>
      <c r="I21" s="29"/>
    </row>
    <row r="22" spans="1:9" x14ac:dyDescent="0.25">
      <c r="A22" s="24" t="s">
        <v>42</v>
      </c>
      <c r="B22" s="6" t="s">
        <v>43</v>
      </c>
      <c r="C22" s="58">
        <v>2.39</v>
      </c>
      <c r="D22" s="29"/>
      <c r="E22" s="75">
        <f>E18*30%</f>
        <v>121375.87199999999</v>
      </c>
      <c r="F22" s="75">
        <f>F18*30%</f>
        <v>117724.152</v>
      </c>
      <c r="G22" s="40">
        <f t="shared" si="0"/>
        <v>121375.87199999999</v>
      </c>
      <c r="H22" s="40"/>
      <c r="I22" s="29"/>
    </row>
    <row r="23" spans="1:9" x14ac:dyDescent="0.25">
      <c r="A23" s="24" t="s">
        <v>44</v>
      </c>
      <c r="B23" s="6" t="s">
        <v>45</v>
      </c>
      <c r="C23" s="58">
        <v>8.6400000000000001E-3</v>
      </c>
      <c r="D23" s="29"/>
      <c r="E23" s="75">
        <v>438.36</v>
      </c>
      <c r="F23" s="75">
        <v>419.82</v>
      </c>
      <c r="G23" s="40">
        <f>E23</f>
        <v>438.36</v>
      </c>
      <c r="H23" s="34">
        <f>F23-E23</f>
        <v>-18.54000000000002</v>
      </c>
      <c r="I23" s="43">
        <f>H23</f>
        <v>-18.54000000000002</v>
      </c>
    </row>
    <row r="24" spans="1:9" x14ac:dyDescent="0.25">
      <c r="A24" s="24" t="s">
        <v>46</v>
      </c>
      <c r="B24" s="6" t="s">
        <v>47</v>
      </c>
      <c r="C24" s="58">
        <v>0.86736999999999997</v>
      </c>
      <c r="D24" s="29"/>
      <c r="E24" s="10">
        <v>46303.9</v>
      </c>
      <c r="F24" s="9">
        <v>40649.64</v>
      </c>
      <c r="G24" s="10">
        <f>E24</f>
        <v>46303.9</v>
      </c>
      <c r="H24" s="11">
        <f>F24-E24</f>
        <v>-5654.260000000002</v>
      </c>
      <c r="I24" s="11">
        <f>H24</f>
        <v>-5654.260000000002</v>
      </c>
    </row>
    <row r="25" spans="1:9" x14ac:dyDescent="0.25">
      <c r="A25" s="11" t="s">
        <v>48</v>
      </c>
      <c r="B25" s="11" t="s">
        <v>49</v>
      </c>
      <c r="C25" s="42" t="s">
        <v>50</v>
      </c>
      <c r="D25" s="43">
        <v>-18367.73</v>
      </c>
      <c r="E25" s="11">
        <v>171834.48</v>
      </c>
      <c r="F25" s="11">
        <v>160358.68</v>
      </c>
      <c r="G25" s="11">
        <f t="shared" si="0"/>
        <v>171834.48</v>
      </c>
      <c r="H25" s="42">
        <f>D25+F25-G25</f>
        <v>-29843.530000000028</v>
      </c>
      <c r="I25" s="43">
        <f>H25</f>
        <v>-29843.530000000028</v>
      </c>
    </row>
    <row r="26" spans="1:9" x14ac:dyDescent="0.25">
      <c r="A26" s="12" t="s">
        <v>51</v>
      </c>
      <c r="B26" s="12" t="s">
        <v>1215</v>
      </c>
      <c r="C26" s="14">
        <v>1.82</v>
      </c>
      <c r="D26" s="12">
        <v>62919.43</v>
      </c>
      <c r="E26" s="12">
        <v>92390.04</v>
      </c>
      <c r="F26" s="15">
        <v>89627.5</v>
      </c>
      <c r="G26" s="12">
        <f>I62</f>
        <v>40945.86</v>
      </c>
      <c r="H26" s="14">
        <f>D26+F26-G26</f>
        <v>111601.06999999999</v>
      </c>
      <c r="I26" s="43"/>
    </row>
    <row r="27" spans="1:9" x14ac:dyDescent="0.25">
      <c r="A27" s="12" t="s">
        <v>55</v>
      </c>
      <c r="B27" s="12" t="s">
        <v>909</v>
      </c>
      <c r="C27" s="16"/>
      <c r="D27" s="15">
        <v>17407.89</v>
      </c>
      <c r="E27" s="12">
        <v>0</v>
      </c>
      <c r="F27" s="12">
        <f>F28</f>
        <v>305.16000000000003</v>
      </c>
      <c r="G27" s="14">
        <f>G28+G29</f>
        <v>0</v>
      </c>
      <c r="H27" s="15">
        <f>D27+F27-G27</f>
        <v>17713.05</v>
      </c>
      <c r="I27" s="17"/>
    </row>
    <row r="28" spans="1:9" x14ac:dyDescent="0.25">
      <c r="A28" s="9"/>
      <c r="B28" s="9" t="s">
        <v>149</v>
      </c>
      <c r="C28" s="39"/>
      <c r="D28" s="52"/>
      <c r="E28" s="12">
        <v>0</v>
      </c>
      <c r="F28" s="12">
        <v>305.16000000000003</v>
      </c>
      <c r="G28" s="74">
        <f>I66</f>
        <v>0</v>
      </c>
      <c r="H28" s="52"/>
      <c r="I28" s="29"/>
    </row>
    <row r="29" spans="1:9" x14ac:dyDescent="0.25">
      <c r="A29" s="9"/>
      <c r="B29" s="9" t="s">
        <v>54</v>
      </c>
      <c r="C29" s="10"/>
      <c r="D29" s="8">
        <v>0</v>
      </c>
      <c r="E29" s="9">
        <v>0</v>
      </c>
      <c r="F29" s="9">
        <v>0</v>
      </c>
      <c r="G29" s="10">
        <v>0</v>
      </c>
      <c r="H29" s="8"/>
      <c r="I29" s="54"/>
    </row>
    <row r="30" spans="1:9" x14ac:dyDescent="0.25">
      <c r="A30" s="1" t="s">
        <v>58</v>
      </c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1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1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5" t="s">
        <v>59</v>
      </c>
      <c r="B33" s="58" t="s">
        <v>60</v>
      </c>
      <c r="C33" s="6" t="s">
        <v>64</v>
      </c>
      <c r="D33" s="49" t="s">
        <v>62</v>
      </c>
      <c r="E33" s="58" t="s">
        <v>63</v>
      </c>
      <c r="F33" s="6" t="s">
        <v>64</v>
      </c>
      <c r="G33" s="6"/>
      <c r="H33" s="58" t="s">
        <v>199</v>
      </c>
      <c r="I33" s="49"/>
    </row>
    <row r="34" spans="1:9" x14ac:dyDescent="0.25">
      <c r="A34" s="7"/>
      <c r="B34" s="60"/>
      <c r="C34" s="62" t="s">
        <v>66</v>
      </c>
      <c r="D34" s="53" t="s">
        <v>23</v>
      </c>
      <c r="E34" s="74" t="s">
        <v>312</v>
      </c>
      <c r="F34" s="62" t="s">
        <v>30</v>
      </c>
      <c r="G34" s="62"/>
      <c r="H34" s="74"/>
      <c r="I34" s="53"/>
    </row>
    <row r="35" spans="1:9" x14ac:dyDescent="0.25">
      <c r="A35" s="12"/>
      <c r="B35" s="74" t="s">
        <v>68</v>
      </c>
      <c r="C35" s="29">
        <v>16498.5</v>
      </c>
      <c r="D35" s="9">
        <v>9153</v>
      </c>
      <c r="E35" s="79">
        <f>D35*15%</f>
        <v>1372.95</v>
      </c>
      <c r="F35" s="54">
        <f>C35+(D35-E35)</f>
        <v>24278.55</v>
      </c>
      <c r="G35" s="54"/>
      <c r="H35" s="79">
        <f>F35-G35</f>
        <v>24278.55</v>
      </c>
      <c r="I35" s="53"/>
    </row>
    <row r="36" spans="1:9" x14ac:dyDescent="0.25">
      <c r="A36" s="5"/>
      <c r="B36" s="60"/>
      <c r="C36" s="37"/>
      <c r="D36" s="60"/>
      <c r="E36" s="37"/>
      <c r="F36" s="37"/>
      <c r="G36" s="37"/>
      <c r="H36" s="37"/>
      <c r="I36" s="60"/>
    </row>
    <row r="37" spans="1:9" x14ac:dyDescent="0.25">
      <c r="A37" s="60"/>
      <c r="B37" s="60"/>
      <c r="C37" s="60"/>
      <c r="D37" s="37"/>
      <c r="E37" s="37"/>
      <c r="F37" s="37"/>
      <c r="G37" s="37"/>
      <c r="H37" s="37"/>
      <c r="I37" s="60"/>
    </row>
    <row r="38" spans="1:9" x14ac:dyDescent="0.25">
      <c r="A38" s="1" t="s">
        <v>252</v>
      </c>
      <c r="B38" s="1"/>
      <c r="C38" s="1"/>
      <c r="D38" s="47"/>
      <c r="E38" s="1"/>
      <c r="F38" s="1"/>
      <c r="G38" s="1"/>
      <c r="H38" s="1"/>
      <c r="I38" s="1"/>
    </row>
    <row r="39" spans="1:9" x14ac:dyDescent="0.25">
      <c r="A39" s="6" t="s">
        <v>71</v>
      </c>
      <c r="B39" s="57" t="s">
        <v>72</v>
      </c>
      <c r="C39" s="6" t="s">
        <v>73</v>
      </c>
      <c r="D39" s="58" t="s">
        <v>74</v>
      </c>
      <c r="E39" s="6" t="s">
        <v>75</v>
      </c>
      <c r="F39" s="58" t="s">
        <v>76</v>
      </c>
      <c r="G39" s="6" t="s">
        <v>253</v>
      </c>
      <c r="H39" s="6" t="s">
        <v>78</v>
      </c>
      <c r="I39" s="6" t="s">
        <v>19</v>
      </c>
    </row>
    <row r="40" spans="1:9" x14ac:dyDescent="0.25">
      <c r="A40" s="7"/>
      <c r="B40" s="59" t="s">
        <v>79</v>
      </c>
      <c r="C40" s="7" t="s">
        <v>80</v>
      </c>
      <c r="D40" s="60" t="s">
        <v>81</v>
      </c>
      <c r="E40" s="7" t="s">
        <v>82</v>
      </c>
      <c r="F40" s="60" t="s">
        <v>83</v>
      </c>
      <c r="G40" s="7" t="s">
        <v>84</v>
      </c>
      <c r="H40" s="7" t="s">
        <v>85</v>
      </c>
      <c r="I40" s="7" t="s">
        <v>86</v>
      </c>
    </row>
    <row r="41" spans="1:9" x14ac:dyDescent="0.25">
      <c r="A41" s="7"/>
      <c r="B41" s="51"/>
      <c r="C41" s="7"/>
      <c r="D41" s="60"/>
      <c r="E41" s="7"/>
      <c r="F41" s="60" t="s">
        <v>87</v>
      </c>
      <c r="G41" s="7" t="s">
        <v>88</v>
      </c>
      <c r="H41" s="7"/>
      <c r="I41" s="7" t="s">
        <v>30</v>
      </c>
    </row>
    <row r="42" spans="1:9" x14ac:dyDescent="0.25">
      <c r="A42" s="7"/>
      <c r="B42" s="51"/>
      <c r="C42" s="7"/>
      <c r="D42" s="60"/>
      <c r="E42" s="7"/>
      <c r="F42" s="60"/>
      <c r="G42" s="7"/>
      <c r="H42" s="7"/>
      <c r="I42" s="7"/>
    </row>
    <row r="43" spans="1:9" x14ac:dyDescent="0.25">
      <c r="A43" s="9"/>
      <c r="B43" s="8"/>
      <c r="C43" s="9"/>
      <c r="D43" s="9"/>
      <c r="E43" s="10"/>
      <c r="F43" s="9"/>
      <c r="G43" s="10"/>
      <c r="H43" s="9"/>
      <c r="I43" s="9"/>
    </row>
    <row r="44" spans="1:9" x14ac:dyDescent="0.25">
      <c r="A44" s="7">
        <v>1</v>
      </c>
      <c r="B44" s="7" t="s">
        <v>90</v>
      </c>
      <c r="C44" s="5" t="s">
        <v>91</v>
      </c>
      <c r="D44" s="7">
        <v>-31573.08</v>
      </c>
      <c r="E44" s="112">
        <v>314836.38</v>
      </c>
      <c r="F44" s="7">
        <v>305253.82</v>
      </c>
      <c r="G44" s="112">
        <f>E44</f>
        <v>314836.38</v>
      </c>
      <c r="H44" s="7">
        <f>D44+F44-G44</f>
        <v>-41155.640000000014</v>
      </c>
      <c r="I44" s="7">
        <f>H44</f>
        <v>-41155.640000000014</v>
      </c>
    </row>
    <row r="45" spans="1:9" x14ac:dyDescent="0.25">
      <c r="A45" s="9"/>
      <c r="B45" s="9" t="s">
        <v>92</v>
      </c>
      <c r="C45" s="41" t="s">
        <v>93</v>
      </c>
      <c r="D45" s="9"/>
      <c r="E45" s="65"/>
      <c r="F45" s="9"/>
      <c r="G45" s="65"/>
      <c r="H45" s="9"/>
      <c r="I45" s="9"/>
    </row>
    <row r="46" spans="1:9" x14ac:dyDescent="0.25">
      <c r="A46" s="7">
        <v>2</v>
      </c>
      <c r="B46" s="7" t="s">
        <v>168</v>
      </c>
      <c r="C46" s="1" t="s">
        <v>95</v>
      </c>
      <c r="D46" s="7">
        <v>-112164.86</v>
      </c>
      <c r="E46" s="2">
        <v>484741.44</v>
      </c>
      <c r="F46" s="7">
        <v>450007</v>
      </c>
      <c r="G46" s="2">
        <f>E46</f>
        <v>484741.44</v>
      </c>
      <c r="H46" s="7">
        <f>D46+F46-G46</f>
        <v>-146899.29999999999</v>
      </c>
      <c r="I46" s="7">
        <f>H46</f>
        <v>-146899.29999999999</v>
      </c>
    </row>
    <row r="47" spans="1:9" x14ac:dyDescent="0.25">
      <c r="A47" s="9"/>
      <c r="B47" s="9" t="s">
        <v>202</v>
      </c>
      <c r="C47" s="41" t="s">
        <v>93</v>
      </c>
      <c r="D47" s="9"/>
      <c r="E47" s="10"/>
      <c r="F47" s="9"/>
      <c r="G47" s="10"/>
      <c r="H47" s="9"/>
      <c r="I47" s="9"/>
    </row>
    <row r="48" spans="1:9" x14ac:dyDescent="0.25">
      <c r="A48" s="9">
        <v>3</v>
      </c>
      <c r="B48" s="9" t="s">
        <v>98</v>
      </c>
      <c r="C48" s="41" t="s">
        <v>203</v>
      </c>
      <c r="D48" s="9">
        <v>-432328.56</v>
      </c>
      <c r="E48" s="10">
        <v>1484638.82</v>
      </c>
      <c r="F48" s="9">
        <v>1442608.24</v>
      </c>
      <c r="G48" s="10">
        <f>E48</f>
        <v>1484638.82</v>
      </c>
      <c r="H48" s="9">
        <f>D48+F48-G48</f>
        <v>-474359.14000000013</v>
      </c>
      <c r="I48" s="9">
        <f>H48</f>
        <v>-474359.14000000013</v>
      </c>
    </row>
    <row r="49" spans="1:9" x14ac:dyDescent="0.25">
      <c r="A49" s="1" t="s">
        <v>255</v>
      </c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" t="s">
        <v>256</v>
      </c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48" t="s">
        <v>12</v>
      </c>
      <c r="B51" s="6" t="s">
        <v>749</v>
      </c>
      <c r="C51" s="58" t="s">
        <v>103</v>
      </c>
      <c r="D51" s="58"/>
      <c r="E51" s="58"/>
      <c r="F51" s="48" t="s">
        <v>222</v>
      </c>
      <c r="G51" s="58"/>
      <c r="H51" s="49"/>
      <c r="I51" s="6" t="s">
        <v>105</v>
      </c>
    </row>
    <row r="52" spans="1:9" x14ac:dyDescent="0.25">
      <c r="A52" s="51" t="s">
        <v>106</v>
      </c>
      <c r="B52" s="7"/>
      <c r="C52" s="60"/>
      <c r="D52" s="60"/>
      <c r="E52" s="60"/>
      <c r="F52" s="51" t="s">
        <v>224</v>
      </c>
      <c r="G52" s="60"/>
      <c r="H52" s="61"/>
      <c r="I52" s="7" t="s">
        <v>108</v>
      </c>
    </row>
    <row r="53" spans="1:9" x14ac:dyDescent="0.25">
      <c r="A53" s="51"/>
      <c r="B53" s="7"/>
      <c r="C53" s="60"/>
      <c r="D53" s="60"/>
      <c r="E53" s="60"/>
      <c r="F53" s="51" t="s">
        <v>257</v>
      </c>
      <c r="G53" s="60"/>
      <c r="H53" s="61"/>
      <c r="I53" s="7"/>
    </row>
    <row r="54" spans="1:9" x14ac:dyDescent="0.25">
      <c r="A54" s="51"/>
      <c r="B54" s="62"/>
      <c r="C54" s="60"/>
      <c r="D54" s="60"/>
      <c r="E54" s="60"/>
      <c r="F54" s="51" t="s">
        <v>258</v>
      </c>
      <c r="G54" s="60"/>
      <c r="H54" s="61"/>
      <c r="I54" s="7"/>
    </row>
    <row r="55" spans="1:9" x14ac:dyDescent="0.25">
      <c r="A55" s="67" t="s">
        <v>110</v>
      </c>
      <c r="B55" s="72"/>
      <c r="C55" s="68" t="s">
        <v>111</v>
      </c>
      <c r="D55" s="68"/>
      <c r="E55" s="68"/>
      <c r="F55" s="48"/>
      <c r="G55" s="58"/>
      <c r="H55" s="58"/>
      <c r="I55" s="6"/>
    </row>
    <row r="56" spans="1:9" x14ac:dyDescent="0.25">
      <c r="A56" s="69"/>
      <c r="B56" s="61"/>
      <c r="C56" s="60" t="s">
        <v>112</v>
      </c>
      <c r="D56" s="60"/>
      <c r="E56" s="60"/>
      <c r="F56" s="51" t="s">
        <v>71</v>
      </c>
      <c r="G56" s="37"/>
      <c r="H56" s="60" t="s">
        <v>71</v>
      </c>
      <c r="I56" s="7" t="s">
        <v>71</v>
      </c>
    </row>
    <row r="57" spans="1:9" x14ac:dyDescent="0.25">
      <c r="A57" s="120" t="s">
        <v>113</v>
      </c>
      <c r="B57" s="89" t="s">
        <v>1216</v>
      </c>
      <c r="C57" s="114" t="s">
        <v>1217</v>
      </c>
      <c r="F57" s="251"/>
      <c r="G57" s="37">
        <f>I57/4230.3</f>
        <v>5.7206344703685312</v>
      </c>
      <c r="H57" s="118"/>
      <c r="I57" s="7">
        <v>24200</v>
      </c>
    </row>
    <row r="58" spans="1:9" x14ac:dyDescent="0.25">
      <c r="A58" s="120" t="s">
        <v>38</v>
      </c>
      <c r="B58" s="113" t="s">
        <v>180</v>
      </c>
      <c r="C58" s="60" t="s">
        <v>1218</v>
      </c>
      <c r="D58" s="60"/>
      <c r="E58" s="60"/>
      <c r="F58" s="51"/>
      <c r="G58" s="37">
        <f t="shared" ref="G58:G59" si="1">I58/4230.3</f>
        <v>1.1058766517741057</v>
      </c>
      <c r="H58" s="60"/>
      <c r="I58" s="7">
        <v>4678.1899999999996</v>
      </c>
    </row>
    <row r="59" spans="1:9" x14ac:dyDescent="0.25">
      <c r="A59" s="69" t="s">
        <v>40</v>
      </c>
      <c r="B59" s="89" t="s">
        <v>447</v>
      </c>
      <c r="C59" s="114" t="s">
        <v>1219</v>
      </c>
      <c r="F59" s="251"/>
      <c r="G59" s="37">
        <f t="shared" si="1"/>
        <v>2.3798950429047583</v>
      </c>
      <c r="H59" s="118"/>
      <c r="I59" s="7">
        <v>10067.67</v>
      </c>
    </row>
    <row r="60" spans="1:9" x14ac:dyDescent="0.25">
      <c r="A60" s="69" t="s">
        <v>42</v>
      </c>
      <c r="B60" s="89" t="s">
        <v>1220</v>
      </c>
      <c r="C60" s="114" t="s">
        <v>116</v>
      </c>
      <c r="F60" s="251"/>
      <c r="G60" s="37">
        <f>I60/4230.3</f>
        <v>0.47277970829491994</v>
      </c>
      <c r="H60" s="118"/>
      <c r="I60" s="7">
        <v>2000</v>
      </c>
    </row>
    <row r="61" spans="1:9" x14ac:dyDescent="0.25">
      <c r="A61" s="69"/>
      <c r="B61" s="89"/>
      <c r="C61" s="114"/>
      <c r="F61" s="251"/>
      <c r="G61" s="37"/>
      <c r="H61" s="118"/>
      <c r="I61" s="7"/>
    </row>
    <row r="62" spans="1:9" x14ac:dyDescent="0.25">
      <c r="A62" s="73"/>
      <c r="B62" s="257"/>
      <c r="C62" s="5" t="s">
        <v>118</v>
      </c>
      <c r="D62" s="5"/>
      <c r="E62" s="5"/>
      <c r="F62" s="15"/>
      <c r="G62" s="258">
        <f>SUM(G56:G61)</f>
        <v>9.6791858733423162</v>
      </c>
      <c r="H62" s="14"/>
      <c r="I62" s="12">
        <f>SUM(I57:I61)</f>
        <v>40945.86</v>
      </c>
    </row>
    <row r="63" spans="1:9" x14ac:dyDescent="0.25">
      <c r="A63" s="6"/>
      <c r="B63" s="6"/>
      <c r="C63" s="48"/>
      <c r="D63" s="58"/>
      <c r="E63" s="49"/>
      <c r="F63" s="48"/>
      <c r="G63" s="86"/>
      <c r="H63" s="49"/>
    </row>
    <row r="64" spans="1:9" x14ac:dyDescent="0.25">
      <c r="A64" s="6" t="s">
        <v>48</v>
      </c>
      <c r="B64" s="25" t="s">
        <v>119</v>
      </c>
      <c r="C64" s="57" t="s">
        <v>120</v>
      </c>
      <c r="D64" s="58"/>
      <c r="E64" s="49"/>
      <c r="F64" s="48" t="s">
        <v>121</v>
      </c>
      <c r="G64" s="58"/>
      <c r="H64" s="49"/>
      <c r="I64" s="6"/>
    </row>
    <row r="65" spans="1:9" x14ac:dyDescent="0.25">
      <c r="A65" s="120"/>
      <c r="B65" s="113"/>
      <c r="C65" s="60"/>
      <c r="D65" s="60"/>
      <c r="E65" s="60"/>
      <c r="F65" s="51"/>
      <c r="G65" s="37"/>
      <c r="H65" s="60"/>
      <c r="I65" s="7"/>
    </row>
    <row r="66" spans="1:9" x14ac:dyDescent="0.25">
      <c r="A66" s="73"/>
      <c r="B66" s="62" t="s">
        <v>119</v>
      </c>
      <c r="C66" s="15" t="s">
        <v>118</v>
      </c>
      <c r="D66" s="14"/>
      <c r="E66" s="85"/>
      <c r="F66" s="15" t="s">
        <v>71</v>
      </c>
      <c r="G66" s="78">
        <f>SUM(G65)</f>
        <v>0</v>
      </c>
      <c r="H66" s="85"/>
      <c r="I66" s="12">
        <f>SUM(I65)</f>
        <v>0</v>
      </c>
    </row>
    <row r="67" spans="1:9" x14ac:dyDescent="0.25">
      <c r="A67" s="2" t="s">
        <v>680</v>
      </c>
      <c r="B67" s="2"/>
      <c r="C67" s="2"/>
      <c r="D67" s="114" t="s">
        <v>123</v>
      </c>
      <c r="F67" s="2" t="s">
        <v>1221</v>
      </c>
      <c r="G67" s="2"/>
      <c r="H67" s="259"/>
      <c r="I67" s="2" t="s">
        <v>1222</v>
      </c>
    </row>
    <row r="68" spans="1:9" x14ac:dyDescent="0.25">
      <c r="A68" s="2"/>
      <c r="B68" s="2"/>
      <c r="G68" s="10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10" zoomScale="110" zoomScaleNormal="110" workbookViewId="0">
      <selection activeCell="B23" sqref="B23:B24"/>
    </sheetView>
  </sheetViews>
  <sheetFormatPr defaultRowHeight="15" x14ac:dyDescent="0.25"/>
  <cols>
    <col min="1" max="1" width="4.85546875" style="3" customWidth="1"/>
    <col min="2" max="2" width="40.5703125" style="3" customWidth="1"/>
    <col min="3" max="3" width="12.28515625" style="3" customWidth="1"/>
    <col min="4" max="4" width="9.85546875" style="3" customWidth="1"/>
    <col min="5" max="5" width="9.5703125" style="3" customWidth="1"/>
    <col min="6" max="6" width="10.28515625" style="3" customWidth="1"/>
    <col min="7" max="7" width="10.5703125" style="3" customWidth="1"/>
    <col min="8" max="8" width="11.5703125" style="3" customWidth="1"/>
    <col min="9" max="9" width="18.42578125" style="3" customWidth="1"/>
    <col min="10" max="16384" width="9.140625" style="3"/>
  </cols>
  <sheetData>
    <row r="1" spans="1:9" x14ac:dyDescent="0.25">
      <c r="A1" s="1" t="s">
        <v>0</v>
      </c>
      <c r="B1" s="1"/>
      <c r="C1" s="117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17"/>
      <c r="D2" s="1"/>
      <c r="E2" s="1"/>
      <c r="F2" s="1"/>
      <c r="G2" s="1"/>
      <c r="H2" s="1"/>
      <c r="I2" s="100"/>
    </row>
    <row r="3" spans="1:9" x14ac:dyDescent="0.25">
      <c r="A3" s="1" t="s">
        <v>2</v>
      </c>
      <c r="B3" s="1"/>
      <c r="C3" s="117"/>
      <c r="D3" s="1"/>
      <c r="E3" s="1"/>
      <c r="F3" s="1"/>
      <c r="G3" s="1"/>
      <c r="H3" s="1"/>
      <c r="I3" s="1"/>
    </row>
    <row r="4" spans="1:9" x14ac:dyDescent="0.25">
      <c r="A4" s="1" t="s">
        <v>3</v>
      </c>
      <c r="B4" s="1"/>
      <c r="C4" s="117"/>
      <c r="D4" s="1"/>
      <c r="E4" s="1"/>
      <c r="F4" s="1"/>
      <c r="G4" s="1"/>
      <c r="H4" s="1"/>
      <c r="I4" s="1"/>
    </row>
    <row r="5" spans="1:9" x14ac:dyDescent="0.25">
      <c r="A5" s="1"/>
      <c r="B5" s="1"/>
      <c r="C5" s="117"/>
      <c r="D5" s="1"/>
      <c r="E5" s="1"/>
      <c r="F5" s="1"/>
      <c r="G5" s="1"/>
      <c r="H5" s="1"/>
      <c r="I5" s="2"/>
    </row>
    <row r="6" spans="1:9" x14ac:dyDescent="0.25">
      <c r="A6" s="1" t="s">
        <v>4</v>
      </c>
      <c r="B6" s="2"/>
      <c r="C6" s="102"/>
      <c r="D6" s="2"/>
      <c r="E6" s="2"/>
      <c r="F6" s="2"/>
      <c r="G6" s="2"/>
      <c r="H6" s="2"/>
      <c r="I6" s="2"/>
    </row>
    <row r="7" spans="1:9" x14ac:dyDescent="0.25">
      <c r="A7" s="1" t="s">
        <v>279</v>
      </c>
      <c r="B7" s="2"/>
      <c r="C7" s="102"/>
      <c r="D7" s="2"/>
      <c r="E7" s="2"/>
      <c r="F7" s="2"/>
      <c r="G7" s="2"/>
      <c r="H7" s="2"/>
      <c r="I7" s="2"/>
    </row>
    <row r="8" spans="1:9" x14ac:dyDescent="0.25">
      <c r="A8" s="2" t="s">
        <v>280</v>
      </c>
      <c r="B8" s="2"/>
      <c r="C8" s="102"/>
      <c r="D8" s="2"/>
      <c r="E8" s="2"/>
      <c r="F8" s="2"/>
      <c r="G8" s="2"/>
      <c r="H8" s="2"/>
      <c r="I8" s="2"/>
    </row>
    <row r="9" spans="1:9" x14ac:dyDescent="0.25">
      <c r="A9" s="2" t="s">
        <v>281</v>
      </c>
      <c r="B9" s="2"/>
      <c r="C9" s="102"/>
      <c r="D9" s="2"/>
      <c r="E9" s="2"/>
      <c r="F9" s="2"/>
      <c r="G9" s="2"/>
      <c r="H9" s="2"/>
      <c r="I9" s="2"/>
    </row>
    <row r="10" spans="1:9" x14ac:dyDescent="0.25">
      <c r="A10" s="2" t="s">
        <v>267</v>
      </c>
      <c r="B10" s="2"/>
      <c r="C10" s="102"/>
      <c r="D10" s="2"/>
      <c r="E10" s="2"/>
      <c r="F10" s="2"/>
      <c r="G10" s="2"/>
      <c r="H10" s="2"/>
      <c r="I10" s="2"/>
    </row>
    <row r="11" spans="1:9" x14ac:dyDescent="0.25">
      <c r="A11" s="1" t="s">
        <v>9</v>
      </c>
      <c r="B11" s="2"/>
      <c r="C11" s="102"/>
      <c r="D11" s="2"/>
      <c r="E11" s="2"/>
      <c r="F11" s="2"/>
      <c r="G11" s="2"/>
      <c r="H11" s="2"/>
      <c r="I11" s="2"/>
    </row>
    <row r="12" spans="1:9" x14ac:dyDescent="0.25">
      <c r="A12" s="1" t="s">
        <v>10</v>
      </c>
      <c r="B12" s="2"/>
      <c r="C12" s="102"/>
      <c r="D12" s="2"/>
      <c r="E12" s="2"/>
      <c r="F12" s="2"/>
      <c r="G12" s="2"/>
      <c r="H12" s="2"/>
      <c r="I12" s="2"/>
    </row>
    <row r="13" spans="1:9" x14ac:dyDescent="0.25">
      <c r="A13" s="5" t="s">
        <v>11</v>
      </c>
      <c r="B13" s="2"/>
      <c r="C13" s="102"/>
      <c r="D13" s="2"/>
      <c r="E13" s="2"/>
      <c r="F13" s="2"/>
      <c r="G13" s="2"/>
      <c r="H13" s="2"/>
      <c r="I13" s="2"/>
    </row>
    <row r="14" spans="1:9" x14ac:dyDescent="0.25">
      <c r="A14" s="6" t="s">
        <v>12</v>
      </c>
      <c r="B14" s="6" t="s">
        <v>13</v>
      </c>
      <c r="C14" s="75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15</v>
      </c>
      <c r="I14" s="6" t="s">
        <v>19</v>
      </c>
    </row>
    <row r="15" spans="1:9" x14ac:dyDescent="0.25">
      <c r="A15" s="7" t="s">
        <v>20</v>
      </c>
      <c r="B15" s="7"/>
      <c r="C15" s="22" t="s">
        <v>232</v>
      </c>
      <c r="D15" s="7" t="s">
        <v>22</v>
      </c>
      <c r="E15" s="7" t="s">
        <v>23</v>
      </c>
      <c r="F15" s="7" t="s">
        <v>23</v>
      </c>
      <c r="G15" s="7" t="s">
        <v>24</v>
      </c>
      <c r="H15" s="7" t="s">
        <v>25</v>
      </c>
      <c r="I15" s="7" t="s">
        <v>26</v>
      </c>
    </row>
    <row r="16" spans="1:9" x14ac:dyDescent="0.25">
      <c r="A16" s="7"/>
      <c r="B16" s="7"/>
      <c r="C16" s="22" t="s">
        <v>27</v>
      </c>
      <c r="D16" s="7" t="s">
        <v>28</v>
      </c>
      <c r="E16" s="7"/>
      <c r="F16" s="7"/>
      <c r="G16" s="7" t="s">
        <v>29</v>
      </c>
      <c r="H16" s="7" t="s">
        <v>30</v>
      </c>
      <c r="I16" s="7" t="s">
        <v>31</v>
      </c>
    </row>
    <row r="17" spans="1:9" x14ac:dyDescent="0.25">
      <c r="A17" s="7"/>
      <c r="B17" s="7"/>
      <c r="C17" s="22" t="s">
        <v>32</v>
      </c>
      <c r="D17" s="7" t="s">
        <v>33</v>
      </c>
      <c r="E17" s="7" t="s">
        <v>33</v>
      </c>
      <c r="F17" s="7" t="s">
        <v>33</v>
      </c>
      <c r="G17" s="7" t="s">
        <v>33</v>
      </c>
      <c r="H17" s="7" t="s">
        <v>33</v>
      </c>
      <c r="I17" s="7" t="s">
        <v>34</v>
      </c>
    </row>
    <row r="18" spans="1:9" x14ac:dyDescent="0.25">
      <c r="A18" s="8">
        <v>1</v>
      </c>
      <c r="B18" s="9">
        <v>2</v>
      </c>
      <c r="C18" s="39">
        <v>3</v>
      </c>
      <c r="D18" s="9">
        <v>4</v>
      </c>
      <c r="E18" s="10">
        <v>5</v>
      </c>
      <c r="F18" s="9">
        <v>6</v>
      </c>
      <c r="G18" s="10">
        <v>7</v>
      </c>
      <c r="H18" s="9">
        <v>8</v>
      </c>
      <c r="I18" s="9">
        <v>9</v>
      </c>
    </row>
    <row r="19" spans="1:9" x14ac:dyDescent="0.25">
      <c r="A19" s="11">
        <v>1</v>
      </c>
      <c r="B19" s="12" t="s">
        <v>35</v>
      </c>
      <c r="C19" s="78">
        <v>7.12</v>
      </c>
      <c r="D19" s="17">
        <v>-14628.39</v>
      </c>
      <c r="E19" s="17">
        <v>23316.48</v>
      </c>
      <c r="F19" s="17">
        <v>25132.54</v>
      </c>
      <c r="G19" s="16">
        <f t="shared" ref="G19:G25" si="0">E19</f>
        <v>23316.48</v>
      </c>
      <c r="H19" s="16">
        <f>D19+F19-G19</f>
        <v>-12812.329999999998</v>
      </c>
      <c r="I19" s="17">
        <f>H19</f>
        <v>-12812.329999999998</v>
      </c>
    </row>
    <row r="20" spans="1:9" x14ac:dyDescent="0.25">
      <c r="A20" s="7" t="s">
        <v>36</v>
      </c>
      <c r="B20" s="12" t="s">
        <v>37</v>
      </c>
      <c r="C20" s="78">
        <v>2.62</v>
      </c>
      <c r="D20" s="44"/>
      <c r="E20" s="17">
        <f>E19*37%</f>
        <v>8627.0975999999991</v>
      </c>
      <c r="F20" s="17">
        <f>F19*37%</f>
        <v>9299.0398000000005</v>
      </c>
      <c r="G20" s="20">
        <f t="shared" si="0"/>
        <v>8627.0975999999991</v>
      </c>
      <c r="H20" s="38"/>
      <c r="I20" s="22"/>
    </row>
    <row r="21" spans="1:9" x14ac:dyDescent="0.25">
      <c r="A21" s="36" t="s">
        <v>38</v>
      </c>
      <c r="B21" s="11" t="s">
        <v>39</v>
      </c>
      <c r="C21" s="34">
        <v>1.33</v>
      </c>
      <c r="D21" s="43"/>
      <c r="E21" s="43">
        <f>E19*19%</f>
        <v>4430.1311999999998</v>
      </c>
      <c r="F21" s="43">
        <f>F19*19%</f>
        <v>4775.1826000000001</v>
      </c>
      <c r="G21" s="34">
        <f t="shared" si="0"/>
        <v>4430.1311999999998</v>
      </c>
      <c r="H21" s="40"/>
      <c r="I21" s="29"/>
    </row>
    <row r="22" spans="1:9" x14ac:dyDescent="0.25">
      <c r="A22" s="24" t="s">
        <v>40</v>
      </c>
      <c r="B22" s="11" t="s">
        <v>41</v>
      </c>
      <c r="C22" s="27">
        <v>0.78</v>
      </c>
      <c r="D22" s="44"/>
      <c r="E22" s="45">
        <f xml:space="preserve"> E19*11%</f>
        <v>2564.8128000000002</v>
      </c>
      <c r="F22" s="45">
        <f>F19*11%</f>
        <v>2764.5794000000001</v>
      </c>
      <c r="G22" s="20">
        <f t="shared" si="0"/>
        <v>2564.8128000000002</v>
      </c>
      <c r="H22" s="38"/>
      <c r="I22" s="22"/>
    </row>
    <row r="23" spans="1:9" x14ac:dyDescent="0.25">
      <c r="A23" s="24" t="s">
        <v>42</v>
      </c>
      <c r="B23" s="25" t="s">
        <v>43</v>
      </c>
      <c r="C23" s="27">
        <v>2.39</v>
      </c>
      <c r="D23" s="45"/>
      <c r="E23" s="45">
        <f>E19*33%</f>
        <v>7694.4384</v>
      </c>
      <c r="F23" s="45">
        <f>F19*33%</f>
        <v>8293.7381999999998</v>
      </c>
      <c r="G23" s="28">
        <f t="shared" si="0"/>
        <v>7694.4384</v>
      </c>
      <c r="H23" s="105">
        <f>F23-E23</f>
        <v>599.29979999999978</v>
      </c>
      <c r="I23" s="75"/>
    </row>
    <row r="24" spans="1:9" x14ac:dyDescent="0.25">
      <c r="A24" s="24" t="s">
        <v>44</v>
      </c>
      <c r="B24" s="6" t="s">
        <v>47</v>
      </c>
      <c r="C24" s="106">
        <v>2.39879</v>
      </c>
      <c r="D24" s="6"/>
      <c r="E24" s="58">
        <v>6472.86</v>
      </c>
      <c r="F24" s="6">
        <v>2071.87</v>
      </c>
      <c r="G24" s="58">
        <f t="shared" si="0"/>
        <v>6472.86</v>
      </c>
      <c r="H24" s="6">
        <f>D24+F24-G24</f>
        <v>-4400.99</v>
      </c>
      <c r="I24" s="49">
        <f>H24</f>
        <v>-4400.99</v>
      </c>
    </row>
    <row r="25" spans="1:9" x14ac:dyDescent="0.25">
      <c r="A25" s="11" t="s">
        <v>48</v>
      </c>
      <c r="B25" s="11" t="s">
        <v>49</v>
      </c>
      <c r="C25" s="43" t="s">
        <v>50</v>
      </c>
      <c r="D25" s="43">
        <v>-5935.51</v>
      </c>
      <c r="E25" s="11">
        <v>11085.27</v>
      </c>
      <c r="F25" s="11">
        <v>10720.61</v>
      </c>
      <c r="G25" s="41">
        <f t="shared" si="0"/>
        <v>11085.27</v>
      </c>
      <c r="H25" s="42">
        <f>D25+F25-G25</f>
        <v>-6300.17</v>
      </c>
      <c r="I25" s="43">
        <f>H25</f>
        <v>-6300.17</v>
      </c>
    </row>
    <row r="26" spans="1:9" x14ac:dyDescent="0.25">
      <c r="A26" s="25" t="s">
        <v>51</v>
      </c>
      <c r="B26" s="25" t="s">
        <v>216</v>
      </c>
      <c r="C26" s="45"/>
      <c r="D26" s="57"/>
      <c r="E26" s="25"/>
      <c r="F26" s="25"/>
      <c r="G26" s="25"/>
      <c r="H26" s="57"/>
      <c r="I26" s="45"/>
    </row>
    <row r="27" spans="1:9" x14ac:dyDescent="0.25">
      <c r="A27" s="12"/>
      <c r="B27" s="12" t="s">
        <v>217</v>
      </c>
      <c r="C27" s="17">
        <v>1.48</v>
      </c>
      <c r="D27" s="15">
        <v>-2459.61</v>
      </c>
      <c r="E27" s="12">
        <v>4846.8</v>
      </c>
      <c r="F27" s="12">
        <v>5224.62</v>
      </c>
      <c r="G27" s="12">
        <f>I47</f>
        <v>0</v>
      </c>
      <c r="H27" s="15">
        <f>D27+F27-G27</f>
        <v>2765.0099999999998</v>
      </c>
      <c r="I27" s="17"/>
    </row>
    <row r="28" spans="1:9" x14ac:dyDescent="0.25">
      <c r="A28" s="12" t="s">
        <v>55</v>
      </c>
      <c r="B28" s="12" t="s">
        <v>56</v>
      </c>
      <c r="C28" s="17" t="s">
        <v>71</v>
      </c>
      <c r="D28" s="42">
        <v>4393.5</v>
      </c>
      <c r="E28" s="12">
        <v>0</v>
      </c>
      <c r="F28" s="12">
        <v>0</v>
      </c>
      <c r="G28" s="11">
        <v>0</v>
      </c>
      <c r="H28" s="15">
        <f>D28</f>
        <v>4393.5</v>
      </c>
      <c r="I28" s="43"/>
    </row>
    <row r="29" spans="1:9" x14ac:dyDescent="0.25">
      <c r="A29" s="7"/>
      <c r="B29" s="62" t="s">
        <v>112</v>
      </c>
      <c r="C29" s="37"/>
      <c r="D29" s="51"/>
      <c r="E29" s="7"/>
      <c r="F29" s="7"/>
      <c r="G29" s="7"/>
      <c r="H29" s="51"/>
      <c r="I29" s="54"/>
    </row>
    <row r="30" spans="1:9" x14ac:dyDescent="0.25">
      <c r="A30" s="9"/>
      <c r="B30" s="9" t="s">
        <v>53</v>
      </c>
      <c r="C30" s="39"/>
      <c r="D30" s="42"/>
      <c r="E30" s="9">
        <v>0</v>
      </c>
      <c r="F30" s="9">
        <v>0</v>
      </c>
      <c r="G30" s="9">
        <v>0</v>
      </c>
      <c r="H30" s="42"/>
      <c r="I30" s="29"/>
    </row>
    <row r="31" spans="1:9" x14ac:dyDescent="0.25">
      <c r="A31" s="1" t="s">
        <v>58</v>
      </c>
      <c r="B31" s="2"/>
      <c r="C31" s="102"/>
      <c r="E31" s="2"/>
      <c r="F31" s="2"/>
      <c r="G31" s="2"/>
      <c r="H31" s="2"/>
      <c r="I31" s="2"/>
    </row>
    <row r="32" spans="1:9" x14ac:dyDescent="0.25">
      <c r="A32" s="5" t="s">
        <v>69</v>
      </c>
      <c r="C32" s="107"/>
    </row>
    <row r="33" spans="1:9" x14ac:dyDescent="0.25">
      <c r="A33" s="1" t="s">
        <v>70</v>
      </c>
      <c r="B33" s="5"/>
      <c r="C33" s="20"/>
      <c r="D33" s="56"/>
      <c r="E33" s="5"/>
      <c r="F33" s="5"/>
      <c r="G33" s="5"/>
      <c r="H33" s="5"/>
      <c r="I33" s="5"/>
    </row>
    <row r="34" spans="1:9" x14ac:dyDescent="0.25">
      <c r="A34" s="6" t="s">
        <v>71</v>
      </c>
      <c r="B34" s="68" t="s">
        <v>72</v>
      </c>
      <c r="C34" s="75" t="s">
        <v>73</v>
      </c>
      <c r="D34" s="58" t="s">
        <v>74</v>
      </c>
      <c r="E34" s="6" t="s">
        <v>75</v>
      </c>
      <c r="F34" s="58" t="s">
        <v>76</v>
      </c>
      <c r="G34" s="48" t="s">
        <v>77</v>
      </c>
      <c r="H34" s="75" t="s">
        <v>15</v>
      </c>
      <c r="I34" s="49" t="s">
        <v>19</v>
      </c>
    </row>
    <row r="35" spans="1:9" x14ac:dyDescent="0.25">
      <c r="A35" s="7"/>
      <c r="B35" s="5" t="s">
        <v>79</v>
      </c>
      <c r="C35" s="22" t="s">
        <v>80</v>
      </c>
      <c r="D35" s="60" t="s">
        <v>81</v>
      </c>
      <c r="E35" s="7" t="s">
        <v>82</v>
      </c>
      <c r="F35" s="60" t="s">
        <v>83</v>
      </c>
      <c r="G35" s="51" t="s">
        <v>84</v>
      </c>
      <c r="H35" s="22" t="s">
        <v>25</v>
      </c>
      <c r="I35" s="61" t="s">
        <v>86</v>
      </c>
    </row>
    <row r="36" spans="1:9" x14ac:dyDescent="0.25">
      <c r="A36" s="7"/>
      <c r="B36" s="60"/>
      <c r="C36" s="22"/>
      <c r="D36" s="60"/>
      <c r="E36" s="7"/>
      <c r="F36" s="60" t="s">
        <v>87</v>
      </c>
      <c r="G36" s="51" t="s">
        <v>88</v>
      </c>
      <c r="H36" s="22" t="s">
        <v>30</v>
      </c>
      <c r="I36" s="61" t="s">
        <v>239</v>
      </c>
    </row>
    <row r="37" spans="1:9" x14ac:dyDescent="0.25">
      <c r="A37" s="9">
        <v>1</v>
      </c>
      <c r="B37" s="9" t="s">
        <v>90</v>
      </c>
      <c r="C37" s="33" t="s">
        <v>91</v>
      </c>
      <c r="D37" s="9">
        <v>-30412.06</v>
      </c>
      <c r="E37" s="65">
        <v>52550.879999999997</v>
      </c>
      <c r="F37" s="9">
        <v>67011.38</v>
      </c>
      <c r="G37" s="65">
        <f>E37</f>
        <v>52550.879999999997</v>
      </c>
      <c r="H37" s="9">
        <f>D37+F37-G37</f>
        <v>-15951.55999999999</v>
      </c>
      <c r="I37" s="9">
        <f>H37</f>
        <v>-15951.55999999999</v>
      </c>
    </row>
    <row r="38" spans="1:9" x14ac:dyDescent="0.25">
      <c r="A38" s="52"/>
      <c r="B38" s="9" t="s">
        <v>282</v>
      </c>
      <c r="C38" s="79" t="s">
        <v>93</v>
      </c>
      <c r="D38" s="8"/>
      <c r="E38" s="8"/>
      <c r="F38" s="9"/>
      <c r="G38" s="10"/>
      <c r="H38" s="9"/>
      <c r="I38" s="50"/>
    </row>
    <row r="39" spans="1:9" x14ac:dyDescent="0.25">
      <c r="A39" s="1" t="s">
        <v>219</v>
      </c>
      <c r="B39" s="2"/>
      <c r="C39" s="102"/>
      <c r="D39" s="2"/>
      <c r="E39" s="2"/>
      <c r="F39" s="2"/>
      <c r="G39" s="2"/>
      <c r="H39" s="2"/>
      <c r="I39" s="2"/>
    </row>
    <row r="40" spans="1:9" x14ac:dyDescent="0.25">
      <c r="A40" s="5" t="s">
        <v>220</v>
      </c>
      <c r="B40" s="2"/>
      <c r="C40" s="102"/>
      <c r="D40" s="2"/>
      <c r="E40" s="2"/>
      <c r="F40" s="2"/>
      <c r="G40" s="2"/>
      <c r="H40" s="2"/>
      <c r="I40" s="2"/>
    </row>
    <row r="41" spans="1:9" x14ac:dyDescent="0.25">
      <c r="A41" s="48" t="s">
        <v>12</v>
      </c>
      <c r="B41" s="6" t="s">
        <v>221</v>
      </c>
      <c r="C41" s="86" t="s">
        <v>103</v>
      </c>
      <c r="D41" s="58"/>
      <c r="E41" s="58"/>
      <c r="F41" s="48" t="s">
        <v>222</v>
      </c>
      <c r="G41" s="58"/>
      <c r="H41" s="49"/>
      <c r="I41" s="6" t="s">
        <v>105</v>
      </c>
    </row>
    <row r="42" spans="1:9" x14ac:dyDescent="0.25">
      <c r="A42" s="51" t="s">
        <v>106</v>
      </c>
      <c r="B42" s="7" t="s">
        <v>223</v>
      </c>
      <c r="C42" s="37"/>
      <c r="D42" s="60"/>
      <c r="E42" s="60"/>
      <c r="F42" s="51" t="s">
        <v>224</v>
      </c>
      <c r="G42" s="60"/>
      <c r="H42" s="61"/>
      <c r="I42" s="7" t="s">
        <v>108</v>
      </c>
    </row>
    <row r="43" spans="1:9" x14ac:dyDescent="0.25">
      <c r="A43" s="51"/>
      <c r="B43" s="7"/>
      <c r="C43" s="37"/>
      <c r="D43" s="60"/>
      <c r="E43" s="60"/>
      <c r="F43" s="51" t="s">
        <v>225</v>
      </c>
      <c r="G43" s="60"/>
      <c r="H43" s="61"/>
      <c r="I43" s="7"/>
    </row>
    <row r="44" spans="1:9" x14ac:dyDescent="0.25">
      <c r="A44" s="51"/>
      <c r="B44" s="62"/>
      <c r="C44" s="37"/>
      <c r="D44" s="60"/>
      <c r="E44" s="60"/>
      <c r="F44" s="51" t="s">
        <v>226</v>
      </c>
      <c r="G44" s="60"/>
      <c r="H44" s="61"/>
      <c r="I44" s="7"/>
    </row>
    <row r="45" spans="1:9" x14ac:dyDescent="0.25">
      <c r="A45" s="67" t="s">
        <v>110</v>
      </c>
      <c r="B45" s="18"/>
      <c r="C45" s="27" t="s">
        <v>111</v>
      </c>
      <c r="D45" s="68"/>
      <c r="E45" s="68"/>
      <c r="F45" s="48"/>
      <c r="G45" s="58"/>
      <c r="H45" s="49"/>
      <c r="I45" s="6"/>
    </row>
    <row r="46" spans="1:9" x14ac:dyDescent="0.25">
      <c r="A46" s="69"/>
      <c r="B46" s="7"/>
      <c r="C46" s="37" t="s">
        <v>112</v>
      </c>
      <c r="D46" s="60"/>
      <c r="E46" s="60"/>
      <c r="F46" s="51" t="s">
        <v>71</v>
      </c>
      <c r="G46" s="37"/>
      <c r="H46" s="61" t="s">
        <v>71</v>
      </c>
      <c r="I46" s="7" t="s">
        <v>71</v>
      </c>
    </row>
    <row r="47" spans="1:9" x14ac:dyDescent="0.25">
      <c r="A47" s="69"/>
      <c r="B47" s="7"/>
      <c r="C47" s="20" t="s">
        <v>118</v>
      </c>
      <c r="D47" s="5"/>
      <c r="E47" s="5"/>
      <c r="F47" s="59"/>
      <c r="G47" s="20">
        <v>0</v>
      </c>
      <c r="H47" s="71"/>
      <c r="I47" s="18">
        <v>0</v>
      </c>
    </row>
    <row r="48" spans="1:9" x14ac:dyDescent="0.25">
      <c r="A48" s="6"/>
      <c r="B48" s="6"/>
      <c r="C48" s="105"/>
      <c r="D48" s="58"/>
      <c r="E48" s="49"/>
      <c r="F48" s="48"/>
      <c r="G48" s="58"/>
      <c r="H48" s="49"/>
      <c r="I48" s="6"/>
    </row>
    <row r="49" spans="1:9" x14ac:dyDescent="0.25">
      <c r="A49" s="6" t="s">
        <v>48</v>
      </c>
      <c r="B49" s="25" t="s">
        <v>119</v>
      </c>
      <c r="C49" s="28" t="s">
        <v>120</v>
      </c>
      <c r="D49" s="58"/>
      <c r="E49" s="49"/>
      <c r="F49" s="48" t="s">
        <v>121</v>
      </c>
      <c r="G49" s="58"/>
      <c r="H49" s="49"/>
      <c r="I49" s="6">
        <v>0</v>
      </c>
    </row>
    <row r="50" spans="1:9" x14ac:dyDescent="0.25">
      <c r="A50" s="73"/>
      <c r="B50" s="62" t="s">
        <v>119</v>
      </c>
      <c r="C50" s="55" t="s">
        <v>118</v>
      </c>
      <c r="D50" s="74"/>
      <c r="E50" s="53"/>
      <c r="F50" s="52" t="s">
        <v>71</v>
      </c>
      <c r="G50" s="74">
        <v>0</v>
      </c>
      <c r="H50" s="53"/>
      <c r="I50" s="62">
        <v>0</v>
      </c>
    </row>
    <row r="51" spans="1:9" x14ac:dyDescent="0.25">
      <c r="A51" s="103"/>
      <c r="B51" s="60"/>
      <c r="C51" s="37"/>
      <c r="D51" s="60"/>
      <c r="E51" s="60"/>
      <c r="F51" s="60"/>
      <c r="G51" s="60"/>
      <c r="H51" s="60"/>
      <c r="I51" s="60"/>
    </row>
    <row r="52" spans="1:9" x14ac:dyDescent="0.25">
      <c r="A52" s="2" t="s">
        <v>122</v>
      </c>
      <c r="B52" s="2"/>
      <c r="C52" s="102" t="s">
        <v>71</v>
      </c>
      <c r="D52" s="2" t="s">
        <v>123</v>
      </c>
      <c r="E52" s="2"/>
      <c r="F52" s="2" t="s">
        <v>124</v>
      </c>
      <c r="G52" s="2"/>
      <c r="H52" s="2" t="s">
        <v>125</v>
      </c>
      <c r="I52" s="2" t="s">
        <v>283</v>
      </c>
    </row>
    <row r="53" spans="1:9" x14ac:dyDescent="0.25">
      <c r="C53" s="107"/>
    </row>
    <row r="54" spans="1:9" x14ac:dyDescent="0.25">
      <c r="C54" s="107"/>
    </row>
    <row r="55" spans="1:9" x14ac:dyDescent="0.25">
      <c r="C55" s="107"/>
    </row>
    <row r="56" spans="1:9" x14ac:dyDescent="0.25">
      <c r="C56" s="107"/>
    </row>
  </sheetData>
  <pageMargins left="0.7" right="0.7" top="0.75" bottom="0.75" header="0.3" footer="0.3"/>
  <pageSetup paperSize="9" orientation="landscape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110" zoomScaleNormal="110" workbookViewId="0">
      <selection activeCell="B4" sqref="B4"/>
    </sheetView>
  </sheetViews>
  <sheetFormatPr defaultRowHeight="15" x14ac:dyDescent="0.25"/>
  <cols>
    <col min="1" max="1" width="5.7109375" style="3" customWidth="1"/>
    <col min="2" max="2" width="31.5703125" style="3" customWidth="1"/>
    <col min="3" max="3" width="13.7109375" style="3" customWidth="1"/>
    <col min="4" max="4" width="11.28515625" style="3" customWidth="1"/>
    <col min="5" max="7" width="9.140625" style="3"/>
    <col min="8" max="8" width="13.28515625" style="3" customWidth="1"/>
    <col min="9" max="9" width="18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118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4"/>
      <c r="J2" s="11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I3" s="2"/>
      <c r="J3" s="118"/>
    </row>
    <row r="4" spans="1:10" x14ac:dyDescent="0.25">
      <c r="A4" s="1" t="s">
        <v>3</v>
      </c>
      <c r="B4" s="1"/>
      <c r="C4" s="1"/>
      <c r="D4" s="1"/>
      <c r="E4" s="1"/>
      <c r="F4" s="1"/>
      <c r="G4" s="1"/>
      <c r="H4" s="1"/>
      <c r="I4" s="2"/>
      <c r="J4" s="118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118"/>
    </row>
    <row r="6" spans="1:10" x14ac:dyDescent="0.25">
      <c r="A6" s="1" t="s">
        <v>1223</v>
      </c>
      <c r="B6" s="2"/>
      <c r="C6" s="2"/>
      <c r="D6" s="2"/>
      <c r="E6" s="2"/>
      <c r="F6" s="2"/>
      <c r="G6" s="2"/>
      <c r="H6" s="2"/>
      <c r="I6" s="2"/>
      <c r="J6" s="118"/>
    </row>
    <row r="7" spans="1:10" x14ac:dyDescent="0.25">
      <c r="A7" s="2" t="s">
        <v>1224</v>
      </c>
      <c r="B7" s="2"/>
      <c r="C7" s="2"/>
      <c r="D7" s="2"/>
      <c r="E7" s="2"/>
      <c r="F7" s="2"/>
      <c r="G7" s="2"/>
      <c r="H7" s="2"/>
      <c r="I7" s="2"/>
      <c r="J7" s="118"/>
    </row>
    <row r="8" spans="1:10" x14ac:dyDescent="0.25">
      <c r="A8" s="2" t="s">
        <v>1225</v>
      </c>
      <c r="B8" s="2"/>
      <c r="C8" s="2"/>
      <c r="D8" s="2"/>
      <c r="E8" s="2"/>
      <c r="F8" s="2"/>
      <c r="G8" s="2"/>
      <c r="H8" s="2"/>
      <c r="I8" s="2"/>
      <c r="J8" s="118"/>
    </row>
    <row r="9" spans="1:10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  <c r="J9" s="118"/>
    </row>
    <row r="10" spans="1:10" x14ac:dyDescent="0.25">
      <c r="A10" s="1" t="s">
        <v>9</v>
      </c>
      <c r="B10" s="2"/>
      <c r="C10" s="2"/>
      <c r="D10" s="2"/>
      <c r="E10" s="1"/>
      <c r="F10" s="1"/>
      <c r="G10" s="1"/>
      <c r="H10" s="1"/>
      <c r="I10" s="1"/>
      <c r="J10" s="118"/>
    </row>
    <row r="11" spans="1:10" x14ac:dyDescent="0.25">
      <c r="A11" s="1" t="s">
        <v>10</v>
      </c>
      <c r="B11" s="2"/>
      <c r="C11" s="2"/>
      <c r="D11" s="2"/>
      <c r="E11" s="1"/>
      <c r="F11" s="1"/>
      <c r="G11" s="1"/>
      <c r="H11" s="1"/>
      <c r="I11" s="1"/>
      <c r="J11" s="118"/>
    </row>
    <row r="12" spans="1:10" x14ac:dyDescent="0.25">
      <c r="A12" s="5" t="s">
        <v>133</v>
      </c>
      <c r="B12" s="2"/>
      <c r="C12" s="2"/>
      <c r="D12" s="2"/>
      <c r="E12" s="1"/>
      <c r="F12" s="1"/>
      <c r="G12" s="1"/>
      <c r="H12" s="1"/>
      <c r="I12" s="1"/>
      <c r="J12" s="118"/>
    </row>
    <row r="13" spans="1:10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  <c r="J13" s="118"/>
    </row>
    <row r="14" spans="1:10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  <c r="J14" s="118"/>
    </row>
    <row r="15" spans="1:10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  <c r="J15" s="118"/>
    </row>
    <row r="16" spans="1:10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1226</v>
      </c>
      <c r="J16" s="118"/>
    </row>
    <row r="17" spans="1:10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  <c r="J17" s="118"/>
    </row>
    <row r="18" spans="1:10" x14ac:dyDescent="0.25">
      <c r="A18" s="15">
        <v>1</v>
      </c>
      <c r="B18" s="12" t="s">
        <v>323</v>
      </c>
      <c r="C18" s="12">
        <v>7.97</v>
      </c>
      <c r="D18" s="17">
        <v>-40190.83</v>
      </c>
      <c r="E18" s="17">
        <v>580390.80000000005</v>
      </c>
      <c r="F18" s="14">
        <v>609268.07999999996</v>
      </c>
      <c r="G18" s="17">
        <f>E18</f>
        <v>580390.80000000005</v>
      </c>
      <c r="H18" s="16">
        <f>D18+F18-G18</f>
        <v>-11313.550000000047</v>
      </c>
      <c r="I18" s="17">
        <f>H18</f>
        <v>-11313.550000000047</v>
      </c>
      <c r="J18" s="118"/>
    </row>
    <row r="19" spans="1:10" x14ac:dyDescent="0.25">
      <c r="A19" s="7" t="s">
        <v>36</v>
      </c>
      <c r="B19" s="62" t="s">
        <v>37</v>
      </c>
      <c r="C19" s="74">
        <v>2.62</v>
      </c>
      <c r="D19" s="54"/>
      <c r="E19" s="141">
        <f>E18*33%</f>
        <v>191528.96400000004</v>
      </c>
      <c r="F19" s="54">
        <f>F18*33%</f>
        <v>201058.4664</v>
      </c>
      <c r="G19" s="54">
        <f t="shared" ref="G19:G26" si="0">E19</f>
        <v>191528.96400000004</v>
      </c>
      <c r="H19" s="55"/>
      <c r="I19" s="54"/>
      <c r="J19" s="118"/>
    </row>
    <row r="20" spans="1:10" x14ac:dyDescent="0.25">
      <c r="A20" s="24" t="s">
        <v>38</v>
      </c>
      <c r="B20" s="6" t="s">
        <v>39</v>
      </c>
      <c r="C20" s="58">
        <v>1.33</v>
      </c>
      <c r="D20" s="75"/>
      <c r="E20" s="75">
        <f>E18*17%</f>
        <v>98666.436000000016</v>
      </c>
      <c r="F20" s="75">
        <f>F18*17%</f>
        <v>103575.5736</v>
      </c>
      <c r="G20" s="75">
        <f t="shared" si="0"/>
        <v>98666.436000000016</v>
      </c>
      <c r="H20" s="105"/>
      <c r="I20" s="75"/>
      <c r="J20" s="118"/>
    </row>
    <row r="21" spans="1:10" x14ac:dyDescent="0.25">
      <c r="A21" s="24" t="s">
        <v>40</v>
      </c>
      <c r="B21" s="6" t="s">
        <v>41</v>
      </c>
      <c r="C21" s="58">
        <v>1.63</v>
      </c>
      <c r="D21" s="75"/>
      <c r="E21" s="75">
        <f>E18*20%</f>
        <v>116078.16000000002</v>
      </c>
      <c r="F21" s="75">
        <f>F18*20%</f>
        <v>121853.61599999999</v>
      </c>
      <c r="G21" s="75">
        <f t="shared" si="0"/>
        <v>116078.16000000002</v>
      </c>
      <c r="H21" s="110"/>
      <c r="I21" s="75"/>
      <c r="J21" s="118"/>
    </row>
    <row r="22" spans="1:10" x14ac:dyDescent="0.25">
      <c r="A22" s="24" t="s">
        <v>42</v>
      </c>
      <c r="B22" s="6" t="s">
        <v>43</v>
      </c>
      <c r="C22" s="58">
        <v>2.39</v>
      </c>
      <c r="D22" s="29"/>
      <c r="E22" s="75">
        <f>E18*30%</f>
        <v>174117.24000000002</v>
      </c>
      <c r="F22" s="75">
        <f>F18*30%</f>
        <v>182780.42399999997</v>
      </c>
      <c r="G22" s="40">
        <f t="shared" si="0"/>
        <v>174117.24000000002</v>
      </c>
      <c r="H22" s="40"/>
      <c r="I22" s="29"/>
      <c r="J22" s="118"/>
    </row>
    <row r="23" spans="1:10" x14ac:dyDescent="0.25">
      <c r="A23" s="24" t="s">
        <v>44</v>
      </c>
      <c r="B23" s="6" t="s">
        <v>45</v>
      </c>
      <c r="C23" s="58">
        <v>6.0200000000000002E-3</v>
      </c>
      <c r="D23" s="29"/>
      <c r="E23" s="75">
        <v>436.92</v>
      </c>
      <c r="F23" s="75">
        <v>417.92</v>
      </c>
      <c r="G23" s="39">
        <f>E23</f>
        <v>436.92</v>
      </c>
      <c r="H23" s="40">
        <f>F23-E23</f>
        <v>-19</v>
      </c>
      <c r="I23" s="29">
        <f>H23</f>
        <v>-19</v>
      </c>
      <c r="J23" s="118"/>
    </row>
    <row r="24" spans="1:10" x14ac:dyDescent="0.25">
      <c r="A24" s="24" t="s">
        <v>46</v>
      </c>
      <c r="B24" s="6" t="s">
        <v>47</v>
      </c>
      <c r="C24" s="58">
        <v>2.0575000000000001</v>
      </c>
      <c r="D24" s="6">
        <v>-3769.25</v>
      </c>
      <c r="E24" s="58">
        <v>176999.65</v>
      </c>
      <c r="F24" s="6">
        <v>154521.06</v>
      </c>
      <c r="G24" s="60">
        <f>E24</f>
        <v>176999.65</v>
      </c>
      <c r="H24" s="9">
        <f>D24+F24-G24</f>
        <v>-26247.839999999997</v>
      </c>
      <c r="I24" s="49">
        <f>H24</f>
        <v>-26247.839999999997</v>
      </c>
      <c r="J24" s="118"/>
    </row>
    <row r="25" spans="1:10" x14ac:dyDescent="0.25">
      <c r="A25" s="11" t="s">
        <v>48</v>
      </c>
      <c r="B25" s="11" t="s">
        <v>49</v>
      </c>
      <c r="C25" s="11" t="s">
        <v>50</v>
      </c>
      <c r="D25" s="43">
        <v>-39545.15</v>
      </c>
      <c r="E25" s="11">
        <v>246501.81</v>
      </c>
      <c r="F25" s="11">
        <v>248955.01</v>
      </c>
      <c r="G25" s="41">
        <f t="shared" si="0"/>
        <v>246501.81</v>
      </c>
      <c r="H25" s="42">
        <f>D25+F25-G25</f>
        <v>-37091.949999999983</v>
      </c>
      <c r="I25" s="43">
        <f>H25</f>
        <v>-37091.949999999983</v>
      </c>
      <c r="J25" s="118"/>
    </row>
    <row r="26" spans="1:10" x14ac:dyDescent="0.25">
      <c r="A26" s="11" t="s">
        <v>51</v>
      </c>
      <c r="B26" s="11" t="s">
        <v>194</v>
      </c>
      <c r="C26" s="11">
        <v>0.92</v>
      </c>
      <c r="D26" s="43">
        <v>-1133.69</v>
      </c>
      <c r="E26" s="121">
        <v>0</v>
      </c>
      <c r="F26" s="33">
        <v>432.55</v>
      </c>
      <c r="G26" s="43">
        <f t="shared" si="0"/>
        <v>0</v>
      </c>
      <c r="H26" s="33">
        <f>D26+F26-G26</f>
        <v>-701.1400000000001</v>
      </c>
      <c r="I26" s="43">
        <f>H26</f>
        <v>-701.1400000000001</v>
      </c>
      <c r="J26" s="118"/>
    </row>
    <row r="27" spans="1:10" x14ac:dyDescent="0.25">
      <c r="A27" s="25" t="s">
        <v>55</v>
      </c>
      <c r="B27" s="1" t="s">
        <v>143</v>
      </c>
      <c r="C27" s="25">
        <v>3.15</v>
      </c>
      <c r="D27" s="17">
        <v>-56593.96</v>
      </c>
      <c r="E27" s="127">
        <v>221244.13</v>
      </c>
      <c r="F27" s="117">
        <v>216560.95</v>
      </c>
      <c r="G27" s="44">
        <f>E27</f>
        <v>221244.13</v>
      </c>
      <c r="H27" s="117">
        <f>D27+F27-G27</f>
        <v>-61277.139999999985</v>
      </c>
      <c r="I27" s="17">
        <f>H27</f>
        <v>-61277.139999999985</v>
      </c>
      <c r="J27" s="118"/>
    </row>
    <row r="28" spans="1:10" x14ac:dyDescent="0.25">
      <c r="A28" s="11" t="s">
        <v>59</v>
      </c>
      <c r="B28" s="11" t="s">
        <v>459</v>
      </c>
      <c r="C28" s="41" t="s">
        <v>1227</v>
      </c>
      <c r="D28" s="43">
        <v>96620.84</v>
      </c>
      <c r="E28" s="41">
        <v>132536.04</v>
      </c>
      <c r="F28" s="11">
        <f>F29+F30</f>
        <v>146052.92000000001</v>
      </c>
      <c r="G28" s="11">
        <f>G29</f>
        <v>200060.35000000003</v>
      </c>
      <c r="H28" s="11">
        <f>D28+F28-G28</f>
        <v>42613.409999999974</v>
      </c>
      <c r="I28" s="44" t="s">
        <v>71</v>
      </c>
      <c r="J28" s="118"/>
    </row>
    <row r="29" spans="1:10" x14ac:dyDescent="0.25">
      <c r="A29" s="11"/>
      <c r="B29" s="62" t="s">
        <v>149</v>
      </c>
      <c r="C29" s="14"/>
      <c r="D29" s="16"/>
      <c r="E29" s="11"/>
      <c r="F29" s="12">
        <v>145108.95000000001</v>
      </c>
      <c r="G29" s="14">
        <f>I68</f>
        <v>200060.35000000003</v>
      </c>
      <c r="H29" s="15"/>
      <c r="I29" s="43"/>
      <c r="J29" s="118"/>
    </row>
    <row r="30" spans="1:10" x14ac:dyDescent="0.25">
      <c r="A30" s="11"/>
      <c r="B30" s="11" t="s">
        <v>531</v>
      </c>
      <c r="C30" s="14"/>
      <c r="D30" s="16"/>
      <c r="E30" s="11"/>
      <c r="F30" s="12">
        <v>943.97</v>
      </c>
      <c r="G30" s="14"/>
      <c r="H30" s="15"/>
      <c r="I30" s="44"/>
      <c r="J30" s="118"/>
    </row>
    <row r="31" spans="1:10" x14ac:dyDescent="0.25">
      <c r="A31" s="11" t="s">
        <v>196</v>
      </c>
      <c r="B31" s="12" t="s">
        <v>1228</v>
      </c>
      <c r="C31" s="17">
        <v>0</v>
      </c>
      <c r="D31" s="15">
        <v>6432.12</v>
      </c>
      <c r="E31" s="11">
        <f>E32</f>
        <v>0</v>
      </c>
      <c r="F31" s="12">
        <f>F32</f>
        <v>5250.11</v>
      </c>
      <c r="G31" s="14">
        <f>I72</f>
        <v>0</v>
      </c>
      <c r="H31" s="15">
        <f>D31+F31</f>
        <v>11682.23</v>
      </c>
      <c r="I31" s="29"/>
      <c r="J31" s="118"/>
    </row>
    <row r="32" spans="1:10" x14ac:dyDescent="0.25">
      <c r="A32" s="9"/>
      <c r="B32" s="9" t="s">
        <v>149</v>
      </c>
      <c r="C32" s="39"/>
      <c r="D32" s="42"/>
      <c r="E32" s="11">
        <v>0</v>
      </c>
      <c r="F32" s="12">
        <v>5250.11</v>
      </c>
      <c r="G32" s="41">
        <f>I72</f>
        <v>0</v>
      </c>
      <c r="H32" s="42"/>
      <c r="I32" s="29"/>
      <c r="J32" s="118"/>
    </row>
    <row r="33" spans="1:9" x14ac:dyDescent="0.25">
      <c r="A33" s="1" t="s">
        <v>58</v>
      </c>
      <c r="B33" s="2"/>
      <c r="C33" s="2"/>
      <c r="E33" s="2"/>
      <c r="F33" s="2"/>
      <c r="G33" s="2"/>
      <c r="H33" s="2"/>
      <c r="I33" s="2"/>
    </row>
    <row r="34" spans="1:9" x14ac:dyDescent="0.25">
      <c r="A34" s="1"/>
      <c r="B34" s="2"/>
      <c r="C34" s="2"/>
      <c r="E34" s="2"/>
      <c r="F34" s="2"/>
      <c r="G34" s="2"/>
      <c r="H34" s="2"/>
      <c r="I34" s="2"/>
    </row>
    <row r="35" spans="1:9" x14ac:dyDescent="0.25">
      <c r="A35" s="25" t="s">
        <v>59</v>
      </c>
      <c r="B35" s="58" t="s">
        <v>60</v>
      </c>
      <c r="C35" s="6" t="s">
        <v>64</v>
      </c>
      <c r="D35" s="49" t="s">
        <v>62</v>
      </c>
      <c r="E35" s="58" t="s">
        <v>63</v>
      </c>
      <c r="F35" s="6" t="s">
        <v>1229</v>
      </c>
      <c r="G35" s="6"/>
      <c r="H35" s="58" t="s">
        <v>199</v>
      </c>
      <c r="I35" s="49"/>
    </row>
    <row r="36" spans="1:9" x14ac:dyDescent="0.25">
      <c r="A36" s="7"/>
      <c r="B36" s="60"/>
      <c r="C36" s="62" t="s">
        <v>66</v>
      </c>
      <c r="D36" s="53" t="s">
        <v>23</v>
      </c>
      <c r="E36" s="74" t="s">
        <v>312</v>
      </c>
      <c r="F36" s="62" t="s">
        <v>1230</v>
      </c>
      <c r="G36" s="62"/>
      <c r="H36" s="74"/>
      <c r="I36" s="53"/>
    </row>
    <row r="37" spans="1:9" x14ac:dyDescent="0.25">
      <c r="A37" s="12"/>
      <c r="B37" s="74" t="s">
        <v>68</v>
      </c>
      <c r="C37" s="29">
        <v>15810</v>
      </c>
      <c r="D37" s="9">
        <v>9153</v>
      </c>
      <c r="E37" s="79">
        <f>D37*15%</f>
        <v>1372.95</v>
      </c>
      <c r="F37" s="54">
        <f>C37+(D37-E37)</f>
        <v>23590.05</v>
      </c>
      <c r="G37" s="54"/>
      <c r="H37" s="79">
        <f>F37-G37</f>
        <v>23590.05</v>
      </c>
      <c r="I37" s="53"/>
    </row>
    <row r="38" spans="1:9" x14ac:dyDescent="0.25">
      <c r="A38" s="5"/>
      <c r="B38" s="60"/>
      <c r="C38" s="37"/>
      <c r="D38" s="60"/>
      <c r="E38" s="37"/>
      <c r="F38" s="37"/>
      <c r="G38" s="37"/>
      <c r="H38" s="37"/>
      <c r="I38" s="60"/>
    </row>
    <row r="39" spans="1:9" x14ac:dyDescent="0.25">
      <c r="A39" s="1" t="s">
        <v>252</v>
      </c>
      <c r="B39" s="1"/>
      <c r="C39" s="1"/>
      <c r="D39" s="47"/>
      <c r="E39" s="1"/>
      <c r="F39" s="1"/>
      <c r="G39" s="1"/>
      <c r="H39" s="1"/>
      <c r="I39" s="1"/>
    </row>
    <row r="40" spans="1:9" x14ac:dyDescent="0.25">
      <c r="A40" s="6" t="s">
        <v>71</v>
      </c>
      <c r="B40" s="48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253</v>
      </c>
      <c r="H40" s="58" t="s">
        <v>78</v>
      </c>
      <c r="I40" s="6" t="s">
        <v>19</v>
      </c>
    </row>
    <row r="41" spans="1:9" x14ac:dyDescent="0.25">
      <c r="A41" s="7"/>
      <c r="B41" s="51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7" t="s">
        <v>84</v>
      </c>
      <c r="H41" s="60" t="s">
        <v>85</v>
      </c>
      <c r="I41" s="7" t="s">
        <v>86</v>
      </c>
    </row>
    <row r="42" spans="1:9" x14ac:dyDescent="0.25">
      <c r="A42" s="7"/>
      <c r="B42" s="51"/>
      <c r="C42" s="7"/>
      <c r="D42" s="60"/>
      <c r="E42" s="7"/>
      <c r="F42" s="60" t="s">
        <v>87</v>
      </c>
      <c r="G42" s="7" t="s">
        <v>88</v>
      </c>
      <c r="H42" s="60"/>
      <c r="I42" s="7" t="s">
        <v>30</v>
      </c>
    </row>
    <row r="43" spans="1:9" x14ac:dyDescent="0.25">
      <c r="A43" s="7"/>
      <c r="B43" s="51"/>
      <c r="C43" s="7"/>
      <c r="D43" s="60"/>
      <c r="E43" s="7"/>
      <c r="F43" s="60"/>
      <c r="G43" s="62"/>
      <c r="H43" s="60"/>
      <c r="I43" s="7"/>
    </row>
    <row r="44" spans="1:9" x14ac:dyDescent="0.25">
      <c r="A44" s="6"/>
      <c r="B44" s="6"/>
      <c r="C44" s="68"/>
      <c r="D44" s="6"/>
      <c r="E44" s="58"/>
      <c r="F44" s="6"/>
      <c r="G44" s="60"/>
      <c r="H44" s="9"/>
      <c r="I44" s="49"/>
    </row>
    <row r="45" spans="1:9" x14ac:dyDescent="0.25">
      <c r="A45" s="6">
        <v>1</v>
      </c>
      <c r="B45" s="6" t="s">
        <v>90</v>
      </c>
      <c r="C45" s="68" t="s">
        <v>91</v>
      </c>
      <c r="D45" s="6">
        <v>-131512.91</v>
      </c>
      <c r="E45" s="122">
        <v>585953.09</v>
      </c>
      <c r="F45" s="6">
        <v>551949.6</v>
      </c>
      <c r="G45" s="122">
        <f>E45</f>
        <v>585953.09</v>
      </c>
      <c r="H45" s="7">
        <f>D45+F45-G45</f>
        <v>-165516.40000000002</v>
      </c>
      <c r="I45" s="6">
        <f>H45</f>
        <v>-165516.40000000002</v>
      </c>
    </row>
    <row r="46" spans="1:9" x14ac:dyDescent="0.25">
      <c r="A46" s="9"/>
      <c r="B46" s="9" t="s">
        <v>92</v>
      </c>
      <c r="C46" s="41" t="s">
        <v>93</v>
      </c>
      <c r="D46" s="9"/>
      <c r="E46" s="65"/>
      <c r="F46" s="9"/>
      <c r="G46" s="65"/>
      <c r="H46" s="9"/>
      <c r="I46" s="9"/>
    </row>
    <row r="47" spans="1:9" x14ac:dyDescent="0.25">
      <c r="A47" s="7">
        <v>2</v>
      </c>
      <c r="B47" s="7" t="s">
        <v>168</v>
      </c>
      <c r="C47" s="1" t="s">
        <v>95</v>
      </c>
      <c r="D47" s="7">
        <v>-285430.26</v>
      </c>
      <c r="E47" s="2">
        <v>873591.9</v>
      </c>
      <c r="F47" s="7">
        <v>782226.72</v>
      </c>
      <c r="G47" s="2">
        <f>E47</f>
        <v>873591.9</v>
      </c>
      <c r="H47" s="7">
        <f>D47+F47-G47</f>
        <v>-376795.44000000006</v>
      </c>
      <c r="I47" s="7">
        <f>H47</f>
        <v>-376795.44000000006</v>
      </c>
    </row>
    <row r="48" spans="1:9" x14ac:dyDescent="0.25">
      <c r="A48" s="9"/>
      <c r="B48" s="9" t="s">
        <v>202</v>
      </c>
      <c r="C48" s="41" t="s">
        <v>93</v>
      </c>
      <c r="D48" s="9"/>
      <c r="E48" s="10"/>
      <c r="F48" s="9"/>
      <c r="G48" s="10"/>
      <c r="H48" s="9"/>
      <c r="I48" s="9"/>
    </row>
    <row r="49" spans="1:9" x14ac:dyDescent="0.25">
      <c r="A49" s="9">
        <v>3</v>
      </c>
      <c r="B49" s="9" t="s">
        <v>98</v>
      </c>
      <c r="C49" s="41" t="s">
        <v>203</v>
      </c>
      <c r="D49" s="9">
        <v>-944222.92</v>
      </c>
      <c r="E49" s="10">
        <v>2129374.8199999998</v>
      </c>
      <c r="F49" s="9">
        <v>2117131.5099999998</v>
      </c>
      <c r="G49" s="10">
        <f>E49</f>
        <v>2129374.8199999998</v>
      </c>
      <c r="H49" s="9">
        <f>D49+F49-G49</f>
        <v>-956466.23</v>
      </c>
      <c r="I49" s="9">
        <f>H49</f>
        <v>-956466.23</v>
      </c>
    </row>
    <row r="50" spans="1:9" x14ac:dyDescent="0.25">
      <c r="A50" s="1" t="s">
        <v>255</v>
      </c>
      <c r="B50" s="1"/>
      <c r="C50" s="1"/>
      <c r="D50" s="1"/>
      <c r="E50" s="1"/>
      <c r="F50" s="1"/>
      <c r="G50" s="1"/>
      <c r="H50" s="1"/>
      <c r="I50" s="2"/>
    </row>
    <row r="51" spans="1:9" x14ac:dyDescent="0.25">
      <c r="A51" s="5" t="s">
        <v>256</v>
      </c>
      <c r="B51" s="1"/>
      <c r="C51" s="1"/>
      <c r="D51" s="1"/>
      <c r="E51" s="1"/>
      <c r="F51" s="1"/>
      <c r="G51" s="1"/>
      <c r="H51" s="1"/>
      <c r="I51" s="2"/>
    </row>
    <row r="52" spans="1:9" x14ac:dyDescent="0.25">
      <c r="A52" s="48" t="s">
        <v>12</v>
      </c>
      <c r="B52" s="6" t="s">
        <v>102</v>
      </c>
      <c r="C52" s="58" t="s">
        <v>103</v>
      </c>
      <c r="D52" s="58"/>
      <c r="E52" s="58"/>
      <c r="F52" s="48" t="s">
        <v>172</v>
      </c>
      <c r="G52" s="58"/>
      <c r="H52" s="49"/>
      <c r="I52" s="6" t="s">
        <v>105</v>
      </c>
    </row>
    <row r="53" spans="1:9" x14ac:dyDescent="0.25">
      <c r="A53" s="51" t="s">
        <v>106</v>
      </c>
      <c r="B53" s="7"/>
      <c r="C53" s="60"/>
      <c r="D53" s="60"/>
      <c r="E53" s="60"/>
      <c r="F53" s="51" t="s">
        <v>1231</v>
      </c>
      <c r="G53" s="60"/>
      <c r="H53" s="61"/>
      <c r="I53" s="7" t="s">
        <v>108</v>
      </c>
    </row>
    <row r="54" spans="1:9" x14ac:dyDescent="0.25">
      <c r="A54" s="51"/>
      <c r="B54" s="7"/>
      <c r="C54" s="60"/>
      <c r="D54" s="60"/>
      <c r="E54" s="60"/>
      <c r="F54" s="51" t="s">
        <v>1232</v>
      </c>
      <c r="G54" s="60"/>
      <c r="H54" s="61"/>
      <c r="I54" s="7"/>
    </row>
    <row r="55" spans="1:9" x14ac:dyDescent="0.25">
      <c r="A55" s="51"/>
      <c r="B55" s="62"/>
      <c r="C55" s="60"/>
      <c r="D55" s="60"/>
      <c r="E55" s="60"/>
      <c r="F55" s="51" t="s">
        <v>1233</v>
      </c>
      <c r="G55" s="60"/>
      <c r="H55" s="61"/>
      <c r="I55" s="62"/>
    </row>
    <row r="56" spans="1:9" x14ac:dyDescent="0.25">
      <c r="A56" s="67" t="s">
        <v>110</v>
      </c>
      <c r="B56" s="18"/>
      <c r="C56" s="68" t="s">
        <v>111</v>
      </c>
      <c r="D56" s="68"/>
      <c r="E56" s="68"/>
      <c r="F56" s="48"/>
      <c r="G56" s="58"/>
      <c r="H56" s="49"/>
      <c r="I56" s="7"/>
    </row>
    <row r="57" spans="1:9" x14ac:dyDescent="0.25">
      <c r="A57" s="82"/>
      <c r="B57" s="18"/>
      <c r="C57" s="60" t="s">
        <v>112</v>
      </c>
      <c r="D57" s="60"/>
      <c r="E57" s="60"/>
      <c r="F57" s="51"/>
      <c r="G57" s="37"/>
      <c r="H57" s="61"/>
      <c r="I57" s="7"/>
    </row>
    <row r="58" spans="1:9" x14ac:dyDescent="0.25">
      <c r="A58" s="120" t="s">
        <v>113</v>
      </c>
      <c r="B58" s="70">
        <v>42794</v>
      </c>
      <c r="C58" s="60" t="s">
        <v>1234</v>
      </c>
      <c r="D58" s="60"/>
      <c r="E58" s="5"/>
      <c r="F58" s="51"/>
      <c r="G58" s="37">
        <f>I58/6068.49</f>
        <v>0.96156045408330582</v>
      </c>
      <c r="H58" s="61"/>
      <c r="I58" s="7">
        <v>5835.22</v>
      </c>
    </row>
    <row r="59" spans="1:9" x14ac:dyDescent="0.25">
      <c r="A59" s="120" t="s">
        <v>38</v>
      </c>
      <c r="B59" s="70">
        <v>42851</v>
      </c>
      <c r="C59" s="60" t="s">
        <v>1235</v>
      </c>
      <c r="D59" s="60" t="s">
        <v>71</v>
      </c>
      <c r="E59" s="5"/>
      <c r="F59" s="51"/>
      <c r="G59" s="37">
        <f>I59/6068.49</f>
        <v>3.7241554324057553</v>
      </c>
      <c r="H59" s="61"/>
      <c r="I59" s="7">
        <v>22600</v>
      </c>
    </row>
    <row r="60" spans="1:9" x14ac:dyDescent="0.25">
      <c r="A60" s="120" t="s">
        <v>40</v>
      </c>
      <c r="B60" s="70">
        <v>42978</v>
      </c>
      <c r="C60" s="60" t="s">
        <v>1236</v>
      </c>
      <c r="D60" s="60"/>
      <c r="E60" s="5"/>
      <c r="F60" s="51"/>
      <c r="G60" s="37">
        <f>I60/6068.49</f>
        <v>5.2480254560854513</v>
      </c>
      <c r="H60" s="61"/>
      <c r="I60" s="7">
        <v>31847.59</v>
      </c>
    </row>
    <row r="61" spans="1:9" x14ac:dyDescent="0.25">
      <c r="A61" s="120" t="s">
        <v>42</v>
      </c>
      <c r="B61" s="70">
        <v>42978</v>
      </c>
      <c r="C61" s="60" t="s">
        <v>1237</v>
      </c>
      <c r="D61" s="60"/>
      <c r="E61" s="5"/>
      <c r="F61" s="51"/>
      <c r="G61" s="37">
        <f t="shared" ref="G61:G66" si="1">I61/6068.49</f>
        <v>1.4775570199505974</v>
      </c>
      <c r="H61" s="61"/>
      <c r="I61" s="7">
        <v>8966.5400000000009</v>
      </c>
    </row>
    <row r="62" spans="1:9" x14ac:dyDescent="0.25">
      <c r="A62" s="120" t="s">
        <v>44</v>
      </c>
      <c r="B62" s="70">
        <v>43008</v>
      </c>
      <c r="C62" s="60" t="s">
        <v>1238</v>
      </c>
      <c r="D62" s="60"/>
      <c r="E62" s="5"/>
      <c r="F62" s="51"/>
      <c r="G62" s="37">
        <f t="shared" si="1"/>
        <v>3.6356309394923616</v>
      </c>
      <c r="H62" s="61"/>
      <c r="I62" s="7">
        <v>22062.79</v>
      </c>
    </row>
    <row r="63" spans="1:9" x14ac:dyDescent="0.25">
      <c r="A63" s="120" t="s">
        <v>46</v>
      </c>
      <c r="B63" s="70">
        <v>43039</v>
      </c>
      <c r="C63" s="60" t="s">
        <v>1239</v>
      </c>
      <c r="D63" s="60"/>
      <c r="E63" s="5"/>
      <c r="F63" s="51"/>
      <c r="G63" s="37">
        <f>I63/6068.49</f>
        <v>3.4572307114290375</v>
      </c>
      <c r="H63" s="61"/>
      <c r="I63" s="7">
        <v>20980.17</v>
      </c>
    </row>
    <row r="64" spans="1:9" x14ac:dyDescent="0.25">
      <c r="A64" s="120" t="s">
        <v>356</v>
      </c>
      <c r="B64" s="70">
        <v>43098</v>
      </c>
      <c r="C64" s="60" t="s">
        <v>1240</v>
      </c>
      <c r="D64" s="60"/>
      <c r="E64" s="5"/>
      <c r="F64" s="51"/>
      <c r="G64" s="37">
        <f t="shared" si="1"/>
        <v>2.4362963439010361</v>
      </c>
      <c r="H64" s="61"/>
      <c r="I64" s="7">
        <v>14784.64</v>
      </c>
    </row>
    <row r="65" spans="1:9" x14ac:dyDescent="0.25">
      <c r="A65" s="120" t="s">
        <v>1241</v>
      </c>
      <c r="B65" s="70" t="s">
        <v>433</v>
      </c>
      <c r="C65" s="60" t="s">
        <v>1242</v>
      </c>
      <c r="D65" s="60"/>
      <c r="E65" s="5"/>
      <c r="F65" s="51"/>
      <c r="G65" s="37">
        <f t="shared" si="1"/>
        <v>9.5596400422510381</v>
      </c>
      <c r="H65" s="61"/>
      <c r="I65" s="7">
        <v>58012.58</v>
      </c>
    </row>
    <row r="66" spans="1:9" x14ac:dyDescent="0.25">
      <c r="A66" s="120" t="s">
        <v>360</v>
      </c>
      <c r="B66" s="70" t="s">
        <v>433</v>
      </c>
      <c r="C66" s="60" t="s">
        <v>1243</v>
      </c>
      <c r="D66" s="60"/>
      <c r="E66" s="5"/>
      <c r="F66" s="51"/>
      <c r="G66" s="37">
        <f t="shared" si="1"/>
        <v>0.57004460747236962</v>
      </c>
      <c r="H66" s="61"/>
      <c r="I66" s="7">
        <v>3459.31</v>
      </c>
    </row>
    <row r="67" spans="1:9" x14ac:dyDescent="0.25">
      <c r="A67" s="120" t="s">
        <v>362</v>
      </c>
      <c r="B67" s="70" t="s">
        <v>207</v>
      </c>
      <c r="C67" s="60" t="s">
        <v>1244</v>
      </c>
      <c r="D67" s="60"/>
      <c r="E67" s="5"/>
      <c r="F67" s="51"/>
      <c r="G67" s="37">
        <f>I67/6068.49</f>
        <v>1.8969315266235918</v>
      </c>
      <c r="H67" s="61"/>
      <c r="I67" s="7">
        <v>11511.51</v>
      </c>
    </row>
    <row r="68" spans="1:9" x14ac:dyDescent="0.25">
      <c r="A68" s="69"/>
      <c r="B68" s="7"/>
      <c r="C68" s="5" t="s">
        <v>118</v>
      </c>
      <c r="D68" s="5"/>
      <c r="E68" s="5"/>
      <c r="F68" s="59"/>
      <c r="G68" s="196">
        <f>SUM(G58:G67)</f>
        <v>32.967072533694541</v>
      </c>
      <c r="H68" s="71"/>
      <c r="I68" s="18">
        <f>SUM(I58:I67)</f>
        <v>200060.35000000003</v>
      </c>
    </row>
    <row r="69" spans="1:9" x14ac:dyDescent="0.25">
      <c r="A69" s="6"/>
      <c r="B69" s="6"/>
      <c r="C69" s="48"/>
      <c r="D69" s="58"/>
      <c r="E69" s="49"/>
      <c r="F69" s="48"/>
      <c r="G69" s="86"/>
      <c r="H69" s="49"/>
      <c r="I69" s="6"/>
    </row>
    <row r="70" spans="1:9" x14ac:dyDescent="0.25">
      <c r="A70" s="25" t="s">
        <v>48</v>
      </c>
      <c r="B70" s="25" t="s">
        <v>119</v>
      </c>
      <c r="C70" s="57" t="s">
        <v>120</v>
      </c>
      <c r="D70" s="58"/>
      <c r="E70" s="49"/>
      <c r="F70" s="48" t="s">
        <v>121</v>
      </c>
      <c r="G70" s="58"/>
      <c r="H70" s="49"/>
      <c r="I70" s="6"/>
    </row>
    <row r="71" spans="1:9" x14ac:dyDescent="0.25">
      <c r="A71" s="69"/>
      <c r="B71" s="7"/>
      <c r="C71" s="51"/>
      <c r="D71" s="60"/>
      <c r="E71" s="61"/>
      <c r="F71" s="51"/>
      <c r="G71" s="37"/>
      <c r="H71" s="61"/>
      <c r="I71" s="7"/>
    </row>
    <row r="72" spans="1:9" x14ac:dyDescent="0.25">
      <c r="A72" s="73"/>
      <c r="B72" s="62" t="s">
        <v>119</v>
      </c>
      <c r="C72" s="15" t="s">
        <v>118</v>
      </c>
      <c r="D72" s="14"/>
      <c r="E72" s="85"/>
      <c r="F72" s="15" t="s">
        <v>71</v>
      </c>
      <c r="G72" s="14">
        <v>0</v>
      </c>
      <c r="H72" s="85"/>
      <c r="I72" s="12">
        <f>SUM(I71:I71)</f>
        <v>0</v>
      </c>
    </row>
    <row r="73" spans="1:9" x14ac:dyDescent="0.25">
      <c r="A73" s="2" t="s">
        <v>209</v>
      </c>
      <c r="B73" s="2"/>
      <c r="C73" s="2"/>
      <c r="D73" s="114" t="s">
        <v>123</v>
      </c>
      <c r="F73" s="2" t="s">
        <v>124</v>
      </c>
      <c r="G73" s="2" t="s">
        <v>1245</v>
      </c>
      <c r="H73" s="2"/>
      <c r="I73" s="2" t="s">
        <v>1246</v>
      </c>
    </row>
    <row r="74" spans="1:9" x14ac:dyDescent="0.25">
      <c r="A74" s="2"/>
      <c r="B74" s="2"/>
      <c r="G74" s="107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="110" zoomScaleNormal="110" workbookViewId="0">
      <selection activeCell="B12" sqref="B12"/>
    </sheetView>
  </sheetViews>
  <sheetFormatPr defaultRowHeight="15" x14ac:dyDescent="0.25"/>
  <cols>
    <col min="1" max="1" width="4.5703125" style="3" customWidth="1"/>
    <col min="2" max="2" width="32.140625" style="3" customWidth="1"/>
    <col min="3" max="3" width="12.5703125" style="3" customWidth="1"/>
    <col min="4" max="7" width="9.140625" style="3"/>
    <col min="8" max="8" width="12.28515625" style="3" customWidth="1"/>
    <col min="9" max="9" width="17.855468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186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1" t="s">
        <v>1247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1248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1249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190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5" t="s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</row>
    <row r="14" spans="1:9" x14ac:dyDescent="0.25">
      <c r="A14" s="7" t="s">
        <v>20</v>
      </c>
      <c r="B14" s="7"/>
      <c r="C14" s="7" t="s">
        <v>232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138</v>
      </c>
    </row>
    <row r="16" spans="1:9" x14ac:dyDescent="0.25">
      <c r="A16" s="7"/>
      <c r="B16" s="7"/>
      <c r="C16" s="7" t="s">
        <v>139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1">
        <v>1</v>
      </c>
      <c r="B18" s="12" t="s">
        <v>323</v>
      </c>
      <c r="C18" s="12">
        <v>7.97</v>
      </c>
      <c r="D18" s="17">
        <v>-63988.28</v>
      </c>
      <c r="E18" s="17">
        <v>803587.2</v>
      </c>
      <c r="F18" s="14">
        <v>785632.19</v>
      </c>
      <c r="G18" s="17">
        <f>E18</f>
        <v>803587.2</v>
      </c>
      <c r="H18" s="16">
        <f>D18+F18-G18</f>
        <v>-81943.290000000037</v>
      </c>
      <c r="I18" s="17">
        <f>H18</f>
        <v>-81943.290000000037</v>
      </c>
    </row>
    <row r="19" spans="1:9" x14ac:dyDescent="0.25">
      <c r="A19" s="7" t="s">
        <v>36</v>
      </c>
      <c r="B19" s="62" t="s">
        <v>37</v>
      </c>
      <c r="C19" s="74">
        <v>2.62</v>
      </c>
      <c r="D19" s="54"/>
      <c r="E19" s="141">
        <f>E18*33%</f>
        <v>265183.77600000001</v>
      </c>
      <c r="F19" s="54">
        <f>F18*33/100</f>
        <v>259258.62270000001</v>
      </c>
      <c r="G19" s="54">
        <f t="shared" ref="G19:G26" si="0">E19</f>
        <v>265183.77600000001</v>
      </c>
      <c r="H19" s="55"/>
      <c r="I19" s="54"/>
    </row>
    <row r="20" spans="1:9" x14ac:dyDescent="0.25">
      <c r="A20" s="24" t="s">
        <v>38</v>
      </c>
      <c r="B20" s="6" t="s">
        <v>39</v>
      </c>
      <c r="C20" s="58">
        <v>1.33</v>
      </c>
      <c r="D20" s="75"/>
      <c r="E20" s="75">
        <f>E18*17%</f>
        <v>136609.82399999999</v>
      </c>
      <c r="F20" s="75">
        <f>F18*17%</f>
        <v>133557.47229999999</v>
      </c>
      <c r="G20" s="75">
        <f t="shared" si="0"/>
        <v>136609.82399999999</v>
      </c>
      <c r="H20" s="105"/>
      <c r="I20" s="75"/>
    </row>
    <row r="21" spans="1:9" x14ac:dyDescent="0.25">
      <c r="A21" s="24" t="s">
        <v>40</v>
      </c>
      <c r="B21" s="6" t="s">
        <v>41</v>
      </c>
      <c r="C21" s="58">
        <v>1.63</v>
      </c>
      <c r="D21" s="29"/>
      <c r="E21" s="75">
        <f>E18*20/100</f>
        <v>160717.44</v>
      </c>
      <c r="F21" s="75">
        <f>F18*20%</f>
        <v>157126.43799999999</v>
      </c>
      <c r="G21" s="29">
        <f t="shared" si="0"/>
        <v>160717.44</v>
      </c>
      <c r="H21" s="142"/>
      <c r="I21" s="29"/>
    </row>
    <row r="22" spans="1:9" x14ac:dyDescent="0.25">
      <c r="A22" s="24" t="s">
        <v>42</v>
      </c>
      <c r="B22" s="6" t="s">
        <v>43</v>
      </c>
      <c r="C22" s="58">
        <v>2.39</v>
      </c>
      <c r="D22" s="22"/>
      <c r="E22" s="75">
        <f>E18*30%</f>
        <v>241076.15999999997</v>
      </c>
      <c r="F22" s="75">
        <f>F18*30%</f>
        <v>235689.65699999998</v>
      </c>
      <c r="G22" s="40">
        <f t="shared" si="0"/>
        <v>241076.15999999997</v>
      </c>
      <c r="H22" s="40"/>
      <c r="I22" s="29"/>
    </row>
    <row r="23" spans="1:9" x14ac:dyDescent="0.25">
      <c r="A23" s="24" t="s">
        <v>44</v>
      </c>
      <c r="B23" s="6" t="s">
        <v>45</v>
      </c>
      <c r="C23" s="58">
        <v>0.21314</v>
      </c>
      <c r="D23" s="29"/>
      <c r="E23" s="75">
        <v>12726.06</v>
      </c>
      <c r="F23" s="75">
        <v>13880.52</v>
      </c>
      <c r="G23" s="37">
        <f>E23</f>
        <v>12726.06</v>
      </c>
      <c r="H23" s="21">
        <f>F23-E23</f>
        <v>1154.4600000000009</v>
      </c>
      <c r="I23" s="44"/>
    </row>
    <row r="24" spans="1:9" x14ac:dyDescent="0.25">
      <c r="A24" s="24" t="s">
        <v>46</v>
      </c>
      <c r="B24" s="6" t="s">
        <v>47</v>
      </c>
      <c r="C24" s="58">
        <v>1.480405</v>
      </c>
      <c r="D24" s="29"/>
      <c r="E24" s="10">
        <v>143207.91</v>
      </c>
      <c r="F24" s="9">
        <v>124423.64</v>
      </c>
      <c r="G24" s="10">
        <f>E24</f>
        <v>143207.91</v>
      </c>
      <c r="H24" s="11">
        <f>F24-E24</f>
        <v>-18784.270000000004</v>
      </c>
      <c r="I24" s="11">
        <f>H24</f>
        <v>-18784.270000000004</v>
      </c>
    </row>
    <row r="25" spans="1:9" x14ac:dyDescent="0.25">
      <c r="A25" s="11" t="s">
        <v>48</v>
      </c>
      <c r="B25" s="11" t="s">
        <v>49</v>
      </c>
      <c r="C25" s="11" t="s">
        <v>50</v>
      </c>
      <c r="D25" s="43">
        <v>-35597.760000000002</v>
      </c>
      <c r="E25" s="11">
        <v>341296.77</v>
      </c>
      <c r="F25" s="11">
        <v>322160.82</v>
      </c>
      <c r="G25" s="41">
        <f>E25</f>
        <v>341296.77</v>
      </c>
      <c r="H25" s="42">
        <f>D25+F25-G25</f>
        <v>-54733.710000000021</v>
      </c>
      <c r="I25" s="43">
        <f>H25</f>
        <v>-54733.710000000021</v>
      </c>
    </row>
    <row r="26" spans="1:9" x14ac:dyDescent="0.25">
      <c r="A26" s="11" t="s">
        <v>51</v>
      </c>
      <c r="B26" s="11" t="s">
        <v>194</v>
      </c>
      <c r="C26" s="11">
        <v>0.92</v>
      </c>
      <c r="D26" s="43">
        <v>-4278.6000000000004</v>
      </c>
      <c r="E26" s="121">
        <v>0</v>
      </c>
      <c r="F26" s="33">
        <v>643.37</v>
      </c>
      <c r="G26" s="43">
        <f t="shared" si="0"/>
        <v>0</v>
      </c>
      <c r="H26" s="33">
        <f>D26+F26-G26</f>
        <v>-3635.2300000000005</v>
      </c>
      <c r="I26" s="43">
        <f>H26</f>
        <v>-3635.2300000000005</v>
      </c>
    </row>
    <row r="27" spans="1:9" x14ac:dyDescent="0.25">
      <c r="A27" s="11" t="s">
        <v>55</v>
      </c>
      <c r="B27" s="41" t="s">
        <v>143</v>
      </c>
      <c r="C27" s="11">
        <v>3.15</v>
      </c>
      <c r="D27" s="43">
        <v>-38983.599999999999</v>
      </c>
      <c r="E27" s="121">
        <v>297925.3</v>
      </c>
      <c r="F27" s="33">
        <v>273468.07</v>
      </c>
      <c r="G27" s="43">
        <f>E27</f>
        <v>297925.3</v>
      </c>
      <c r="H27" s="33">
        <f>D27+F27-G27</f>
        <v>-63440.829999999987</v>
      </c>
      <c r="I27" s="43">
        <f>H27</f>
        <v>-63440.829999999987</v>
      </c>
    </row>
    <row r="28" spans="1:9" x14ac:dyDescent="0.25">
      <c r="A28" s="11" t="s">
        <v>59</v>
      </c>
      <c r="B28" s="11" t="s">
        <v>459</v>
      </c>
      <c r="C28" s="42">
        <v>1.82</v>
      </c>
      <c r="D28" s="43">
        <v>104234.34</v>
      </c>
      <c r="E28" s="11">
        <v>183504.84</v>
      </c>
      <c r="F28" s="11">
        <f>F29+F30</f>
        <v>145482.35</v>
      </c>
      <c r="G28" s="11">
        <f>I67</f>
        <v>149525.78000000003</v>
      </c>
      <c r="H28" s="34">
        <f>D28+F28-G28+H30</f>
        <v>100190.90999999997</v>
      </c>
      <c r="I28" s="43"/>
    </row>
    <row r="29" spans="1:9" x14ac:dyDescent="0.25">
      <c r="A29" s="11"/>
      <c r="B29" s="9" t="s">
        <v>149</v>
      </c>
      <c r="C29" s="41"/>
      <c r="D29" s="43"/>
      <c r="E29" s="11"/>
      <c r="F29" s="11">
        <v>183757.42</v>
      </c>
      <c r="G29" s="11"/>
      <c r="H29" s="34"/>
      <c r="I29" s="43"/>
    </row>
    <row r="30" spans="1:9" x14ac:dyDescent="0.25">
      <c r="A30" s="12"/>
      <c r="B30" s="12" t="s">
        <v>1250</v>
      </c>
      <c r="C30" s="5"/>
      <c r="D30" s="44"/>
      <c r="E30" s="18"/>
      <c r="F30" s="18">
        <v>-38275.07</v>
      </c>
      <c r="G30" s="18"/>
      <c r="H30" s="21"/>
      <c r="I30" s="44"/>
    </row>
    <row r="31" spans="1:9" x14ac:dyDescent="0.25">
      <c r="A31" s="12" t="s">
        <v>196</v>
      </c>
      <c r="B31" s="12" t="s">
        <v>909</v>
      </c>
      <c r="C31" s="43">
        <v>0</v>
      </c>
      <c r="D31" s="43">
        <v>-38284.080000000002</v>
      </c>
      <c r="E31" s="11">
        <v>0</v>
      </c>
      <c r="F31" s="11">
        <f>F32+F33</f>
        <v>38284.080000000002</v>
      </c>
      <c r="G31" s="11">
        <f>I71</f>
        <v>0</v>
      </c>
      <c r="H31" s="42">
        <f>D31+F31-G31</f>
        <v>0</v>
      </c>
      <c r="I31" s="43">
        <f>H31</f>
        <v>0</v>
      </c>
    </row>
    <row r="32" spans="1:9" x14ac:dyDescent="0.25">
      <c r="A32" s="9"/>
      <c r="B32" s="9" t="s">
        <v>149</v>
      </c>
      <c r="C32" s="39"/>
      <c r="D32" s="8"/>
      <c r="E32" s="9">
        <v>0</v>
      </c>
      <c r="F32" s="11">
        <v>38275.07</v>
      </c>
      <c r="G32" s="62">
        <f>I71</f>
        <v>0</v>
      </c>
      <c r="H32" s="8"/>
      <c r="I32" s="29"/>
    </row>
    <row r="33" spans="1:9" x14ac:dyDescent="0.25">
      <c r="A33" s="9"/>
      <c r="B33" s="9" t="s">
        <v>53</v>
      </c>
      <c r="C33" s="10"/>
      <c r="D33" s="8"/>
      <c r="E33" s="9">
        <v>0</v>
      </c>
      <c r="F33" s="9">
        <v>9.01</v>
      </c>
      <c r="G33" s="10">
        <v>0</v>
      </c>
      <c r="H33" s="8"/>
      <c r="I33" s="54"/>
    </row>
    <row r="34" spans="1:9" x14ac:dyDescent="0.25">
      <c r="A34" s="1" t="s">
        <v>58</v>
      </c>
      <c r="B34" s="2"/>
      <c r="C34" s="2"/>
      <c r="E34" s="2"/>
      <c r="F34" s="2"/>
      <c r="G34" s="2"/>
      <c r="H34" s="2"/>
      <c r="I34" s="2"/>
    </row>
    <row r="35" spans="1:9" x14ac:dyDescent="0.25">
      <c r="A35" s="1"/>
      <c r="B35" s="2"/>
      <c r="C35" s="2"/>
      <c r="E35" s="2"/>
      <c r="F35" s="2"/>
      <c r="G35" s="2"/>
      <c r="H35" s="2"/>
      <c r="I35" s="2"/>
    </row>
    <row r="36" spans="1:9" x14ac:dyDescent="0.25">
      <c r="A36" s="25" t="s">
        <v>59</v>
      </c>
      <c r="B36" s="58" t="s">
        <v>60</v>
      </c>
      <c r="C36" s="6" t="s">
        <v>64</v>
      </c>
      <c r="D36" s="49" t="s">
        <v>62</v>
      </c>
      <c r="E36" s="58" t="s">
        <v>63</v>
      </c>
      <c r="F36" s="6" t="s">
        <v>64</v>
      </c>
      <c r="G36" s="6"/>
      <c r="H36" s="58" t="s">
        <v>199</v>
      </c>
      <c r="I36" s="49"/>
    </row>
    <row r="37" spans="1:9" x14ac:dyDescent="0.25">
      <c r="A37" s="7"/>
      <c r="B37" s="60"/>
      <c r="C37" s="62" t="s">
        <v>66</v>
      </c>
      <c r="D37" s="53" t="s">
        <v>23</v>
      </c>
      <c r="E37" s="74" t="s">
        <v>483</v>
      </c>
      <c r="F37" s="62" t="s">
        <v>30</v>
      </c>
      <c r="G37" s="62"/>
      <c r="H37" s="74"/>
      <c r="I37" s="53"/>
    </row>
    <row r="38" spans="1:9" x14ac:dyDescent="0.25">
      <c r="A38" s="12"/>
      <c r="B38" s="74" t="s">
        <v>68</v>
      </c>
      <c r="C38" s="29">
        <v>13960.5</v>
      </c>
      <c r="D38" s="9">
        <v>9153</v>
      </c>
      <c r="E38" s="79">
        <f>D38*15%</f>
        <v>1372.95</v>
      </c>
      <c r="F38" s="54">
        <f>C38+D38-E38</f>
        <v>21740.55</v>
      </c>
      <c r="G38" s="54"/>
      <c r="H38" s="79">
        <f>F38-G38</f>
        <v>21740.55</v>
      </c>
      <c r="I38" s="53"/>
    </row>
    <row r="39" spans="1:9" x14ac:dyDescent="0.25">
      <c r="A39" s="5"/>
      <c r="B39" s="60"/>
      <c r="C39" s="37"/>
      <c r="D39" s="60"/>
      <c r="E39" s="37"/>
      <c r="F39" s="37"/>
      <c r="G39" s="37"/>
      <c r="H39" s="37"/>
      <c r="I39" s="60"/>
    </row>
    <row r="40" spans="1:9" x14ac:dyDescent="0.25">
      <c r="A40" s="5"/>
      <c r="B40" s="60"/>
      <c r="C40" s="37"/>
      <c r="D40" s="60"/>
      <c r="E40" s="37"/>
      <c r="F40" s="37"/>
      <c r="G40" s="37"/>
      <c r="H40" s="37"/>
      <c r="I40" s="60"/>
    </row>
    <row r="41" spans="1:9" x14ac:dyDescent="0.25">
      <c r="A41" s="1" t="s">
        <v>252</v>
      </c>
      <c r="B41" s="1"/>
      <c r="C41" s="1"/>
      <c r="D41" s="47"/>
      <c r="E41" s="1"/>
      <c r="F41" s="1"/>
      <c r="G41" s="1"/>
      <c r="H41" s="1"/>
      <c r="I41" s="1"/>
    </row>
    <row r="42" spans="1:9" x14ac:dyDescent="0.25">
      <c r="A42" s="6" t="s">
        <v>71</v>
      </c>
      <c r="B42" s="57" t="s">
        <v>72</v>
      </c>
      <c r="C42" s="6" t="s">
        <v>73</v>
      </c>
      <c r="D42" s="58" t="s">
        <v>74</v>
      </c>
      <c r="E42" s="6" t="s">
        <v>75</v>
      </c>
      <c r="F42" s="58" t="s">
        <v>76</v>
      </c>
      <c r="G42" s="6" t="s">
        <v>253</v>
      </c>
      <c r="H42" s="6" t="s">
        <v>78</v>
      </c>
      <c r="I42" s="6" t="s">
        <v>19</v>
      </c>
    </row>
    <row r="43" spans="1:9" x14ac:dyDescent="0.25">
      <c r="A43" s="7"/>
      <c r="B43" s="59" t="s">
        <v>79</v>
      </c>
      <c r="C43" s="7" t="s">
        <v>80</v>
      </c>
      <c r="D43" s="60" t="s">
        <v>81</v>
      </c>
      <c r="E43" s="7" t="s">
        <v>82</v>
      </c>
      <c r="F43" s="60" t="s">
        <v>83</v>
      </c>
      <c r="G43" s="7" t="s">
        <v>84</v>
      </c>
      <c r="H43" s="7" t="s">
        <v>85</v>
      </c>
      <c r="I43" s="7" t="s">
        <v>86</v>
      </c>
    </row>
    <row r="44" spans="1:9" x14ac:dyDescent="0.25">
      <c r="A44" s="7"/>
      <c r="B44" s="51"/>
      <c r="C44" s="7"/>
      <c r="D44" s="60"/>
      <c r="E44" s="7"/>
      <c r="F44" s="60" t="s">
        <v>87</v>
      </c>
      <c r="G44" s="7" t="s">
        <v>88</v>
      </c>
      <c r="H44" s="7"/>
      <c r="I44" s="7" t="s">
        <v>30</v>
      </c>
    </row>
    <row r="45" spans="1:9" x14ac:dyDescent="0.25">
      <c r="A45" s="9"/>
      <c r="B45" s="8"/>
      <c r="C45" s="9"/>
      <c r="D45" s="9"/>
      <c r="E45" s="10"/>
      <c r="F45" s="9"/>
      <c r="G45" s="10"/>
      <c r="H45" s="9"/>
      <c r="I45" s="9"/>
    </row>
    <row r="46" spans="1:9" x14ac:dyDescent="0.25">
      <c r="A46" s="7">
        <v>1</v>
      </c>
      <c r="B46" s="7" t="s">
        <v>90</v>
      </c>
      <c r="C46" s="5" t="s">
        <v>91</v>
      </c>
      <c r="D46" s="7">
        <v>-83433.22</v>
      </c>
      <c r="E46" s="112">
        <v>584740.21</v>
      </c>
      <c r="F46" s="7">
        <v>563560.53</v>
      </c>
      <c r="G46" s="112">
        <f>E46</f>
        <v>584740.21</v>
      </c>
      <c r="H46" s="7">
        <f>D46+F46-G46</f>
        <v>-104612.89999999991</v>
      </c>
      <c r="I46" s="7">
        <f>H46</f>
        <v>-104612.89999999991</v>
      </c>
    </row>
    <row r="47" spans="1:9" x14ac:dyDescent="0.25">
      <c r="A47" s="9"/>
      <c r="B47" s="9" t="s">
        <v>92</v>
      </c>
      <c r="C47" s="41" t="s">
        <v>93</v>
      </c>
      <c r="D47" s="9"/>
      <c r="E47" s="65"/>
      <c r="F47" s="9"/>
      <c r="G47" s="65"/>
      <c r="H47" s="9"/>
      <c r="I47" s="9"/>
    </row>
    <row r="48" spans="1:9" x14ac:dyDescent="0.25">
      <c r="A48" s="7">
        <v>2</v>
      </c>
      <c r="B48" s="7" t="s">
        <v>168</v>
      </c>
      <c r="C48" s="1" t="s">
        <v>95</v>
      </c>
      <c r="D48" s="7">
        <v>-329539.53000000003</v>
      </c>
      <c r="E48" s="2">
        <v>882730.66</v>
      </c>
      <c r="F48" s="7">
        <v>825968.84</v>
      </c>
      <c r="G48" s="2">
        <f>E48</f>
        <v>882730.66</v>
      </c>
      <c r="H48" s="7">
        <f>D48+F48-G48</f>
        <v>-386301.35000000009</v>
      </c>
      <c r="I48" s="7">
        <f>H48</f>
        <v>-386301.35000000009</v>
      </c>
    </row>
    <row r="49" spans="1:9" x14ac:dyDescent="0.25">
      <c r="A49" s="9"/>
      <c r="B49" s="9" t="s">
        <v>313</v>
      </c>
      <c r="C49" s="41" t="s">
        <v>93</v>
      </c>
      <c r="D49" s="9"/>
      <c r="E49" s="10"/>
      <c r="F49" s="9"/>
      <c r="G49" s="10"/>
      <c r="H49" s="9"/>
      <c r="I49" s="9"/>
    </row>
    <row r="50" spans="1:9" x14ac:dyDescent="0.25">
      <c r="A50" s="9">
        <v>3</v>
      </c>
      <c r="B50" s="9" t="s">
        <v>98</v>
      </c>
      <c r="C50" s="41" t="s">
        <v>203</v>
      </c>
      <c r="D50" s="9">
        <v>-982617.51</v>
      </c>
      <c r="E50" s="10">
        <v>2358431.02</v>
      </c>
      <c r="F50" s="9">
        <v>2459463.31</v>
      </c>
      <c r="G50" s="10">
        <f>E50</f>
        <v>2358431.02</v>
      </c>
      <c r="H50" s="9">
        <f>D50+F50-G50</f>
        <v>-881585.22</v>
      </c>
      <c r="I50" s="9">
        <f>H50</f>
        <v>-881585.22</v>
      </c>
    </row>
    <row r="51" spans="1:9" x14ac:dyDescent="0.25">
      <c r="A51" s="1" t="s">
        <v>255</v>
      </c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" t="s">
        <v>256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48" t="s">
        <v>12</v>
      </c>
      <c r="B53" s="6" t="s">
        <v>102</v>
      </c>
      <c r="C53" s="58" t="s">
        <v>103</v>
      </c>
      <c r="D53" s="58"/>
      <c r="E53" s="58"/>
      <c r="F53" s="48" t="s">
        <v>222</v>
      </c>
      <c r="G53" s="58"/>
      <c r="H53" s="49"/>
      <c r="I53" s="6" t="s">
        <v>105</v>
      </c>
    </row>
    <row r="54" spans="1:9" x14ac:dyDescent="0.25">
      <c r="A54" s="51" t="s">
        <v>106</v>
      </c>
      <c r="B54" s="7" t="s">
        <v>71</v>
      </c>
      <c r="C54" s="60"/>
      <c r="D54" s="60"/>
      <c r="E54" s="60"/>
      <c r="F54" s="51" t="s">
        <v>224</v>
      </c>
      <c r="G54" s="60"/>
      <c r="H54" s="61"/>
      <c r="I54" s="7" t="s">
        <v>108</v>
      </c>
    </row>
    <row r="55" spans="1:9" x14ac:dyDescent="0.25">
      <c r="A55" s="51"/>
      <c r="B55" s="7"/>
      <c r="C55" s="60"/>
      <c r="D55" s="60"/>
      <c r="E55" s="60"/>
      <c r="F55" s="51" t="s">
        <v>257</v>
      </c>
      <c r="G55" s="60"/>
      <c r="H55" s="61"/>
      <c r="I55" s="7"/>
    </row>
    <row r="56" spans="1:9" x14ac:dyDescent="0.25">
      <c r="A56" s="51"/>
      <c r="B56" s="62"/>
      <c r="C56" s="60"/>
      <c r="D56" s="60"/>
      <c r="E56" s="60"/>
      <c r="F56" s="51" t="s">
        <v>258</v>
      </c>
      <c r="G56" s="60"/>
      <c r="H56" s="61"/>
      <c r="I56" s="62"/>
    </row>
    <row r="57" spans="1:9" x14ac:dyDescent="0.25">
      <c r="A57" s="67" t="s">
        <v>110</v>
      </c>
      <c r="B57" s="59"/>
      <c r="C57" s="57" t="s">
        <v>111</v>
      </c>
      <c r="D57" s="68"/>
      <c r="E57" s="72"/>
      <c r="F57" s="48"/>
      <c r="G57" s="58"/>
      <c r="H57" s="49"/>
      <c r="I57" s="7"/>
    </row>
    <row r="58" spans="1:9" x14ac:dyDescent="0.25">
      <c r="A58" s="69"/>
      <c r="B58" s="51"/>
      <c r="C58" s="51" t="s">
        <v>112</v>
      </c>
      <c r="D58" s="60"/>
      <c r="E58" s="61"/>
      <c r="F58" s="51" t="s">
        <v>71</v>
      </c>
      <c r="G58" s="37"/>
      <c r="H58" s="61" t="s">
        <v>71</v>
      </c>
      <c r="I58" s="7" t="s">
        <v>71</v>
      </c>
    </row>
    <row r="59" spans="1:9" x14ac:dyDescent="0.25">
      <c r="A59" s="69" t="s">
        <v>113</v>
      </c>
      <c r="B59" s="83">
        <v>42851</v>
      </c>
      <c r="C59" s="51" t="s">
        <v>114</v>
      </c>
      <c r="D59" s="60"/>
      <c r="E59" s="61"/>
      <c r="F59" s="51"/>
      <c r="G59" s="37">
        <f>I59/8402</f>
        <v>2.8564627469650081</v>
      </c>
      <c r="H59" s="61"/>
      <c r="I59" s="7">
        <v>24000</v>
      </c>
    </row>
    <row r="60" spans="1:9" x14ac:dyDescent="0.25">
      <c r="A60" s="69" t="s">
        <v>38</v>
      </c>
      <c r="B60" s="83">
        <v>42930</v>
      </c>
      <c r="C60" s="51" t="s">
        <v>1251</v>
      </c>
      <c r="D60" s="60"/>
      <c r="E60" s="61"/>
      <c r="F60" s="51"/>
      <c r="G60" s="37">
        <f t="shared" ref="G60:G65" si="1">I60/8402</f>
        <v>3.4953082599381102</v>
      </c>
      <c r="H60" s="61"/>
      <c r="I60" s="7">
        <v>29367.58</v>
      </c>
    </row>
    <row r="61" spans="1:9" x14ac:dyDescent="0.25">
      <c r="A61" s="69" t="s">
        <v>40</v>
      </c>
      <c r="B61" s="83">
        <v>43039</v>
      </c>
      <c r="C61" s="51" t="s">
        <v>1252</v>
      </c>
      <c r="D61" s="60"/>
      <c r="E61" s="61"/>
      <c r="F61" s="51"/>
      <c r="G61" s="37">
        <f t="shared" si="1"/>
        <v>0.78033563437276843</v>
      </c>
      <c r="H61" s="61"/>
      <c r="I61" s="7">
        <v>6556.38</v>
      </c>
    </row>
    <row r="62" spans="1:9" x14ac:dyDescent="0.25">
      <c r="A62" s="69" t="s">
        <v>42</v>
      </c>
      <c r="B62" s="83">
        <v>43039</v>
      </c>
      <c r="C62" s="51" t="s">
        <v>975</v>
      </c>
      <c r="D62" s="60"/>
      <c r="E62" s="61"/>
      <c r="F62" s="51"/>
      <c r="G62" s="37">
        <f t="shared" si="1"/>
        <v>5.1941787669602473</v>
      </c>
      <c r="H62" s="61"/>
      <c r="I62" s="7">
        <v>43641.49</v>
      </c>
    </row>
    <row r="63" spans="1:9" x14ac:dyDescent="0.25">
      <c r="A63" s="69" t="s">
        <v>468</v>
      </c>
      <c r="B63" s="83">
        <v>43069</v>
      </c>
      <c r="C63" s="51" t="s">
        <v>1253</v>
      </c>
      <c r="D63" s="60"/>
      <c r="E63" s="61"/>
      <c r="F63" s="51"/>
      <c r="G63" s="37">
        <f t="shared" si="1"/>
        <v>0.60930492739823849</v>
      </c>
      <c r="H63" s="61"/>
      <c r="I63" s="7">
        <v>5119.38</v>
      </c>
    </row>
    <row r="64" spans="1:9" x14ac:dyDescent="0.25">
      <c r="A64" s="69" t="s">
        <v>46</v>
      </c>
      <c r="B64" s="83">
        <v>43069</v>
      </c>
      <c r="C64" s="51" t="s">
        <v>1254</v>
      </c>
      <c r="D64" s="60"/>
      <c r="E64" s="61"/>
      <c r="F64" s="51"/>
      <c r="G64" s="37">
        <f t="shared" si="1"/>
        <v>2.370473696738872</v>
      </c>
      <c r="H64" s="61"/>
      <c r="I64" s="7">
        <v>19916.72</v>
      </c>
    </row>
    <row r="65" spans="1:9" x14ac:dyDescent="0.25">
      <c r="A65" s="69" t="s">
        <v>356</v>
      </c>
      <c r="B65" s="83">
        <v>43098</v>
      </c>
      <c r="C65" s="51" t="s">
        <v>1255</v>
      </c>
      <c r="D65" s="5"/>
      <c r="E65" s="5"/>
      <c r="F65" s="5"/>
      <c r="G65" s="37">
        <f t="shared" si="1"/>
        <v>1.6005224946441323</v>
      </c>
      <c r="H65" s="61"/>
      <c r="I65" s="7">
        <v>13447.59</v>
      </c>
    </row>
    <row r="66" spans="1:9" x14ac:dyDescent="0.25">
      <c r="A66" s="69" t="s">
        <v>358</v>
      </c>
      <c r="B66" s="83" t="s">
        <v>986</v>
      </c>
      <c r="C66" s="51" t="s">
        <v>1256</v>
      </c>
      <c r="D66" s="5"/>
      <c r="E66" s="5"/>
      <c r="F66" s="5"/>
      <c r="G66" s="260"/>
      <c r="H66" s="61"/>
      <c r="I66" s="7">
        <v>7476.64</v>
      </c>
    </row>
    <row r="67" spans="1:9" x14ac:dyDescent="0.25">
      <c r="A67" s="69"/>
      <c r="B67" s="83"/>
      <c r="C67" s="15" t="s">
        <v>118</v>
      </c>
      <c r="D67" s="14"/>
      <c r="E67" s="14"/>
      <c r="F67" s="14"/>
      <c r="G67" s="196">
        <f>SUM(G65)</f>
        <v>1.6005224946441323</v>
      </c>
      <c r="H67" s="71"/>
      <c r="I67" s="18">
        <f>SUM(I59:I66)</f>
        <v>149525.78000000003</v>
      </c>
    </row>
    <row r="68" spans="1:9" x14ac:dyDescent="0.25">
      <c r="A68" s="6"/>
      <c r="B68" s="6"/>
      <c r="C68" s="51"/>
      <c r="D68" s="60"/>
      <c r="E68" s="61"/>
      <c r="F68" s="51"/>
      <c r="G68" s="58"/>
      <c r="H68" s="49"/>
      <c r="I68" s="6"/>
    </row>
    <row r="69" spans="1:9" x14ac:dyDescent="0.25">
      <c r="A69" s="6" t="s">
        <v>48</v>
      </c>
      <c r="B69" s="25" t="s">
        <v>119</v>
      </c>
      <c r="C69" s="57" t="s">
        <v>120</v>
      </c>
      <c r="D69" s="58"/>
      <c r="E69" s="49"/>
      <c r="F69" s="48" t="s">
        <v>121</v>
      </c>
      <c r="G69" s="58"/>
      <c r="H69" s="49"/>
      <c r="I69" s="6"/>
    </row>
    <row r="70" spans="1:9" x14ac:dyDescent="0.25">
      <c r="A70" s="69"/>
      <c r="B70" s="70"/>
      <c r="C70" s="51"/>
      <c r="D70" s="60"/>
      <c r="E70" s="61"/>
      <c r="F70" s="51"/>
      <c r="G70" s="37"/>
      <c r="H70" s="61"/>
      <c r="I70" s="7"/>
    </row>
    <row r="71" spans="1:9" x14ac:dyDescent="0.25">
      <c r="A71" s="73"/>
      <c r="B71" s="62" t="s">
        <v>119</v>
      </c>
      <c r="C71" s="15" t="s">
        <v>118</v>
      </c>
      <c r="D71" s="14"/>
      <c r="E71" s="85"/>
      <c r="F71" s="15" t="s">
        <v>71</v>
      </c>
      <c r="G71" s="78">
        <f>SUM(G70)</f>
        <v>0</v>
      </c>
      <c r="H71" s="85"/>
      <c r="I71" s="12">
        <f>SUM(I70)</f>
        <v>0</v>
      </c>
    </row>
    <row r="72" spans="1:9" x14ac:dyDescent="0.25">
      <c r="A72" s="2" t="s">
        <v>514</v>
      </c>
      <c r="B72" s="2"/>
      <c r="C72" s="2"/>
      <c r="D72" s="114" t="s">
        <v>123</v>
      </c>
      <c r="F72" s="2" t="s">
        <v>124</v>
      </c>
      <c r="G72" s="2" t="s">
        <v>262</v>
      </c>
      <c r="H72" s="2"/>
      <c r="I72" s="2" t="s">
        <v>263</v>
      </c>
    </row>
    <row r="73" spans="1:9" x14ac:dyDescent="0.25">
      <c r="A73" s="2"/>
      <c r="B73" s="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43" zoomScale="110" zoomScaleNormal="110" workbookViewId="0">
      <selection activeCell="B68" sqref="B68"/>
    </sheetView>
  </sheetViews>
  <sheetFormatPr defaultRowHeight="15" x14ac:dyDescent="0.25"/>
  <cols>
    <col min="1" max="1" width="4.7109375" style="3" customWidth="1"/>
    <col min="2" max="2" width="26.85546875" style="3" customWidth="1"/>
    <col min="3" max="3" width="14.42578125" style="3" customWidth="1"/>
    <col min="4" max="4" width="11.28515625" style="3" customWidth="1"/>
    <col min="5" max="5" width="11" style="3" customWidth="1"/>
    <col min="6" max="6" width="11.28515625" style="3" customWidth="1"/>
    <col min="7" max="7" width="11" style="3" customWidth="1"/>
    <col min="8" max="8" width="12.85546875" style="3" customWidth="1"/>
    <col min="9" max="9" width="19.85546875" style="3" customWidth="1"/>
    <col min="10" max="16384" width="9.1406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J1" s="118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J2" s="118"/>
    </row>
    <row r="3" spans="1:10" x14ac:dyDescent="0.25">
      <c r="A3" s="1" t="s">
        <v>2</v>
      </c>
      <c r="B3" s="1"/>
      <c r="C3" s="1"/>
      <c r="D3" s="1"/>
      <c r="E3" s="1"/>
      <c r="F3" s="1"/>
      <c r="G3" s="1"/>
      <c r="H3" s="1"/>
      <c r="J3" s="118"/>
    </row>
    <row r="4" spans="1:10" x14ac:dyDescent="0.25">
      <c r="A4" s="1" t="s">
        <v>3</v>
      </c>
      <c r="B4" s="1"/>
      <c r="C4" s="1"/>
      <c r="D4" s="1"/>
      <c r="E4" s="1"/>
      <c r="F4" s="1"/>
      <c r="G4" s="1"/>
      <c r="H4" s="1"/>
      <c r="J4" s="118"/>
    </row>
    <row r="5" spans="1:10" x14ac:dyDescent="0.25">
      <c r="A5" s="1" t="s">
        <v>4</v>
      </c>
      <c r="B5" s="2"/>
      <c r="C5" s="2"/>
      <c r="D5" s="2"/>
      <c r="E5" s="2"/>
      <c r="F5" s="2"/>
      <c r="G5" s="2"/>
      <c r="H5" s="2"/>
      <c r="J5" s="118"/>
    </row>
    <row r="6" spans="1:10" x14ac:dyDescent="0.25">
      <c r="A6" s="1" t="s">
        <v>1257</v>
      </c>
      <c r="B6" s="2"/>
      <c r="C6" s="2"/>
      <c r="D6" s="2"/>
      <c r="E6" s="2"/>
      <c r="F6" s="2"/>
      <c r="G6" s="2"/>
      <c r="H6" s="2"/>
      <c r="J6" s="118"/>
    </row>
    <row r="7" spans="1:10" x14ac:dyDescent="0.25">
      <c r="A7" s="2" t="s">
        <v>1258</v>
      </c>
      <c r="B7" s="2"/>
      <c r="C7" s="2"/>
      <c r="D7" s="2"/>
      <c r="E7" s="2"/>
      <c r="F7" s="2"/>
      <c r="G7" s="2"/>
      <c r="H7" s="2"/>
      <c r="J7" s="118"/>
    </row>
    <row r="8" spans="1:10" x14ac:dyDescent="0.25">
      <c r="A8" s="2" t="s">
        <v>1259</v>
      </c>
      <c r="B8" s="2"/>
      <c r="C8" s="2"/>
      <c r="D8" s="2"/>
      <c r="E8" s="2"/>
      <c r="F8" s="2"/>
      <c r="G8" s="2"/>
      <c r="H8" s="2"/>
      <c r="J8" s="118"/>
    </row>
    <row r="9" spans="1:10" x14ac:dyDescent="0.25">
      <c r="A9" s="2" t="s">
        <v>267</v>
      </c>
      <c r="B9" s="2"/>
      <c r="C9" s="2"/>
      <c r="D9" s="2"/>
      <c r="E9" s="2"/>
      <c r="F9" s="2"/>
      <c r="G9" s="2"/>
      <c r="H9" s="2"/>
      <c r="J9" s="118"/>
    </row>
    <row r="10" spans="1:10" x14ac:dyDescent="0.25">
      <c r="A10" s="1" t="s">
        <v>1260</v>
      </c>
      <c r="B10" s="1"/>
      <c r="C10" s="1"/>
      <c r="D10" s="1"/>
      <c r="E10" s="1"/>
      <c r="F10" s="1"/>
      <c r="G10" s="1"/>
      <c r="H10" s="1"/>
      <c r="I10" s="1"/>
      <c r="J10" s="118"/>
    </row>
    <row r="11" spans="1:10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18"/>
    </row>
    <row r="12" spans="1:10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  <c r="J12" s="118"/>
    </row>
    <row r="13" spans="1:10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19</v>
      </c>
      <c r="J13" s="118"/>
    </row>
    <row r="14" spans="1:10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136</v>
      </c>
      <c r="J14" s="118"/>
    </row>
    <row r="15" spans="1:10" x14ac:dyDescent="0.25">
      <c r="A15" s="7"/>
      <c r="B15" s="7"/>
      <c r="C15" s="7" t="s">
        <v>27</v>
      </c>
      <c r="D15" s="7" t="s">
        <v>1261</v>
      </c>
      <c r="E15" s="7"/>
      <c r="F15" s="7"/>
      <c r="G15" s="7" t="s">
        <v>29</v>
      </c>
      <c r="H15" s="7" t="s">
        <v>30</v>
      </c>
      <c r="I15" s="7" t="s">
        <v>138</v>
      </c>
      <c r="J15" s="118"/>
    </row>
    <row r="16" spans="1:10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34</v>
      </c>
      <c r="J16" s="118"/>
    </row>
    <row r="17" spans="1:10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  <c r="J17" s="118"/>
    </row>
    <row r="18" spans="1:10" x14ac:dyDescent="0.25">
      <c r="A18" s="15">
        <v>1</v>
      </c>
      <c r="B18" s="12" t="s">
        <v>323</v>
      </c>
      <c r="C18" s="12">
        <v>7.97</v>
      </c>
      <c r="D18" s="17">
        <v>-26901</v>
      </c>
      <c r="E18" s="17">
        <v>732422.64</v>
      </c>
      <c r="F18" s="14">
        <v>743370.89</v>
      </c>
      <c r="G18" s="17">
        <f>E18</f>
        <v>732422.64</v>
      </c>
      <c r="H18" s="16">
        <f>D18+F18-G18</f>
        <v>-15952.75</v>
      </c>
      <c r="I18" s="17">
        <f>H18</f>
        <v>-15952.75</v>
      </c>
      <c r="J18" s="118"/>
    </row>
    <row r="19" spans="1:10" x14ac:dyDescent="0.25">
      <c r="A19" s="7" t="s">
        <v>36</v>
      </c>
      <c r="B19" s="7" t="s">
        <v>457</v>
      </c>
      <c r="C19" s="60"/>
      <c r="D19" s="75"/>
      <c r="E19" s="7"/>
      <c r="F19" s="22"/>
      <c r="G19" s="7" t="s">
        <v>71</v>
      </c>
      <c r="H19" s="51"/>
      <c r="I19" s="75"/>
      <c r="J19" s="118"/>
    </row>
    <row r="20" spans="1:10" x14ac:dyDescent="0.25">
      <c r="A20" s="62"/>
      <c r="B20" s="62" t="s">
        <v>458</v>
      </c>
      <c r="C20" s="74">
        <v>2.62</v>
      </c>
      <c r="D20" s="54"/>
      <c r="E20" s="141">
        <f>E18*33%</f>
        <v>241699.47120000003</v>
      </c>
      <c r="F20" s="54">
        <f>F18*33%</f>
        <v>245312.39370000002</v>
      </c>
      <c r="G20" s="54">
        <f t="shared" ref="G20:G27" si="0">E20</f>
        <v>241699.47120000003</v>
      </c>
      <c r="H20" s="55"/>
      <c r="I20" s="54"/>
      <c r="J20" s="118"/>
    </row>
    <row r="21" spans="1:10" x14ac:dyDescent="0.25">
      <c r="A21" s="24" t="s">
        <v>38</v>
      </c>
      <c r="B21" s="6" t="s">
        <v>39</v>
      </c>
      <c r="C21" s="58">
        <v>1.33</v>
      </c>
      <c r="D21" s="75"/>
      <c r="E21" s="75">
        <f>E18*17%</f>
        <v>124511.84880000001</v>
      </c>
      <c r="F21" s="75">
        <f>F18*17%</f>
        <v>126373.05130000001</v>
      </c>
      <c r="G21" s="75">
        <f t="shared" si="0"/>
        <v>124511.84880000001</v>
      </c>
      <c r="H21" s="105"/>
      <c r="I21" s="75"/>
      <c r="J21" s="118"/>
    </row>
    <row r="22" spans="1:10" x14ac:dyDescent="0.25">
      <c r="A22" s="24" t="s">
        <v>40</v>
      </c>
      <c r="B22" s="6" t="s">
        <v>41</v>
      </c>
      <c r="C22" s="58">
        <v>1.63</v>
      </c>
      <c r="D22" s="75"/>
      <c r="E22" s="75">
        <f>E18*20%</f>
        <v>146484.52800000002</v>
      </c>
      <c r="F22" s="75">
        <f>F18*20%</f>
        <v>148674.17800000001</v>
      </c>
      <c r="G22" s="75">
        <f t="shared" si="0"/>
        <v>146484.52800000002</v>
      </c>
      <c r="H22" s="110"/>
      <c r="I22" s="75"/>
      <c r="J22" s="118"/>
    </row>
    <row r="23" spans="1:10" x14ac:dyDescent="0.25">
      <c r="A23" s="24" t="s">
        <v>42</v>
      </c>
      <c r="B23" s="6" t="s">
        <v>43</v>
      </c>
      <c r="C23" s="58">
        <v>2.39</v>
      </c>
      <c r="D23" s="29"/>
      <c r="E23" s="75">
        <f>E18*30%</f>
        <v>219726.79199999999</v>
      </c>
      <c r="F23" s="75">
        <f>F18*30%</f>
        <v>223011.26699999999</v>
      </c>
      <c r="G23" s="40">
        <f t="shared" si="0"/>
        <v>219726.79199999999</v>
      </c>
      <c r="H23" s="40"/>
      <c r="I23" s="29"/>
      <c r="J23" s="118"/>
    </row>
    <row r="24" spans="1:10" x14ac:dyDescent="0.25">
      <c r="A24" s="24" t="s">
        <v>44</v>
      </c>
      <c r="B24" s="6" t="s">
        <v>45</v>
      </c>
      <c r="C24" s="58">
        <v>0.23397000000000001</v>
      </c>
      <c r="D24" s="29"/>
      <c r="E24" s="75">
        <v>12879.2</v>
      </c>
      <c r="F24" s="75">
        <v>13836.38</v>
      </c>
      <c r="G24" s="39">
        <f t="shared" si="0"/>
        <v>12879.2</v>
      </c>
      <c r="H24" s="34">
        <f>F24-E24</f>
        <v>957.17999999999847</v>
      </c>
      <c r="I24" s="43"/>
      <c r="J24" s="118"/>
    </row>
    <row r="25" spans="1:10" x14ac:dyDescent="0.25">
      <c r="A25" s="24" t="s">
        <v>46</v>
      </c>
      <c r="B25" s="6" t="s">
        <v>47</v>
      </c>
      <c r="C25" s="58">
        <v>1.5065200000000001</v>
      </c>
      <c r="D25" s="29"/>
      <c r="E25" s="9">
        <v>169894.69</v>
      </c>
      <c r="F25" s="10">
        <v>151261.69</v>
      </c>
      <c r="G25" s="9">
        <f>E25</f>
        <v>169894.69</v>
      </c>
      <c r="H25" s="11">
        <f>F25-E25</f>
        <v>-18633</v>
      </c>
      <c r="I25" s="11">
        <f>H25</f>
        <v>-18633</v>
      </c>
      <c r="J25" s="118"/>
    </row>
    <row r="26" spans="1:10" x14ac:dyDescent="0.25">
      <c r="A26" s="11" t="s">
        <v>48</v>
      </c>
      <c r="B26" s="11" t="s">
        <v>49</v>
      </c>
      <c r="C26" s="11" t="s">
        <v>50</v>
      </c>
      <c r="D26" s="43">
        <v>-29727.09</v>
      </c>
      <c r="E26" s="11">
        <v>311071.5</v>
      </c>
      <c r="F26" s="11">
        <v>300014.55</v>
      </c>
      <c r="G26" s="41">
        <f t="shared" si="0"/>
        <v>311071.5</v>
      </c>
      <c r="H26" s="42">
        <f>D26-E26+F26</f>
        <v>-40784.040000000037</v>
      </c>
      <c r="I26" s="43">
        <f>H26</f>
        <v>-40784.040000000037</v>
      </c>
      <c r="J26" s="118"/>
    </row>
    <row r="27" spans="1:10" x14ac:dyDescent="0.25">
      <c r="A27" s="11" t="s">
        <v>51</v>
      </c>
      <c r="B27" s="42" t="s">
        <v>143</v>
      </c>
      <c r="C27" s="11">
        <v>3.15</v>
      </c>
      <c r="D27" s="43">
        <v>-44993.440000000002</v>
      </c>
      <c r="E27" s="121">
        <v>246670.67</v>
      </c>
      <c r="F27" s="33">
        <v>254404.35</v>
      </c>
      <c r="G27" s="43">
        <f t="shared" si="0"/>
        <v>246670.67</v>
      </c>
      <c r="H27" s="32">
        <f>D27+F27-G27</f>
        <v>-37259.760000000009</v>
      </c>
      <c r="I27" s="17">
        <f>H27</f>
        <v>-37259.760000000009</v>
      </c>
      <c r="J27" s="118"/>
    </row>
    <row r="28" spans="1:10" x14ac:dyDescent="0.25">
      <c r="A28" s="12" t="s">
        <v>55</v>
      </c>
      <c r="B28" s="12" t="s">
        <v>459</v>
      </c>
      <c r="C28" s="14">
        <v>1.82</v>
      </c>
      <c r="D28" s="43">
        <v>-13762.4</v>
      </c>
      <c r="E28" s="11">
        <v>167253.6</v>
      </c>
      <c r="F28" s="11">
        <v>173278.95</v>
      </c>
      <c r="G28" s="11">
        <f>I64</f>
        <v>99767.400000000009</v>
      </c>
      <c r="H28" s="42">
        <f>D28+F28-G28</f>
        <v>59749.150000000009</v>
      </c>
      <c r="I28" s="43"/>
      <c r="J28" s="118"/>
    </row>
    <row r="29" spans="1:10" x14ac:dyDescent="0.25">
      <c r="A29" s="12"/>
      <c r="B29" s="12"/>
      <c r="C29" s="14"/>
      <c r="D29" s="16"/>
      <c r="E29" s="12"/>
      <c r="F29" s="12"/>
      <c r="G29" s="12"/>
      <c r="H29" s="15"/>
      <c r="I29" s="17"/>
      <c r="J29" s="118"/>
    </row>
    <row r="30" spans="1:10" x14ac:dyDescent="0.25">
      <c r="A30" s="12" t="s">
        <v>59</v>
      </c>
      <c r="B30" s="12" t="s">
        <v>1262</v>
      </c>
      <c r="C30" s="17"/>
      <c r="D30" s="15">
        <v>99.23</v>
      </c>
      <c r="E30" s="12">
        <v>0</v>
      </c>
      <c r="F30" s="12">
        <f>F31</f>
        <v>378.12</v>
      </c>
      <c r="G30" s="12">
        <f>G31</f>
        <v>0</v>
      </c>
      <c r="H30" s="15">
        <f>D30+F30-G30</f>
        <v>477.35</v>
      </c>
      <c r="I30" s="17"/>
      <c r="J30" s="118"/>
    </row>
    <row r="31" spans="1:10" x14ac:dyDescent="0.25">
      <c r="A31" s="9"/>
      <c r="B31" s="9" t="s">
        <v>53</v>
      </c>
      <c r="C31" s="39"/>
      <c r="D31" s="8"/>
      <c r="E31" s="9">
        <v>0</v>
      </c>
      <c r="F31" s="9">
        <v>378.12</v>
      </c>
      <c r="G31" s="9">
        <f>I68</f>
        <v>0</v>
      </c>
      <c r="H31" s="8"/>
      <c r="I31" s="29"/>
      <c r="J31" s="118"/>
    </row>
    <row r="32" spans="1:10" x14ac:dyDescent="0.25">
      <c r="A32" s="1" t="s">
        <v>58</v>
      </c>
      <c r="B32" s="2"/>
      <c r="C32" s="2"/>
      <c r="E32" s="2"/>
      <c r="F32" s="2"/>
      <c r="G32" s="2"/>
      <c r="H32" s="2"/>
      <c r="I32" s="2"/>
      <c r="J32" s="118"/>
    </row>
    <row r="33" spans="1:10" x14ac:dyDescent="0.25">
      <c r="A33" s="1"/>
      <c r="B33" s="2"/>
      <c r="C33" s="2"/>
      <c r="E33" s="2"/>
      <c r="F33" s="2"/>
      <c r="G33" s="2"/>
      <c r="H33" s="2"/>
      <c r="I33" s="2"/>
      <c r="J33" s="118"/>
    </row>
    <row r="34" spans="1:10" x14ac:dyDescent="0.25">
      <c r="A34" s="1"/>
      <c r="B34" s="2"/>
      <c r="C34" s="2"/>
      <c r="E34" s="2"/>
      <c r="F34" s="2"/>
      <c r="G34" s="2"/>
      <c r="H34" s="2"/>
      <c r="I34" s="2"/>
      <c r="J34" s="118"/>
    </row>
    <row r="35" spans="1:10" x14ac:dyDescent="0.25">
      <c r="A35" s="25" t="s">
        <v>196</v>
      </c>
      <c r="B35" s="58" t="s">
        <v>60</v>
      </c>
      <c r="C35" s="6" t="s">
        <v>64</v>
      </c>
      <c r="D35" s="49" t="s">
        <v>62</v>
      </c>
      <c r="E35" s="58" t="s">
        <v>63</v>
      </c>
      <c r="F35" s="6" t="s">
        <v>64</v>
      </c>
      <c r="G35" s="6"/>
      <c r="H35" s="58" t="s">
        <v>199</v>
      </c>
      <c r="I35" s="49"/>
      <c r="J35" s="118"/>
    </row>
    <row r="36" spans="1:10" x14ac:dyDescent="0.25">
      <c r="A36" s="7"/>
      <c r="B36" s="60"/>
      <c r="C36" s="62" t="s">
        <v>66</v>
      </c>
      <c r="D36" s="53" t="s">
        <v>23</v>
      </c>
      <c r="E36" s="74" t="s">
        <v>312</v>
      </c>
      <c r="F36" s="62" t="s">
        <v>30</v>
      </c>
      <c r="G36" s="62"/>
      <c r="H36" s="74"/>
      <c r="I36" s="53"/>
      <c r="J36" s="118"/>
    </row>
    <row r="37" spans="1:10" x14ac:dyDescent="0.25">
      <c r="A37" s="12"/>
      <c r="B37" s="74" t="s">
        <v>68</v>
      </c>
      <c r="C37" s="54">
        <v>16498.5</v>
      </c>
      <c r="D37" s="53">
        <v>9153</v>
      </c>
      <c r="E37" s="79">
        <f>D37*15%</f>
        <v>1372.95</v>
      </c>
      <c r="F37" s="54">
        <f>C37+(D37-E37)</f>
        <v>24278.55</v>
      </c>
      <c r="G37" s="54" t="s">
        <v>71</v>
      </c>
      <c r="H37" s="79">
        <f>F37</f>
        <v>24278.55</v>
      </c>
      <c r="I37" s="53"/>
      <c r="J37" s="118"/>
    </row>
    <row r="38" spans="1:10" x14ac:dyDescent="0.25">
      <c r="A38" s="5"/>
      <c r="B38" s="60"/>
      <c r="C38" s="37"/>
      <c r="D38" s="60"/>
      <c r="E38" s="37"/>
      <c r="F38" s="37"/>
      <c r="G38" s="37"/>
      <c r="H38" s="37"/>
      <c r="I38" s="60"/>
      <c r="J38" s="118"/>
    </row>
    <row r="39" spans="1:10" x14ac:dyDescent="0.25">
      <c r="A39" s="1" t="s">
        <v>252</v>
      </c>
      <c r="B39" s="1"/>
      <c r="C39" s="1"/>
      <c r="D39" s="47"/>
      <c r="E39" s="1"/>
      <c r="F39" s="1"/>
      <c r="G39" s="1"/>
      <c r="H39" s="1"/>
      <c r="I39" s="1"/>
      <c r="J39" s="118"/>
    </row>
    <row r="40" spans="1:10" x14ac:dyDescent="0.25">
      <c r="A40" s="6" t="s">
        <v>71</v>
      </c>
      <c r="B40" s="48" t="s">
        <v>72</v>
      </c>
      <c r="C40" s="6" t="s">
        <v>73</v>
      </c>
      <c r="D40" s="58" t="s">
        <v>74</v>
      </c>
      <c r="E40" s="6" t="s">
        <v>75</v>
      </c>
      <c r="F40" s="58" t="s">
        <v>76</v>
      </c>
      <c r="G40" s="6" t="s">
        <v>253</v>
      </c>
      <c r="H40" s="6" t="s">
        <v>78</v>
      </c>
      <c r="I40" s="6" t="s">
        <v>19</v>
      </c>
      <c r="J40" s="118"/>
    </row>
    <row r="41" spans="1:10" x14ac:dyDescent="0.25">
      <c r="A41" s="7"/>
      <c r="B41" s="51" t="s">
        <v>79</v>
      </c>
      <c r="C41" s="7" t="s">
        <v>80</v>
      </c>
      <c r="D41" s="60" t="s">
        <v>81</v>
      </c>
      <c r="E41" s="7" t="s">
        <v>82</v>
      </c>
      <c r="F41" s="60" t="s">
        <v>83</v>
      </c>
      <c r="G41" s="7" t="s">
        <v>84</v>
      </c>
      <c r="H41" s="7" t="s">
        <v>85</v>
      </c>
      <c r="I41" s="7" t="s">
        <v>86</v>
      </c>
      <c r="J41" s="118"/>
    </row>
    <row r="42" spans="1:10" x14ac:dyDescent="0.25">
      <c r="A42" s="7"/>
      <c r="B42" s="51"/>
      <c r="C42" s="7"/>
      <c r="D42" s="60"/>
      <c r="E42" s="7"/>
      <c r="F42" s="60" t="s">
        <v>87</v>
      </c>
      <c r="G42" s="7" t="s">
        <v>88</v>
      </c>
      <c r="H42" s="7"/>
      <c r="I42" s="7" t="s">
        <v>30</v>
      </c>
    </row>
    <row r="43" spans="1:10" x14ac:dyDescent="0.25">
      <c r="A43" s="9"/>
      <c r="B43" s="8"/>
      <c r="C43" s="9"/>
      <c r="D43" s="10"/>
      <c r="E43" s="9"/>
      <c r="F43" s="10"/>
      <c r="G43" s="9"/>
      <c r="H43" s="9"/>
      <c r="I43" s="9"/>
    </row>
    <row r="44" spans="1:10" x14ac:dyDescent="0.25">
      <c r="A44" s="7">
        <v>1</v>
      </c>
      <c r="B44" s="7" t="s">
        <v>90</v>
      </c>
      <c r="C44" s="5" t="s">
        <v>691</v>
      </c>
      <c r="D44" s="7">
        <v>-79856.490000000005</v>
      </c>
      <c r="E44" s="112">
        <v>667028.31000000006</v>
      </c>
      <c r="F44" s="7">
        <v>654167.80000000005</v>
      </c>
      <c r="G44" s="112">
        <f>E44</f>
        <v>667028.31000000006</v>
      </c>
      <c r="H44" s="7">
        <f>D44+F44-G44</f>
        <v>-92717</v>
      </c>
      <c r="I44" s="7">
        <f>H44</f>
        <v>-92717</v>
      </c>
    </row>
    <row r="45" spans="1:10" x14ac:dyDescent="0.25">
      <c r="A45" s="9"/>
      <c r="B45" s="9" t="s">
        <v>92</v>
      </c>
      <c r="C45" s="41" t="s">
        <v>93</v>
      </c>
      <c r="D45" s="9"/>
      <c r="E45" s="65"/>
      <c r="F45" s="9"/>
      <c r="G45" s="65"/>
      <c r="H45" s="9"/>
      <c r="I45" s="9"/>
    </row>
    <row r="46" spans="1:10" x14ac:dyDescent="0.25">
      <c r="A46" s="7">
        <v>2</v>
      </c>
      <c r="B46" s="7" t="s">
        <v>94</v>
      </c>
      <c r="C46" s="1" t="s">
        <v>95</v>
      </c>
      <c r="D46" s="7">
        <v>-246196.36</v>
      </c>
      <c r="E46" s="2">
        <v>1046190.26</v>
      </c>
      <c r="F46" s="7">
        <v>998295.28</v>
      </c>
      <c r="G46" s="2">
        <f>E46</f>
        <v>1046190.26</v>
      </c>
      <c r="H46" s="7">
        <f>D46+F46-G46</f>
        <v>-294091.33999999997</v>
      </c>
      <c r="I46" s="7">
        <f>H46</f>
        <v>-294091.33999999997</v>
      </c>
    </row>
    <row r="47" spans="1:10" x14ac:dyDescent="0.25">
      <c r="A47" s="9"/>
      <c r="B47" s="9" t="s">
        <v>96</v>
      </c>
      <c r="C47" s="41"/>
      <c r="D47" s="9"/>
      <c r="E47" s="10"/>
      <c r="F47" s="9"/>
      <c r="G47" s="10"/>
      <c r="H47" s="6" t="s">
        <v>71</v>
      </c>
      <c r="I47" s="9"/>
    </row>
    <row r="48" spans="1:10" x14ac:dyDescent="0.25">
      <c r="A48" s="9"/>
      <c r="B48" s="9" t="s">
        <v>1263</v>
      </c>
      <c r="C48" s="41" t="s">
        <v>93</v>
      </c>
      <c r="D48" s="9"/>
      <c r="E48" s="10"/>
      <c r="F48" s="9"/>
      <c r="G48" s="10"/>
      <c r="H48" s="6"/>
      <c r="I48" s="9"/>
    </row>
    <row r="49" spans="1:9" x14ac:dyDescent="0.25">
      <c r="A49" s="9">
        <v>3</v>
      </c>
      <c r="B49" s="9" t="s">
        <v>98</v>
      </c>
      <c r="C49" s="41" t="s">
        <v>203</v>
      </c>
      <c r="D49" s="9">
        <v>-853185.26</v>
      </c>
      <c r="E49" s="10">
        <v>2419453.88</v>
      </c>
      <c r="F49" s="9">
        <v>2561985.83</v>
      </c>
      <c r="G49" s="10">
        <f>E49</f>
        <v>2419453.88</v>
      </c>
      <c r="H49" s="9">
        <f>D49+F49-G49</f>
        <v>-710653.30999999982</v>
      </c>
      <c r="I49" s="9">
        <f>H49</f>
        <v>-710653.30999999982</v>
      </c>
    </row>
    <row r="50" spans="1:9" x14ac:dyDescent="0.25">
      <c r="A50" s="1" t="s">
        <v>255</v>
      </c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5" t="s">
        <v>256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48" t="s">
        <v>12</v>
      </c>
      <c r="B52" s="6" t="s">
        <v>749</v>
      </c>
      <c r="C52" s="58" t="s">
        <v>103</v>
      </c>
      <c r="D52" s="58"/>
      <c r="E52" s="58"/>
      <c r="F52" s="48" t="s">
        <v>222</v>
      </c>
      <c r="G52" s="58"/>
      <c r="H52" s="49"/>
      <c r="I52" s="6" t="s">
        <v>105</v>
      </c>
    </row>
    <row r="53" spans="1:9" x14ac:dyDescent="0.25">
      <c r="A53" s="51" t="s">
        <v>106</v>
      </c>
      <c r="B53" s="7"/>
      <c r="C53" s="60"/>
      <c r="D53" s="60"/>
      <c r="E53" s="60"/>
      <c r="F53" s="51" t="s">
        <v>224</v>
      </c>
      <c r="G53" s="60"/>
      <c r="H53" s="61"/>
      <c r="I53" s="7" t="s">
        <v>108</v>
      </c>
    </row>
    <row r="54" spans="1:9" x14ac:dyDescent="0.25">
      <c r="A54" s="51"/>
      <c r="B54" s="7"/>
      <c r="C54" s="60"/>
      <c r="D54" s="60"/>
      <c r="E54" s="60"/>
      <c r="F54" s="51" t="s">
        <v>257</v>
      </c>
      <c r="G54" s="60"/>
      <c r="H54" s="61"/>
      <c r="I54" s="7"/>
    </row>
    <row r="55" spans="1:9" x14ac:dyDescent="0.25">
      <c r="A55" s="51"/>
      <c r="B55" s="62"/>
      <c r="C55" s="60"/>
      <c r="D55" s="60"/>
      <c r="E55" s="60"/>
      <c r="F55" s="51" t="s">
        <v>258</v>
      </c>
      <c r="G55" s="60"/>
      <c r="H55" s="61"/>
      <c r="I55" s="62"/>
    </row>
    <row r="56" spans="1:9" x14ac:dyDescent="0.25">
      <c r="A56" s="67" t="s">
        <v>110</v>
      </c>
      <c r="B56" s="59"/>
      <c r="C56" s="57" t="s">
        <v>624</v>
      </c>
      <c r="D56" s="68"/>
      <c r="E56" s="72"/>
      <c r="F56" s="58"/>
      <c r="G56" s="86"/>
      <c r="H56" s="49"/>
      <c r="I56" s="7"/>
    </row>
    <row r="57" spans="1:9" x14ac:dyDescent="0.25">
      <c r="A57" s="69" t="s">
        <v>113</v>
      </c>
      <c r="B57" s="83">
        <v>42811</v>
      </c>
      <c r="C57" s="51" t="s">
        <v>1264</v>
      </c>
      <c r="D57" s="60"/>
      <c r="E57" s="61"/>
      <c r="F57" s="60"/>
      <c r="G57" s="37">
        <f>I57/7658.1</f>
        <v>0.31339366161319387</v>
      </c>
      <c r="H57" s="61"/>
      <c r="I57" s="7">
        <v>2400</v>
      </c>
    </row>
    <row r="58" spans="1:9" x14ac:dyDescent="0.25">
      <c r="A58" s="69" t="s">
        <v>38</v>
      </c>
      <c r="B58" s="83">
        <v>42849</v>
      </c>
      <c r="C58" s="51" t="s">
        <v>587</v>
      </c>
      <c r="D58" s="60"/>
      <c r="E58" s="61"/>
      <c r="F58" s="60"/>
      <c r="G58" s="37">
        <f t="shared" ref="G58:G63" si="1">I58/7658.1</f>
        <v>0.30164923414423939</v>
      </c>
      <c r="H58" s="61"/>
      <c r="I58" s="7">
        <v>2310.06</v>
      </c>
    </row>
    <row r="59" spans="1:9" x14ac:dyDescent="0.25">
      <c r="A59" s="69" t="s">
        <v>40</v>
      </c>
      <c r="B59" s="83">
        <v>42851</v>
      </c>
      <c r="C59" s="51" t="s">
        <v>114</v>
      </c>
      <c r="D59" s="60"/>
      <c r="E59" s="61"/>
      <c r="F59" s="60"/>
      <c r="G59" s="37">
        <f t="shared" si="1"/>
        <v>3.1339366161319386</v>
      </c>
      <c r="H59" s="61"/>
      <c r="I59" s="7">
        <v>24000</v>
      </c>
    </row>
    <row r="60" spans="1:9" x14ac:dyDescent="0.25">
      <c r="A60" s="69" t="s">
        <v>42</v>
      </c>
      <c r="B60" s="83">
        <v>42930</v>
      </c>
      <c r="C60" s="51" t="s">
        <v>1251</v>
      </c>
      <c r="D60" s="60"/>
      <c r="E60" s="61"/>
      <c r="F60" s="60"/>
      <c r="G60" s="37">
        <f t="shared" si="1"/>
        <v>3.9661156161449966</v>
      </c>
      <c r="H60" s="61"/>
      <c r="I60" s="7">
        <v>30372.91</v>
      </c>
    </row>
    <row r="61" spans="1:9" x14ac:dyDescent="0.25">
      <c r="A61" s="69" t="s">
        <v>44</v>
      </c>
      <c r="B61" s="83">
        <v>43017</v>
      </c>
      <c r="C61" s="83" t="s">
        <v>1265</v>
      </c>
      <c r="D61" s="195"/>
      <c r="E61" s="113"/>
      <c r="F61" s="60"/>
      <c r="G61" s="37">
        <f t="shared" si="1"/>
        <v>4.3994071636567815</v>
      </c>
      <c r="H61" s="61"/>
      <c r="I61" s="7">
        <v>33691.1</v>
      </c>
    </row>
    <row r="62" spans="1:9" x14ac:dyDescent="0.25">
      <c r="A62" s="69" t="s">
        <v>46</v>
      </c>
      <c r="B62" s="83">
        <v>43069</v>
      </c>
      <c r="C62" s="51" t="s">
        <v>1266</v>
      </c>
      <c r="D62" s="60"/>
      <c r="E62" s="61"/>
      <c r="F62" s="60"/>
      <c r="G62" s="37">
        <f t="shared" si="1"/>
        <v>0.91319387315391543</v>
      </c>
      <c r="H62" s="61"/>
      <c r="I62" s="7">
        <v>6993.33</v>
      </c>
    </row>
    <row r="63" spans="1:9" x14ac:dyDescent="0.25">
      <c r="A63" s="69" t="s">
        <v>71</v>
      </c>
      <c r="B63" s="83"/>
      <c r="C63" s="51"/>
      <c r="D63" s="60"/>
      <c r="E63" s="61"/>
      <c r="F63" s="60"/>
      <c r="G63" s="37">
        <f t="shared" si="1"/>
        <v>0</v>
      </c>
      <c r="H63" s="61"/>
      <c r="I63" s="7"/>
    </row>
    <row r="64" spans="1:9" x14ac:dyDescent="0.25">
      <c r="A64" s="69"/>
      <c r="B64" s="51"/>
      <c r="C64" s="15" t="s">
        <v>118</v>
      </c>
      <c r="D64" s="14"/>
      <c r="E64" s="85"/>
      <c r="F64" s="5"/>
      <c r="G64" s="20">
        <f>SUM(G57:G60)</f>
        <v>7.7150951280343687</v>
      </c>
      <c r="H64" s="71"/>
      <c r="I64" s="18">
        <f>SUM(I56:I63)</f>
        <v>99767.400000000009</v>
      </c>
    </row>
    <row r="65" spans="1:9" x14ac:dyDescent="0.25">
      <c r="A65" s="6"/>
      <c r="B65" s="48"/>
      <c r="C65" s="48"/>
      <c r="D65" s="58"/>
      <c r="E65" s="49"/>
      <c r="F65" s="58"/>
      <c r="G65" s="58"/>
      <c r="H65" s="49"/>
      <c r="I65" s="6"/>
    </row>
    <row r="66" spans="1:9" x14ac:dyDescent="0.25">
      <c r="A66" s="104" t="s">
        <v>1069</v>
      </c>
      <c r="B66" s="83"/>
      <c r="C66" s="59" t="s">
        <v>120</v>
      </c>
      <c r="D66" s="60"/>
      <c r="E66" s="61"/>
      <c r="F66" s="60"/>
      <c r="G66" s="37"/>
      <c r="H66" s="61"/>
      <c r="I66" s="7"/>
    </row>
    <row r="67" spans="1:9" x14ac:dyDescent="0.25">
      <c r="A67" s="69" t="s">
        <v>71</v>
      </c>
      <c r="B67" s="83"/>
      <c r="C67" s="51"/>
      <c r="D67" s="60"/>
      <c r="E67" s="61"/>
      <c r="F67" s="60"/>
      <c r="G67" s="261" t="s">
        <v>71</v>
      </c>
      <c r="H67" s="61"/>
      <c r="I67" s="7"/>
    </row>
    <row r="68" spans="1:9" x14ac:dyDescent="0.25">
      <c r="A68" s="73"/>
      <c r="B68" s="52" t="s">
        <v>119</v>
      </c>
      <c r="C68" s="15" t="s">
        <v>118</v>
      </c>
      <c r="D68" s="14"/>
      <c r="E68" s="85"/>
      <c r="F68" s="14" t="s">
        <v>71</v>
      </c>
      <c r="G68" s="262">
        <f>SUM(G67:G67)</f>
        <v>0</v>
      </c>
      <c r="H68" s="85"/>
      <c r="I68" s="12">
        <f>SUM(I67:I67)</f>
        <v>0</v>
      </c>
    </row>
    <row r="69" spans="1:9" x14ac:dyDescent="0.25">
      <c r="A69" s="2" t="s">
        <v>664</v>
      </c>
      <c r="B69" s="2"/>
      <c r="C69" s="2"/>
      <c r="D69" s="114" t="s">
        <v>123</v>
      </c>
      <c r="F69" s="2" t="s">
        <v>124</v>
      </c>
      <c r="G69" s="2" t="s">
        <v>262</v>
      </c>
      <c r="H69" s="2"/>
      <c r="I69" s="2" t="s">
        <v>263</v>
      </c>
    </row>
    <row r="70" spans="1:9" x14ac:dyDescent="0.25">
      <c r="A70" s="2"/>
      <c r="B70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="110" zoomScaleNormal="110" workbookViewId="0">
      <selection activeCell="G44" sqref="G44"/>
    </sheetView>
  </sheetViews>
  <sheetFormatPr defaultRowHeight="15" x14ac:dyDescent="0.25"/>
  <cols>
    <col min="1" max="1" width="5.28515625" style="3" customWidth="1"/>
    <col min="2" max="2" width="33.42578125" style="3" customWidth="1"/>
    <col min="3" max="3" width="12.7109375" style="3" customWidth="1"/>
    <col min="4" max="7" width="9.140625" style="3"/>
    <col min="8" max="8" width="12.42578125" style="3" customWidth="1"/>
    <col min="9" max="9" width="17.7109375" style="3" customWidth="1"/>
    <col min="10" max="16384" width="9.140625" style="3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x14ac:dyDescent="0.25">
      <c r="A4" s="1" t="s">
        <v>127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4</v>
      </c>
      <c r="B5" s="2"/>
      <c r="C5" s="2"/>
      <c r="D5" s="2"/>
      <c r="E5" s="2"/>
      <c r="F5" s="2"/>
      <c r="H5" s="2"/>
      <c r="I5" s="2"/>
    </row>
    <row r="6" spans="1:9" x14ac:dyDescent="0.25">
      <c r="A6" s="1" t="s">
        <v>1267</v>
      </c>
      <c r="B6" s="1"/>
      <c r="C6" s="1"/>
      <c r="D6" s="1"/>
      <c r="E6" s="2"/>
      <c r="F6" s="2"/>
      <c r="G6" s="2"/>
      <c r="H6" s="2"/>
      <c r="I6" s="2"/>
    </row>
    <row r="7" spans="1:9" x14ac:dyDescent="0.25">
      <c r="A7" s="2" t="s">
        <v>1268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1269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267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1270</v>
      </c>
      <c r="B10" s="1"/>
      <c r="D10" s="1" t="s">
        <v>1271</v>
      </c>
      <c r="E10" s="1"/>
      <c r="F10" s="1"/>
      <c r="G10" s="1"/>
      <c r="H10" s="1"/>
      <c r="I10" s="1"/>
    </row>
    <row r="11" spans="1:9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 t="s">
        <v>11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 t="s">
        <v>12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15</v>
      </c>
      <c r="I13" s="6" t="s">
        <v>200</v>
      </c>
    </row>
    <row r="14" spans="1:9" x14ac:dyDescent="0.25">
      <c r="A14" s="7" t="s">
        <v>20</v>
      </c>
      <c r="B14" s="7"/>
      <c r="C14" s="7" t="s">
        <v>134</v>
      </c>
      <c r="D14" s="7" t="s">
        <v>22</v>
      </c>
      <c r="E14" s="7" t="s">
        <v>23</v>
      </c>
      <c r="F14" s="7" t="s">
        <v>23</v>
      </c>
      <c r="G14" s="7" t="s">
        <v>24</v>
      </c>
      <c r="H14" s="7" t="s">
        <v>25</v>
      </c>
      <c r="I14" s="7" t="s">
        <v>26</v>
      </c>
    </row>
    <row r="15" spans="1:9" x14ac:dyDescent="0.25">
      <c r="A15" s="7"/>
      <c r="B15" s="7"/>
      <c r="C15" s="7" t="s">
        <v>27</v>
      </c>
      <c r="D15" s="7" t="s">
        <v>28</v>
      </c>
      <c r="E15" s="7"/>
      <c r="F15" s="7"/>
      <c r="G15" s="7" t="s">
        <v>29</v>
      </c>
      <c r="H15" s="7" t="s">
        <v>30</v>
      </c>
      <c r="I15" s="7" t="s">
        <v>31</v>
      </c>
    </row>
    <row r="16" spans="1:9" x14ac:dyDescent="0.25">
      <c r="A16" s="7"/>
      <c r="B16" s="7"/>
      <c r="C16" s="7" t="s">
        <v>32</v>
      </c>
      <c r="D16" s="7" t="s">
        <v>33</v>
      </c>
      <c r="E16" s="7" t="s">
        <v>33</v>
      </c>
      <c r="F16" s="7" t="s">
        <v>33</v>
      </c>
      <c r="G16" s="7" t="s">
        <v>33</v>
      </c>
      <c r="H16" s="7" t="s">
        <v>33</v>
      </c>
      <c r="I16" s="7" t="s">
        <v>239</v>
      </c>
    </row>
    <row r="17" spans="1:9" x14ac:dyDescent="0.25">
      <c r="A17" s="10">
        <v>1</v>
      </c>
      <c r="B17" s="9">
        <v>2</v>
      </c>
      <c r="C17" s="10">
        <v>3</v>
      </c>
      <c r="D17" s="9">
        <v>4</v>
      </c>
      <c r="E17" s="10">
        <v>5</v>
      </c>
      <c r="F17" s="9">
        <v>6</v>
      </c>
      <c r="G17" s="10">
        <v>7</v>
      </c>
      <c r="H17" s="9">
        <v>8</v>
      </c>
      <c r="I17" s="9">
        <v>9</v>
      </c>
    </row>
    <row r="18" spans="1:9" x14ac:dyDescent="0.25">
      <c r="A18" s="15">
        <v>1</v>
      </c>
      <c r="B18" s="12" t="s">
        <v>1272</v>
      </c>
      <c r="C18" s="12">
        <v>7.56</v>
      </c>
      <c r="D18" s="43">
        <v>-23516.25</v>
      </c>
      <c r="E18" s="14">
        <v>49529.52</v>
      </c>
      <c r="F18" s="12">
        <v>47749.23</v>
      </c>
      <c r="G18" s="14">
        <f t="shared" ref="G18:G24" si="0">E18</f>
        <v>49529.52</v>
      </c>
      <c r="H18" s="12">
        <f>D18+F18-G18</f>
        <v>-25296.539999999994</v>
      </c>
      <c r="I18" s="43">
        <f>H18</f>
        <v>-25296.539999999994</v>
      </c>
    </row>
    <row r="19" spans="1:9" x14ac:dyDescent="0.25">
      <c r="A19" s="7" t="s">
        <v>36</v>
      </c>
      <c r="B19" s="62" t="s">
        <v>37</v>
      </c>
      <c r="C19" s="54">
        <v>2.62</v>
      </c>
      <c r="D19" s="54"/>
      <c r="E19" s="79">
        <f>E18*34.5/100</f>
        <v>17087.684399999998</v>
      </c>
      <c r="F19" s="54">
        <f>F18*34.5/100</f>
        <v>16473.484349999999</v>
      </c>
      <c r="G19" s="55">
        <f t="shared" si="0"/>
        <v>17087.684399999998</v>
      </c>
      <c r="H19" s="54"/>
      <c r="I19" s="54"/>
    </row>
    <row r="20" spans="1:9" x14ac:dyDescent="0.25">
      <c r="A20" s="24" t="s">
        <v>38</v>
      </c>
      <c r="B20" s="6" t="s">
        <v>39</v>
      </c>
      <c r="C20" s="105">
        <v>1.33</v>
      </c>
      <c r="D20" s="22"/>
      <c r="E20" s="86">
        <f>E18*18/100</f>
        <v>8915.3135999999995</v>
      </c>
      <c r="F20" s="75">
        <f>F18*18/100</f>
        <v>8594.8613999999998</v>
      </c>
      <c r="G20" s="37">
        <f t="shared" si="0"/>
        <v>8915.3135999999995</v>
      </c>
      <c r="H20" s="22"/>
      <c r="I20" s="22"/>
    </row>
    <row r="21" spans="1:9" x14ac:dyDescent="0.25">
      <c r="A21" s="24" t="s">
        <v>40</v>
      </c>
      <c r="B21" s="6" t="s">
        <v>41</v>
      </c>
      <c r="C21" s="40">
        <v>1.22</v>
      </c>
      <c r="D21" s="29"/>
      <c r="E21" s="39">
        <f>E18*16/100</f>
        <v>7924.7231999999995</v>
      </c>
      <c r="F21" s="29">
        <f>F18*16/100</f>
        <v>7639.8768000000009</v>
      </c>
      <c r="G21" s="40">
        <f t="shared" si="0"/>
        <v>7924.7231999999995</v>
      </c>
      <c r="H21" s="29"/>
      <c r="I21" s="29"/>
    </row>
    <row r="22" spans="1:9" x14ac:dyDescent="0.25">
      <c r="A22" s="24" t="s">
        <v>42</v>
      </c>
      <c r="B22" s="6" t="s">
        <v>43</v>
      </c>
      <c r="C22" s="37">
        <v>2.2999999999999998</v>
      </c>
      <c r="D22" s="22"/>
      <c r="E22" s="37">
        <f>E18*31.5/100</f>
        <v>15601.798799999999</v>
      </c>
      <c r="F22" s="22">
        <f>F18*31.5/100</f>
        <v>15041.007450000001</v>
      </c>
      <c r="G22" s="37">
        <f t="shared" si="0"/>
        <v>15601.798799999999</v>
      </c>
      <c r="H22" s="22"/>
      <c r="I22" s="22"/>
    </row>
    <row r="23" spans="1:9" x14ac:dyDescent="0.25">
      <c r="A23" s="24" t="s">
        <v>44</v>
      </c>
      <c r="B23" s="6" t="s">
        <v>47</v>
      </c>
      <c r="C23" s="263">
        <v>1.6134299999999999</v>
      </c>
      <c r="D23" s="9">
        <v>-188.32</v>
      </c>
      <c r="E23" s="10">
        <v>9120.2800000000007</v>
      </c>
      <c r="F23" s="9">
        <v>6890.99</v>
      </c>
      <c r="G23" s="10">
        <f>E23</f>
        <v>9120.2800000000007</v>
      </c>
      <c r="H23" s="11">
        <f>D23+F23-G23</f>
        <v>-2417.6100000000006</v>
      </c>
      <c r="I23" s="11">
        <f>H23</f>
        <v>-2417.6100000000006</v>
      </c>
    </row>
    <row r="24" spans="1:9" x14ac:dyDescent="0.25">
      <c r="A24" s="11" t="s">
        <v>48</v>
      </c>
      <c r="B24" s="11" t="s">
        <v>49</v>
      </c>
      <c r="C24" s="41" t="s">
        <v>50</v>
      </c>
      <c r="D24" s="11">
        <v>-3408.77</v>
      </c>
      <c r="E24" s="32">
        <v>23547.45</v>
      </c>
      <c r="F24" s="43">
        <v>22630.18</v>
      </c>
      <c r="G24" s="33">
        <f t="shared" si="0"/>
        <v>23547.45</v>
      </c>
      <c r="H24" s="11">
        <f>D24+F24-G24</f>
        <v>-4326.0400000000009</v>
      </c>
      <c r="I24" s="11">
        <f>H24</f>
        <v>-4326.0400000000009</v>
      </c>
    </row>
    <row r="25" spans="1:9" x14ac:dyDescent="0.25">
      <c r="A25" s="12" t="s">
        <v>51</v>
      </c>
      <c r="B25" s="12" t="s">
        <v>459</v>
      </c>
      <c r="C25" s="14">
        <v>1.65</v>
      </c>
      <c r="D25" s="12">
        <v>-13766.36</v>
      </c>
      <c r="E25" s="85">
        <v>10295.52</v>
      </c>
      <c r="F25" s="17">
        <f>F26</f>
        <v>10910.17</v>
      </c>
      <c r="G25" s="78">
        <f>G26</f>
        <v>2200</v>
      </c>
      <c r="H25" s="12">
        <f>D25+F25-G25</f>
        <v>-5056.1900000000005</v>
      </c>
      <c r="I25" s="12">
        <f>H25</f>
        <v>-5056.1900000000005</v>
      </c>
    </row>
    <row r="26" spans="1:9" x14ac:dyDescent="0.25">
      <c r="A26" s="12"/>
      <c r="B26" s="9" t="s">
        <v>149</v>
      </c>
      <c r="C26" s="14"/>
      <c r="D26" s="12"/>
      <c r="E26" s="13"/>
      <c r="F26" s="54">
        <v>10910.17</v>
      </c>
      <c r="G26" s="78">
        <f>I44</f>
        <v>2200</v>
      </c>
      <c r="H26" s="12"/>
      <c r="I26" s="12"/>
    </row>
    <row r="27" spans="1:9" x14ac:dyDescent="0.25">
      <c r="A27" s="5" t="s">
        <v>69</v>
      </c>
    </row>
    <row r="28" spans="1:9" x14ac:dyDescent="0.25">
      <c r="A28" s="1" t="s">
        <v>70</v>
      </c>
      <c r="B28" s="5"/>
      <c r="C28" s="5"/>
      <c r="D28" s="56"/>
      <c r="E28" s="5"/>
      <c r="F28" s="5"/>
      <c r="G28" s="5"/>
      <c r="H28" s="5"/>
      <c r="I28" s="5"/>
    </row>
    <row r="29" spans="1:9" x14ac:dyDescent="0.25">
      <c r="A29" s="6" t="s">
        <v>71</v>
      </c>
      <c r="B29" s="48" t="s">
        <v>72</v>
      </c>
      <c r="C29" s="6" t="s">
        <v>73</v>
      </c>
      <c r="D29" s="58" t="s">
        <v>74</v>
      </c>
      <c r="E29" s="6" t="s">
        <v>75</v>
      </c>
      <c r="F29" s="58" t="s">
        <v>76</v>
      </c>
      <c r="G29" s="6" t="s">
        <v>77</v>
      </c>
      <c r="H29" s="58" t="s">
        <v>78</v>
      </c>
      <c r="I29" s="6" t="s">
        <v>19</v>
      </c>
    </row>
    <row r="30" spans="1:9" x14ac:dyDescent="0.25">
      <c r="A30" s="7"/>
      <c r="B30" s="51" t="s">
        <v>79</v>
      </c>
      <c r="C30" s="7" t="s">
        <v>80</v>
      </c>
      <c r="D30" s="60" t="s">
        <v>81</v>
      </c>
      <c r="E30" s="7" t="s">
        <v>82</v>
      </c>
      <c r="F30" s="60" t="s">
        <v>1273</v>
      </c>
      <c r="G30" s="7" t="s">
        <v>84</v>
      </c>
      <c r="H30" s="60" t="s">
        <v>85</v>
      </c>
      <c r="I30" s="7" t="s">
        <v>86</v>
      </c>
    </row>
    <row r="31" spans="1:9" x14ac:dyDescent="0.25">
      <c r="A31" s="7"/>
      <c r="B31" s="51"/>
      <c r="C31" s="7"/>
      <c r="D31" s="60"/>
      <c r="E31" s="7"/>
      <c r="F31" s="60" t="s">
        <v>87</v>
      </c>
      <c r="G31" s="62" t="s">
        <v>88</v>
      </c>
      <c r="H31" s="60"/>
      <c r="I31" s="7" t="s">
        <v>30</v>
      </c>
    </row>
    <row r="32" spans="1:9" x14ac:dyDescent="0.25">
      <c r="A32" s="9">
        <v>1</v>
      </c>
      <c r="B32" s="9" t="s">
        <v>90</v>
      </c>
      <c r="C32" s="41" t="s">
        <v>91</v>
      </c>
      <c r="D32" s="9">
        <v>-18766.259999999998</v>
      </c>
      <c r="E32" s="65">
        <v>58919.79</v>
      </c>
      <c r="F32" s="9">
        <v>46889.38</v>
      </c>
      <c r="G32" s="65">
        <f>E32</f>
        <v>58919.79</v>
      </c>
      <c r="H32" s="9">
        <f>D32+F32-G32</f>
        <v>-30796.670000000002</v>
      </c>
      <c r="I32" s="9">
        <f>H32</f>
        <v>-30796.670000000002</v>
      </c>
    </row>
    <row r="33" spans="1:9" x14ac:dyDescent="0.25">
      <c r="A33" s="9"/>
      <c r="B33" s="9" t="s">
        <v>92</v>
      </c>
      <c r="C33" s="41" t="s">
        <v>946</v>
      </c>
      <c r="D33" s="9"/>
      <c r="E33" s="65"/>
      <c r="F33" s="9"/>
      <c r="G33" s="65"/>
      <c r="H33" s="9"/>
      <c r="I33" s="9"/>
    </row>
    <row r="34" spans="1:9" x14ac:dyDescent="0.25">
      <c r="A34" s="9">
        <v>2</v>
      </c>
      <c r="B34" s="9" t="s">
        <v>98</v>
      </c>
      <c r="C34" s="41" t="s">
        <v>99</v>
      </c>
      <c r="D34" s="9">
        <v>-72087.97</v>
      </c>
      <c r="E34" s="10">
        <v>0</v>
      </c>
      <c r="F34" s="9">
        <v>8325.9500000000007</v>
      </c>
      <c r="G34" s="10">
        <f>E34</f>
        <v>0</v>
      </c>
      <c r="H34" s="9">
        <f>D34+F34-G34</f>
        <v>-63762.020000000004</v>
      </c>
      <c r="I34" s="9">
        <f>H34</f>
        <v>-63762.020000000004</v>
      </c>
    </row>
    <row r="35" spans="1:9" x14ac:dyDescent="0.25">
      <c r="A35" s="1" t="s">
        <v>1168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5" t="s">
        <v>1274</v>
      </c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48" t="s">
        <v>12</v>
      </c>
      <c r="B37" s="6" t="s">
        <v>102</v>
      </c>
      <c r="C37" s="58" t="s">
        <v>103</v>
      </c>
      <c r="D37" s="58"/>
      <c r="E37" s="58"/>
      <c r="F37" s="48" t="s">
        <v>222</v>
      </c>
      <c r="G37" s="58"/>
      <c r="H37" s="49"/>
      <c r="I37" s="6" t="s">
        <v>105</v>
      </c>
    </row>
    <row r="38" spans="1:9" x14ac:dyDescent="0.25">
      <c r="A38" s="51" t="s">
        <v>106</v>
      </c>
      <c r="B38" s="7"/>
      <c r="C38" s="60"/>
      <c r="D38" s="60"/>
      <c r="E38" s="60"/>
      <c r="F38" s="51" t="s">
        <v>224</v>
      </c>
      <c r="G38" s="60"/>
      <c r="H38" s="61"/>
      <c r="I38" s="7" t="s">
        <v>108</v>
      </c>
    </row>
    <row r="39" spans="1:9" x14ac:dyDescent="0.25">
      <c r="A39" s="51"/>
      <c r="B39" s="7"/>
      <c r="C39" s="60"/>
      <c r="D39" s="60"/>
      <c r="E39" s="60"/>
      <c r="F39" s="51" t="s">
        <v>257</v>
      </c>
      <c r="G39" s="60"/>
      <c r="H39" s="61"/>
      <c r="I39" s="7"/>
    </row>
    <row r="40" spans="1:9" x14ac:dyDescent="0.25">
      <c r="A40" s="51"/>
      <c r="B40" s="62"/>
      <c r="C40" s="60"/>
      <c r="D40" s="60"/>
      <c r="E40" s="60"/>
      <c r="F40" s="51" t="s">
        <v>258</v>
      </c>
      <c r="G40" s="60"/>
      <c r="H40" s="61"/>
      <c r="I40" s="7"/>
    </row>
    <row r="41" spans="1:9" x14ac:dyDescent="0.25">
      <c r="A41" s="67" t="s">
        <v>110</v>
      </c>
      <c r="B41" s="18"/>
      <c r="C41" s="68" t="s">
        <v>111</v>
      </c>
      <c r="D41" s="68"/>
      <c r="E41" s="68"/>
      <c r="F41" s="48"/>
      <c r="G41" s="58"/>
      <c r="H41" s="49"/>
      <c r="I41" s="6"/>
    </row>
    <row r="42" spans="1:9" x14ac:dyDescent="0.25">
      <c r="A42" s="69"/>
      <c r="B42" s="7"/>
      <c r="C42" s="60"/>
      <c r="D42" s="60"/>
      <c r="E42" s="60"/>
      <c r="F42" s="51"/>
      <c r="G42" s="37" t="s">
        <v>71</v>
      </c>
      <c r="H42" s="61"/>
      <c r="I42" s="7"/>
    </row>
    <row r="43" spans="1:9" x14ac:dyDescent="0.25">
      <c r="A43" s="69" t="s">
        <v>113</v>
      </c>
      <c r="B43" s="70">
        <v>42978</v>
      </c>
      <c r="C43" s="60" t="s">
        <v>116</v>
      </c>
      <c r="D43" s="60"/>
      <c r="E43" s="60"/>
      <c r="F43" s="51"/>
      <c r="G43" s="37">
        <f>I43/579.7</f>
        <v>3.795066413662239</v>
      </c>
      <c r="H43" s="61"/>
      <c r="I43" s="7">
        <v>2200</v>
      </c>
    </row>
    <row r="44" spans="1:9" x14ac:dyDescent="0.25">
      <c r="A44" s="69"/>
      <c r="B44" s="7"/>
      <c r="C44" s="5" t="s">
        <v>118</v>
      </c>
      <c r="D44" s="60"/>
      <c r="E44" s="60"/>
      <c r="F44" s="59"/>
      <c r="G44" s="20">
        <v>3.8</v>
      </c>
      <c r="H44" s="71"/>
      <c r="I44" s="18">
        <v>2200</v>
      </c>
    </row>
    <row r="45" spans="1:9" x14ac:dyDescent="0.25">
      <c r="A45" s="6"/>
      <c r="B45" s="6"/>
      <c r="C45" s="48"/>
      <c r="D45" s="58"/>
      <c r="E45" s="49"/>
      <c r="F45" s="48"/>
      <c r="G45" s="86"/>
      <c r="H45" s="49"/>
      <c r="I45" s="6"/>
    </row>
    <row r="46" spans="1:9" x14ac:dyDescent="0.25">
      <c r="A46" s="6" t="s">
        <v>48</v>
      </c>
      <c r="B46" s="25" t="s">
        <v>119</v>
      </c>
      <c r="C46" s="57" t="s">
        <v>120</v>
      </c>
      <c r="D46" s="58"/>
      <c r="E46" s="49"/>
      <c r="F46" s="48" t="s">
        <v>121</v>
      </c>
      <c r="G46" s="58"/>
      <c r="H46" s="49"/>
      <c r="I46" s="6"/>
    </row>
    <row r="47" spans="1:9" x14ac:dyDescent="0.25">
      <c r="A47" s="73"/>
      <c r="B47" s="62" t="s">
        <v>119</v>
      </c>
      <c r="C47" s="52" t="s">
        <v>118</v>
      </c>
      <c r="D47" s="74"/>
      <c r="E47" s="53"/>
      <c r="F47" s="52" t="s">
        <v>71</v>
      </c>
      <c r="G47" s="74">
        <v>0</v>
      </c>
      <c r="H47" s="53"/>
      <c r="I47" s="62">
        <v>0</v>
      </c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 t="s">
        <v>1275</v>
      </c>
      <c r="B49" s="2"/>
      <c r="C49" s="2" t="s">
        <v>71</v>
      </c>
      <c r="D49" s="2" t="s">
        <v>1276</v>
      </c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pageMargins left="0.7" right="0.7" top="0.75" bottom="0.75" header="0.3" footer="0.3"/>
  <pageSetup paperSize="9" orientation="portrait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94</vt:i4>
      </vt:variant>
    </vt:vector>
  </HeadingPairs>
  <TitlesOfParts>
    <vt:vector size="94" baseType="lpstr">
      <vt:lpstr>2-ой Интернациональн</vt:lpstr>
      <vt:lpstr>Баррикад2</vt:lpstr>
      <vt:lpstr>В.Восстания 1</vt:lpstr>
      <vt:lpstr>Воронина 6</vt:lpstr>
      <vt:lpstr>Воронина 9</vt:lpstr>
      <vt:lpstr>Воронина 11</vt:lpstr>
      <vt:lpstr>Воронина 13-52</vt:lpstr>
      <vt:lpstr>Воронина 16</vt:lpstr>
      <vt:lpstr>Воронина 18</vt:lpstr>
      <vt:lpstr>Воронина 21</vt:lpstr>
      <vt:lpstr>Воронина 23</vt:lpstr>
      <vt:lpstr>Воронина 23а</vt:lpstr>
      <vt:lpstr>Герцена 2-8</vt:lpstr>
      <vt:lpstr>Герцена 3</vt:lpstr>
      <vt:lpstr>Герцена 4</vt:lpstr>
      <vt:lpstr>Герцена 6</vt:lpstr>
      <vt:lpstr>Герцена 9а</vt:lpstr>
      <vt:lpstr>Герцена 16а</vt:lpstr>
      <vt:lpstr>Герцена 17 корп.1</vt:lpstr>
      <vt:lpstr>Герцена 17</vt:lpstr>
      <vt:lpstr>Огарева 3</vt:lpstr>
      <vt:lpstr>Огарева 4</vt:lpstr>
      <vt:lpstr>Огарева 6</vt:lpstr>
      <vt:lpstr>Огарева 9-7</vt:lpstr>
      <vt:lpstr>Огарева 34а</vt:lpstr>
      <vt:lpstr>Огарева 40 корп.1</vt:lpstr>
      <vt:lpstr>Огарева 40 корп.2</vt:lpstr>
      <vt:lpstr>Огарева 42</vt:lpstr>
      <vt:lpstr>Огарева 44</vt:lpstr>
      <vt:lpstr>пер.Труда 4 корп.1</vt:lpstr>
      <vt:lpstr>пер.Труда 4 корп.2</vt:lpstr>
      <vt:lpstr>пер.Труда 4 корп.5</vt:lpstr>
      <vt:lpstr>пер.Яченский 2</vt:lpstr>
      <vt:lpstr>Плеханова 3</vt:lpstr>
      <vt:lpstr>Плеханова 5-1</vt:lpstr>
      <vt:lpstr>Плеханова 11</vt:lpstr>
      <vt:lpstr>Плеханова 12</vt:lpstr>
      <vt:lpstr>Пролетарская 21</vt:lpstr>
      <vt:lpstr>Пролетарская 39</vt:lpstr>
      <vt:lpstr>Пролетарская 41</vt:lpstr>
      <vt:lpstr>Пролетарская 44</vt:lpstr>
      <vt:lpstr>Пролетарская 90</vt:lpstr>
      <vt:lpstr>Пухова 1</vt:lpstr>
      <vt:lpstr>Пухова 3</vt:lpstr>
      <vt:lpstr>Пухова 7</vt:lpstr>
      <vt:lpstr>Пухова 19</vt:lpstr>
      <vt:lpstr>Рылеева 1-2</vt:lpstr>
      <vt:lpstr>Рылеева 3</vt:lpstr>
      <vt:lpstr>Рылеева 4</vt:lpstr>
      <vt:lpstr>Рылеева 6</vt:lpstr>
      <vt:lpstr>Рылеева 14</vt:lpstr>
      <vt:lpstr>Рылеева 16</vt:lpstr>
      <vt:lpstr>Рылеева 18б</vt:lpstr>
      <vt:lpstr>Рылеева 18в</vt:lpstr>
      <vt:lpstr>Рылеева 19</vt:lpstr>
      <vt:lpstr>Суворова 5</vt:lpstr>
      <vt:lpstr>Суворова 7 копр.1</vt:lpstr>
      <vt:lpstr>Суворова 9</vt:lpstr>
      <vt:lpstr>Суворова 11</vt:lpstr>
      <vt:lpstr>Суворова 13</vt:lpstr>
      <vt:lpstr>Суворова 15</vt:lpstr>
      <vt:lpstr>Суворова 17</vt:lpstr>
      <vt:lpstr>Суворова 19</vt:lpstr>
      <vt:lpstr>Суворова 21</vt:lpstr>
      <vt:lpstr>Суворова 21а</vt:lpstr>
      <vt:lpstr>Суворова 31</vt:lpstr>
      <vt:lpstr>Суворова 63 корп.1</vt:lpstr>
      <vt:lpstr>Суворова 65</vt:lpstr>
      <vt:lpstr>Суворова 67</vt:lpstr>
      <vt:lpstr>Суворова 69</vt:lpstr>
      <vt:lpstr>Суворова 93-26</vt:lpstr>
      <vt:lpstr>Суворова 95</vt:lpstr>
      <vt:lpstr>Суворова 119</vt:lpstr>
      <vt:lpstr>Труда 1</vt:lpstr>
      <vt:lpstr>Труда 3</vt:lpstr>
      <vt:lpstr>Труда 3а</vt:lpstr>
      <vt:lpstr>Труда 5а копр.1</vt:lpstr>
      <vt:lpstr>Труда 5а корп.2</vt:lpstr>
      <vt:lpstr>Труда 6-1</vt:lpstr>
      <vt:lpstr>Труда 9</vt:lpstr>
      <vt:lpstr>Труда 9а</vt:lpstr>
      <vt:lpstr>Труда 10</vt:lpstr>
      <vt:lpstr>Труда 11</vt:lpstr>
      <vt:lpstr>Труда 14-1</vt:lpstr>
      <vt:lpstr>Труда 16</vt:lpstr>
      <vt:lpstr>Труда 18-1</vt:lpstr>
      <vt:lpstr>Труда 22</vt:lpstr>
      <vt:lpstr>Труда 24</vt:lpstr>
      <vt:lpstr>Труда 26</vt:lpstr>
      <vt:lpstr>Труда 28</vt:lpstr>
      <vt:lpstr>Труда 30</vt:lpstr>
      <vt:lpstr>Труда 32</vt:lpstr>
      <vt:lpstr>Чичерина 28</vt:lpstr>
      <vt:lpstr>Лист97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2018-04-03T11:47:28Z</dcterms:created>
  <dcterms:modified xsi:type="dcterms:W3CDTF">2018-06-22T07:07:50Z</dcterms:modified>
</cp:coreProperties>
</file>