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filterPrivacy="1" defaultThemeVersion="124226"/>
  <xr:revisionPtr revIDLastSave="0" documentId="8_{EF7F27D7-DB75-40E3-BFAF-A7042A76C1E4}" xr6:coauthVersionLast="47" xr6:coauthVersionMax="47" xr10:uidLastSave="{00000000-0000-0000-0000-000000000000}"/>
  <bookViews>
    <workbookView xWindow="-120" yWindow="-120" windowWidth="29040" windowHeight="15720" tabRatio="599" xr2:uid="{1E00B98F-926F-47C9-8423-5C31F2D0E1D0}"/>
  </bookViews>
  <sheets>
    <sheet name="Баррикад 2" sheetId="1" r:id="rId1"/>
    <sheet name="В.Восстания 1" sheetId="2" r:id="rId2"/>
    <sheet name="Воронина 9" sheetId="3" r:id="rId3"/>
    <sheet name="Герцена 16а" sheetId="111" r:id="rId4"/>
    <sheet name="Герцена 17 " sheetId="4" r:id="rId5"/>
    <sheet name="Герцена 3" sheetId="5" r:id="rId6"/>
    <sheet name="Герцена 6" sheetId="6" r:id="rId7"/>
    <sheet name="Герцена 9а" sheetId="7" r:id="rId8"/>
    <sheet name="Интернациональный 10" sheetId="9" r:id="rId9"/>
    <sheet name="Огарева 3" sheetId="8" r:id="rId10"/>
    <sheet name="Огарева 34а" sheetId="10" r:id="rId11"/>
    <sheet name="Огарева 4" sheetId="11" r:id="rId12"/>
    <sheet name="Огарева 40 корп.1" sheetId="12" r:id="rId13"/>
    <sheet name="Огарева 40 корп.2" sheetId="13" r:id="rId14"/>
    <sheet name="Огарева 6" sheetId="14" r:id="rId15"/>
    <sheet name="Пролетарская 21" sheetId="15" r:id="rId16"/>
    <sheet name="Пролетарская 41" sheetId="17" r:id="rId17"/>
    <sheet name="Пролетарская 44" sheetId="18" r:id="rId18"/>
    <sheet name="Пролетарская 90" sheetId="19" r:id="rId19"/>
    <sheet name="Пухова 1" sheetId="20" r:id="rId20"/>
    <sheet name="Пухова 19" sheetId="21" r:id="rId21"/>
    <sheet name="Пухова 3" sheetId="22" r:id="rId22"/>
    <sheet name="Рылеева 1дробь 12" sheetId="23" r:id="rId23"/>
    <sheet name="Рылеева 18б" sheetId="24" r:id="rId24"/>
    <sheet name="Рылеева 19" sheetId="25" r:id="rId25"/>
    <sheet name="Рылеева 6" sheetId="28" r:id="rId26"/>
    <sheet name="Суворова 13" sheetId="29" r:id="rId27"/>
    <sheet name="Суворова 15" sheetId="105" r:id="rId28"/>
    <sheet name="Суворова 17" sheetId="30" r:id="rId29"/>
    <sheet name="Суворова 63 корп.1" sheetId="31" r:id="rId30"/>
    <sheet name="Суворова 69" sheetId="32" r:id="rId31"/>
    <sheet name="Суворова 9" sheetId="34" r:id="rId32"/>
    <sheet name="Суворова 93 дробь 26" sheetId="35" r:id="rId33"/>
    <sheet name="Суворова 95" sheetId="36" r:id="rId34"/>
    <sheet name="Суворова 44" sheetId="89" r:id="rId35"/>
    <sheet name="Суворова 38" sheetId="37" r:id="rId36"/>
    <sheet name="Лист1" sheetId="38" state="hidden" r:id="rId37"/>
    <sheet name="Лист2" sheetId="39" state="hidden" r:id="rId38"/>
    <sheet name="Большевиков 3" sheetId="42" r:id="rId39"/>
    <sheet name="Суворова 58" sheetId="43" r:id="rId40"/>
    <sheet name="Суворова 46" sheetId="44" r:id="rId41"/>
    <sheet name="пер Труда 4 корп.2" sheetId="45" r:id="rId42"/>
    <sheet name="Труда 16" sheetId="46" r:id="rId43"/>
    <sheet name="Труда 24" sheetId="48" r:id="rId44"/>
    <sheet name="Труда 26" sheetId="51" r:id="rId45"/>
    <sheet name="Труда 3а" sheetId="49" r:id="rId46"/>
    <sheet name="Труда 5а корп.1" sheetId="106" r:id="rId47"/>
    <sheet name="Труда 5а корп.2" sheetId="50" r:id="rId48"/>
    <sheet name="Общее" sheetId="47" state="hidden" r:id="rId49"/>
    <sheet name="Труда 6 дробь 1" sheetId="52" r:id="rId50"/>
    <sheet name="Труда 9" sheetId="54" r:id="rId51"/>
    <sheet name="Воронина 16" sheetId="62" r:id="rId52"/>
    <sheet name=" Яченский пер д.2" sheetId="72" r:id="rId53"/>
    <sheet name="Рылеева 3" sheetId="73" r:id="rId54"/>
    <sheet name="Ломоносова 1" sheetId="63" r:id="rId55"/>
    <sheet name="Суворова 21" sheetId="74" r:id="rId56"/>
    <sheet name="Суворова 21а" sheetId="79" r:id="rId57"/>
    <sheet name="Суворова 67" sheetId="75" r:id="rId58"/>
    <sheet name="Труда 3" sheetId="93" r:id="rId59"/>
    <sheet name="Труда 30" sheetId="76" r:id="rId60"/>
    <sheet name="Труда 32" sheetId="64" r:id="rId61"/>
    <sheet name="Плеханова 3" sheetId="77" r:id="rId62"/>
    <sheet name="Труда 14 дробь 2" sheetId="87" r:id="rId63"/>
    <sheet name="Труда 28" sheetId="88" r:id="rId64"/>
    <sheet name="Труда 10" sheetId="65" r:id="rId65"/>
    <sheet name="Пролетарская 39" sheetId="100" r:id="rId66"/>
    <sheet name="Герцена 2 дробь 8" sheetId="67" r:id="rId67"/>
    <sheet name="Герцена 4" sheetId="80" r:id="rId68"/>
    <sheet name="Рылеева 4" sheetId="68" r:id="rId69"/>
    <sheet name="Плеханова 5дробь 1" sheetId="69" r:id="rId70"/>
    <sheet name="Огарева 9 дробь 7" sheetId="70" r:id="rId71"/>
    <sheet name="Труда пер 4 корп.5" sheetId="81" r:id="rId72"/>
    <sheet name="Чичерина 28" sheetId="83" r:id="rId73"/>
    <sheet name="Пухова 7" sheetId="82" r:id="rId74"/>
    <sheet name="Суворова 119 дробь 38" sheetId="94" r:id="rId75"/>
    <sheet name="Герцена 17 корп.1" sheetId="91" r:id="rId76"/>
    <sheet name="Огарева 44" sheetId="95" r:id="rId77"/>
    <sheet name="Плеханова 11" sheetId="90" r:id="rId78"/>
    <sheet name="Рылеева 16" sheetId="92" r:id="rId79"/>
    <sheet name="Суворова 11" sheetId="84" r:id="rId80"/>
    <sheet name="Суворова 19" sheetId="85" r:id="rId81"/>
    <sheet name="Воронина 23а" sheetId="101" r:id="rId82"/>
    <sheet name="Воронина 13 дробь 52" sheetId="96" r:id="rId83"/>
    <sheet name="Рылеева 14" sheetId="97" r:id="rId84"/>
    <sheet name="Воронина 23" sheetId="98" r:id="rId85"/>
    <sheet name="пер.Труда 4 корп.1" sheetId="102" r:id="rId86"/>
    <sheet name="Воронина 21" sheetId="99" r:id="rId87"/>
    <sheet name="Плеханова 12" sheetId="103" r:id="rId88"/>
    <sheet name="Труда 18 дробь 1" sheetId="108" r:id="rId89"/>
    <sheet name="Огарева 42" sheetId="115" r:id="rId90"/>
    <sheet name="Суворова 65" sheetId="116" r:id="rId91"/>
    <sheet name="Труда 22" sheetId="117" r:id="rId92"/>
    <sheet name="Кирова 44а" sheetId="118" r:id="rId93"/>
    <sheet name="Телевизионная 20" sheetId="119" r:id="rId94"/>
    <sheet name="Телевизионная 22" sheetId="120" r:id="rId95"/>
    <sheet name=" М.Жукова 46" sheetId="121" r:id="rId96"/>
  </sheets>
  <externalReferences>
    <externalReference r:id="rId97"/>
  </externalReferences>
  <definedNames>
    <definedName name="_xlnm.Print_Area" localSheetId="0">'Баррикад 2'!$A$1:$K$57</definedName>
    <definedName name="_xlnm.Print_Area" localSheetId="1">'В.Восстания 1'!$A$1:$K$50</definedName>
    <definedName name="_xlnm.Print_Area" localSheetId="2">'Воронина 9'!$A$1:$K$52</definedName>
    <definedName name="_xlnm.Print_Area" localSheetId="3">'Герцена 16а'!$A$1:$K$47</definedName>
    <definedName name="_xlnm.Print_Area" localSheetId="4">'Герцена 17 '!$A$1:$K$57</definedName>
    <definedName name="_xlnm.Print_Area" localSheetId="17">'Пролетарская 44'!$A$1:$H$55</definedName>
    <definedName name="_xlnm.Print_Area" localSheetId="50">'Труда 9'!$A$1:$J$50</definedName>
  </definedNames>
  <calcPr calcId="181029"/>
</workbook>
</file>

<file path=xl/calcChain.xml><?xml version="1.0" encoding="utf-8"?>
<calcChain xmlns="http://schemas.openxmlformats.org/spreadsheetml/2006/main">
  <c r="F54" i="103" l="1"/>
  <c r="F46" i="31"/>
  <c r="F45" i="21"/>
  <c r="F41" i="21" s="1"/>
  <c r="F25" i="21" s="1"/>
  <c r="G36" i="21" s="1"/>
  <c r="F41" i="30"/>
  <c r="E41" i="30"/>
  <c r="F41" i="108"/>
  <c r="E41" i="108"/>
  <c r="F38" i="94"/>
  <c r="E38" i="94"/>
  <c r="F41" i="87"/>
  <c r="E41" i="87"/>
  <c r="D41" i="87"/>
  <c r="F41" i="93"/>
  <c r="E41" i="93"/>
  <c r="D41" i="93" s="1"/>
  <c r="F42" i="79"/>
  <c r="E42" i="79"/>
  <c r="E39" i="43"/>
  <c r="D39" i="43" s="1"/>
  <c r="G39" i="74"/>
  <c r="F39" i="63"/>
  <c r="E39" i="63"/>
  <c r="F39" i="50"/>
  <c r="G39" i="50" s="1"/>
  <c r="F41" i="44"/>
  <c r="E41" i="44"/>
  <c r="L41" i="44" s="1"/>
  <c r="E39" i="37"/>
  <c r="G39" i="37" s="1"/>
  <c r="D39" i="37"/>
  <c r="E39" i="89"/>
  <c r="G39" i="89" s="1"/>
  <c r="E40" i="9"/>
  <c r="D40" i="9" s="1"/>
  <c r="F39" i="101"/>
  <c r="E39" i="101"/>
  <c r="G39" i="101" s="1"/>
  <c r="F39" i="92"/>
  <c r="G39" i="92" s="1"/>
  <c r="E39" i="92"/>
  <c r="F40" i="70"/>
  <c r="E40" i="70"/>
  <c r="F43" i="69"/>
  <c r="E43" i="69"/>
  <c r="D43" i="69"/>
  <c r="F41" i="25"/>
  <c r="E41" i="25"/>
  <c r="D41" i="25" s="1"/>
  <c r="D26" i="43"/>
  <c r="D25" i="43"/>
  <c r="G25" i="43" s="1"/>
  <c r="E25" i="20"/>
  <c r="F48" i="20" s="1"/>
  <c r="F43" i="20" s="1"/>
  <c r="F25" i="20" s="1"/>
  <c r="D25" i="20"/>
  <c r="E25" i="12"/>
  <c r="D25" i="12"/>
  <c r="D26" i="25"/>
  <c r="D25" i="25" s="1"/>
  <c r="G25" i="25" s="1"/>
  <c r="E26" i="25"/>
  <c r="E25" i="25" s="1"/>
  <c r="E25" i="74"/>
  <c r="G25" i="74" s="1"/>
  <c r="D25" i="74"/>
  <c r="E25" i="116"/>
  <c r="D25" i="116"/>
  <c r="E26" i="108"/>
  <c r="E25" i="108" s="1"/>
  <c r="D26" i="108"/>
  <c r="D25" i="108" s="1"/>
  <c r="G25" i="108" s="1"/>
  <c r="E25" i="99"/>
  <c r="F47" i="99" s="1"/>
  <c r="F43" i="99" s="1"/>
  <c r="F25" i="99" s="1"/>
  <c r="G36" i="99" s="1"/>
  <c r="D25" i="99"/>
  <c r="G25" i="99" s="1"/>
  <c r="E26" i="98"/>
  <c r="E25" i="98" s="1"/>
  <c r="D26" i="98"/>
  <c r="D25" i="98"/>
  <c r="E26" i="101"/>
  <c r="E25" i="101"/>
  <c r="D26" i="101"/>
  <c r="D25" i="101" s="1"/>
  <c r="G25" i="101" s="1"/>
  <c r="E25" i="85"/>
  <c r="G25" i="85" s="1"/>
  <c r="D25" i="85"/>
  <c r="E26" i="92"/>
  <c r="E25" i="92"/>
  <c r="F48" i="92"/>
  <c r="F43" i="92"/>
  <c r="F25" i="92" s="1"/>
  <c r="D26" i="92"/>
  <c r="D25" i="92"/>
  <c r="G25" i="92" s="1"/>
  <c r="E26" i="90"/>
  <c r="D26" i="90"/>
  <c r="G26" i="90" s="1"/>
  <c r="E25" i="95"/>
  <c r="D25" i="95"/>
  <c r="D25" i="94"/>
  <c r="E26" i="94"/>
  <c r="G26" i="94" s="1"/>
  <c r="E25" i="94"/>
  <c r="F45" i="94" s="1"/>
  <c r="F42" i="94" s="1"/>
  <c r="F25" i="94" s="1"/>
  <c r="D26" i="94"/>
  <c r="E26" i="70"/>
  <c r="E27" i="70"/>
  <c r="D27" i="70"/>
  <c r="D26" i="70" s="1"/>
  <c r="G26" i="70" s="1"/>
  <c r="C40" i="70"/>
  <c r="D40" i="70" s="1"/>
  <c r="E27" i="69"/>
  <c r="E26" i="69" s="1"/>
  <c r="D27" i="69"/>
  <c r="D26" i="69" s="1"/>
  <c r="E25" i="80"/>
  <c r="D25" i="80"/>
  <c r="E25" i="100"/>
  <c r="D25" i="100"/>
  <c r="D25" i="87"/>
  <c r="E26" i="87"/>
  <c r="G26" i="87" s="1"/>
  <c r="E25" i="77"/>
  <c r="F49" i="77" s="1"/>
  <c r="F45" i="77" s="1"/>
  <c r="F25" i="77" s="1"/>
  <c r="D25" i="77"/>
  <c r="E25" i="93"/>
  <c r="G38" i="93" s="1"/>
  <c r="D25" i="93"/>
  <c r="G25" i="93" s="1"/>
  <c r="E26" i="93"/>
  <c r="D26" i="93"/>
  <c r="E27" i="79"/>
  <c r="E26" i="79" s="1"/>
  <c r="F52" i="79" s="1"/>
  <c r="F46" i="79" s="1"/>
  <c r="F26" i="79" s="1"/>
  <c r="D27" i="79"/>
  <c r="D26" i="79" s="1"/>
  <c r="G26" i="79" s="1"/>
  <c r="C42" i="79"/>
  <c r="E26" i="63"/>
  <c r="E25" i="63"/>
  <c r="F52" i="63" s="1"/>
  <c r="F43" i="63" s="1"/>
  <c r="F25" i="63" s="1"/>
  <c r="D26" i="63"/>
  <c r="D25" i="63" s="1"/>
  <c r="G25" i="63" s="1"/>
  <c r="E25" i="62"/>
  <c r="G25" i="62" s="1"/>
  <c r="D25" i="62"/>
  <c r="E25" i="50"/>
  <c r="G25" i="50" s="1"/>
  <c r="D25" i="50"/>
  <c r="D25" i="44"/>
  <c r="E26" i="44"/>
  <c r="G26" i="44" s="1"/>
  <c r="D26" i="44"/>
  <c r="E26" i="43"/>
  <c r="E25" i="43" s="1"/>
  <c r="E26" i="37"/>
  <c r="E25" i="37"/>
  <c r="D26" i="37"/>
  <c r="E26" i="89"/>
  <c r="E25" i="89" s="1"/>
  <c r="D26" i="89"/>
  <c r="D25" i="89" s="1"/>
  <c r="G25" i="89" s="1"/>
  <c r="E25" i="36"/>
  <c r="D25" i="36"/>
  <c r="E25" i="35"/>
  <c r="F46" i="35" s="1"/>
  <c r="F42" i="35" s="1"/>
  <c r="F25" i="35" s="1"/>
  <c r="G35" i="35" s="1"/>
  <c r="D25" i="35"/>
  <c r="G25" i="35" s="1"/>
  <c r="E25" i="32"/>
  <c r="F52" i="32" s="1"/>
  <c r="F45" i="32" s="1"/>
  <c r="F25" i="32" s="1"/>
  <c r="G38" i="32" s="1"/>
  <c r="D25" i="32"/>
  <c r="G25" i="32"/>
  <c r="D25" i="30"/>
  <c r="G25" i="30" s="1"/>
  <c r="E26" i="30"/>
  <c r="E25" i="30" s="1"/>
  <c r="D26" i="30"/>
  <c r="E25" i="29"/>
  <c r="D25" i="29"/>
  <c r="E26" i="28"/>
  <c r="G40" i="28" s="1"/>
  <c r="D26" i="28"/>
  <c r="E25" i="23"/>
  <c r="D25" i="23"/>
  <c r="G25" i="23" s="1"/>
  <c r="E24" i="11"/>
  <c r="D24" i="11"/>
  <c r="E25" i="9"/>
  <c r="D26" i="9"/>
  <c r="D25" i="9" s="1"/>
  <c r="E25" i="3"/>
  <c r="D25" i="3"/>
  <c r="E25" i="1"/>
  <c r="D25" i="1"/>
  <c r="G25" i="1"/>
  <c r="D25" i="37"/>
  <c r="G25" i="37" s="1"/>
  <c r="G14" i="21"/>
  <c r="F29" i="85"/>
  <c r="G16" i="88"/>
  <c r="F23" i="37"/>
  <c r="F17" i="35"/>
  <c r="F24" i="28"/>
  <c r="G14" i="121"/>
  <c r="G14" i="120"/>
  <c r="G14" i="119"/>
  <c r="G14" i="118"/>
  <c r="G14" i="117"/>
  <c r="G37" i="117" s="1"/>
  <c r="G14" i="116"/>
  <c r="G13" i="115"/>
  <c r="G37" i="115" s="1"/>
  <c r="G12" i="115"/>
  <c r="G14" i="108"/>
  <c r="G13" i="103"/>
  <c r="G14" i="99"/>
  <c r="G12" i="102"/>
  <c r="G14" i="98"/>
  <c r="G14" i="97"/>
  <c r="G35" i="97" s="1"/>
  <c r="G14" i="96"/>
  <c r="G14" i="101"/>
  <c r="G14" i="85"/>
  <c r="G12" i="84"/>
  <c r="G35" i="84" s="1"/>
  <c r="G14" i="92"/>
  <c r="G36" i="92" s="1"/>
  <c r="G14" i="90"/>
  <c r="G13" i="90"/>
  <c r="G39" i="90" s="1"/>
  <c r="G14" i="95"/>
  <c r="G13" i="95"/>
  <c r="G39" i="95" s="1"/>
  <c r="G13" i="91"/>
  <c r="G36" i="91" s="1"/>
  <c r="G14" i="94"/>
  <c r="G13" i="82"/>
  <c r="G34" i="82" s="1"/>
  <c r="G13" i="83"/>
  <c r="G34" i="83" s="1"/>
  <c r="G13" i="81"/>
  <c r="G14" i="70"/>
  <c r="G14" i="69"/>
  <c r="G13" i="69"/>
  <c r="G39" i="69" s="1"/>
  <c r="G13" i="68"/>
  <c r="G14" i="80"/>
  <c r="G13" i="67"/>
  <c r="G36" i="67" s="1"/>
  <c r="G14" i="100"/>
  <c r="G13" i="100"/>
  <c r="G37" i="100" s="1"/>
  <c r="G13" i="65"/>
  <c r="G36" i="65" s="1"/>
  <c r="G13" i="88"/>
  <c r="G37" i="88" s="1"/>
  <c r="G14" i="87"/>
  <c r="G14" i="77"/>
  <c r="G13" i="64"/>
  <c r="G13" i="76"/>
  <c r="G14" i="93"/>
  <c r="G13" i="75"/>
  <c r="G15" i="79"/>
  <c r="G39" i="79" s="1"/>
  <c r="G14" i="79"/>
  <c r="G38" i="79"/>
  <c r="G14" i="74"/>
  <c r="G36" i="74" s="1"/>
  <c r="G14" i="63"/>
  <c r="G13" i="73"/>
  <c r="G12" i="73"/>
  <c r="G36" i="73"/>
  <c r="G13" i="72"/>
  <c r="G14" i="62"/>
  <c r="G14" i="54"/>
  <c r="G35" i="54" s="1"/>
  <c r="G14" i="52"/>
  <c r="G38" i="52"/>
  <c r="G14" i="50"/>
  <c r="G36" i="50" s="1"/>
  <c r="G14" i="106"/>
  <c r="G14" i="49"/>
  <c r="G13" i="51"/>
  <c r="G14" i="48"/>
  <c r="G14" i="46"/>
  <c r="G13" i="45"/>
  <c r="G14" i="44"/>
  <c r="G14" i="43"/>
  <c r="G14" i="42"/>
  <c r="G14" i="37"/>
  <c r="G14" i="89"/>
  <c r="G14" i="36"/>
  <c r="G14" i="35"/>
  <c r="G13" i="34"/>
  <c r="G34" i="34" s="1"/>
  <c r="G14" i="32"/>
  <c r="G14" i="31"/>
  <c r="G14" i="30"/>
  <c r="G14" i="105"/>
  <c r="G37" i="105" s="1"/>
  <c r="G14" i="29"/>
  <c r="G14" i="25"/>
  <c r="G15" i="28"/>
  <c r="G14" i="28"/>
  <c r="G39" i="28"/>
  <c r="G14" i="24"/>
  <c r="G14" i="23"/>
  <c r="G14" i="22"/>
  <c r="G35" i="22" s="1"/>
  <c r="G14" i="20"/>
  <c r="G36" i="20" s="1"/>
  <c r="G14" i="19"/>
  <c r="G35" i="19" s="1"/>
  <c r="G14" i="18"/>
  <c r="G14" i="17"/>
  <c r="G37" i="17" s="1"/>
  <c r="G14" i="15"/>
  <c r="G14" i="14"/>
  <c r="G14" i="13"/>
  <c r="G13" i="13"/>
  <c r="G14" i="11"/>
  <c r="G14" i="12"/>
  <c r="G14" i="10"/>
  <c r="G14" i="8"/>
  <c r="G14" i="9"/>
  <c r="G37" i="9" s="1"/>
  <c r="G14" i="7"/>
  <c r="G35" i="7" s="1"/>
  <c r="G14" i="6"/>
  <c r="G13" i="5"/>
  <c r="G14" i="4"/>
  <c r="G14" i="111"/>
  <c r="G14" i="3"/>
  <c r="G36" i="3" s="1"/>
  <c r="G14" i="2"/>
  <c r="G14" i="1"/>
  <c r="J13" i="5"/>
  <c r="J38" i="5"/>
  <c r="F22" i="98"/>
  <c r="F17" i="101"/>
  <c r="F17" i="85"/>
  <c r="F29" i="100"/>
  <c r="F31" i="88"/>
  <c r="F30" i="52"/>
  <c r="F17" i="21"/>
  <c r="K41" i="116"/>
  <c r="J41" i="116"/>
  <c r="D41" i="116"/>
  <c r="H41" i="116"/>
  <c r="I41" i="116"/>
  <c r="K41" i="108"/>
  <c r="K42" i="108" s="1"/>
  <c r="J41" i="108"/>
  <c r="J42" i="108" s="1"/>
  <c r="C41" i="108"/>
  <c r="D41" i="108" s="1"/>
  <c r="H41" i="108"/>
  <c r="I41" i="108"/>
  <c r="D39" i="99"/>
  <c r="J37" i="99"/>
  <c r="K39" i="99"/>
  <c r="J39" i="99"/>
  <c r="H39" i="99"/>
  <c r="I39" i="99"/>
  <c r="G39" i="98"/>
  <c r="K39" i="98"/>
  <c r="J39" i="98"/>
  <c r="H39" i="98"/>
  <c r="I39" i="98" s="1"/>
  <c r="K39" i="101"/>
  <c r="J39" i="101"/>
  <c r="H39" i="101"/>
  <c r="I38" i="101" s="1"/>
  <c r="K39" i="85"/>
  <c r="J39" i="85"/>
  <c r="H39" i="85"/>
  <c r="I39" i="85" s="1"/>
  <c r="D39" i="85"/>
  <c r="K39" i="89"/>
  <c r="L39" i="89"/>
  <c r="J39" i="89"/>
  <c r="K39" i="63"/>
  <c r="J39" i="63"/>
  <c r="L39" i="63" s="1"/>
  <c r="L41" i="93"/>
  <c r="K41" i="93"/>
  <c r="C39" i="92"/>
  <c r="D39" i="92" s="1"/>
  <c r="M39" i="92"/>
  <c r="L39" i="92"/>
  <c r="I39" i="92"/>
  <c r="K39" i="92" s="1"/>
  <c r="K37" i="92"/>
  <c r="D43" i="90"/>
  <c r="H43" i="90"/>
  <c r="I43" i="90" s="1"/>
  <c r="G43" i="95"/>
  <c r="D43" i="95"/>
  <c r="H43" i="95"/>
  <c r="I42" i="95"/>
  <c r="K38" i="94"/>
  <c r="J38" i="94"/>
  <c r="H38" i="94"/>
  <c r="I38" i="94"/>
  <c r="C38" i="94"/>
  <c r="D38" i="94" s="1"/>
  <c r="K40" i="70"/>
  <c r="J40" i="70"/>
  <c r="I39" i="70"/>
  <c r="H40" i="70"/>
  <c r="I41" i="70" s="1"/>
  <c r="L43" i="69"/>
  <c r="K43" i="69"/>
  <c r="G43" i="69"/>
  <c r="C43" i="69"/>
  <c r="H43" i="69"/>
  <c r="J41" i="69" s="1"/>
  <c r="J42" i="69"/>
  <c r="G40" i="80"/>
  <c r="D40" i="80"/>
  <c r="H40" i="80"/>
  <c r="I40" i="80" s="1"/>
  <c r="I38" i="80" s="1"/>
  <c r="D41" i="100"/>
  <c r="J41" i="100"/>
  <c r="H41" i="100"/>
  <c r="I41" i="100"/>
  <c r="K41" i="87"/>
  <c r="J41" i="87"/>
  <c r="H40" i="87"/>
  <c r="I40" i="87"/>
  <c r="H41" i="87"/>
  <c r="I41" i="87" s="1"/>
  <c r="K41" i="77"/>
  <c r="J41" i="77"/>
  <c r="H41" i="77"/>
  <c r="I41" i="77"/>
  <c r="K38" i="93"/>
  <c r="K39" i="93"/>
  <c r="C41" i="93"/>
  <c r="H41" i="93"/>
  <c r="J39" i="93" s="1"/>
  <c r="J41" i="93"/>
  <c r="K42" i="79"/>
  <c r="J42" i="79"/>
  <c r="G27" i="79"/>
  <c r="H42" i="79"/>
  <c r="I41" i="79"/>
  <c r="C39" i="63"/>
  <c r="H39" i="63"/>
  <c r="I39" i="63"/>
  <c r="D39" i="62"/>
  <c r="H39" i="62"/>
  <c r="I39" i="62" s="1"/>
  <c r="D39" i="50"/>
  <c r="H39" i="50"/>
  <c r="I39" i="50"/>
  <c r="J41" i="44"/>
  <c r="K41" i="44"/>
  <c r="H41" i="44"/>
  <c r="I40" i="44"/>
  <c r="I41" i="44"/>
  <c r="K39" i="43"/>
  <c r="J39" i="43"/>
  <c r="H39" i="43"/>
  <c r="I38" i="43"/>
  <c r="H39" i="37"/>
  <c r="I38" i="37" s="1"/>
  <c r="I39" i="37"/>
  <c r="K39" i="37"/>
  <c r="J39" i="37"/>
  <c r="H39" i="89"/>
  <c r="I39" i="89" s="1"/>
  <c r="H39" i="36"/>
  <c r="I39" i="36" s="1"/>
  <c r="D38" i="35"/>
  <c r="H38" i="35"/>
  <c r="I38" i="35"/>
  <c r="H41" i="32"/>
  <c r="I41" i="32"/>
  <c r="J41" i="30"/>
  <c r="K41" i="30"/>
  <c r="H41" i="30"/>
  <c r="I41" i="30"/>
  <c r="I39" i="30"/>
  <c r="D39" i="29"/>
  <c r="H39" i="29"/>
  <c r="I39" i="29" s="1"/>
  <c r="H43" i="28"/>
  <c r="I43" i="28" s="1"/>
  <c r="I42" i="28" s="1"/>
  <c r="D43" i="28"/>
  <c r="K41" i="25"/>
  <c r="J41" i="25"/>
  <c r="H41" i="25"/>
  <c r="I41" i="25" s="1"/>
  <c r="G41" i="23"/>
  <c r="D41" i="23"/>
  <c r="H41" i="23"/>
  <c r="I41" i="23"/>
  <c r="H39" i="20"/>
  <c r="I39" i="20"/>
  <c r="H41" i="12"/>
  <c r="I41" i="12"/>
  <c r="H40" i="11"/>
  <c r="I40" i="11" s="1"/>
  <c r="J40" i="9"/>
  <c r="I40" i="9"/>
  <c r="H40" i="9"/>
  <c r="I39" i="9"/>
  <c r="I39" i="3"/>
  <c r="J39" i="3"/>
  <c r="D39" i="3"/>
  <c r="J41" i="1"/>
  <c r="I41" i="1"/>
  <c r="D41" i="1"/>
  <c r="F28" i="121"/>
  <c r="F46" i="121"/>
  <c r="F41" i="121"/>
  <c r="F25" i="121" s="1"/>
  <c r="G37" i="121" s="1"/>
  <c r="G33" i="121"/>
  <c r="G32" i="121"/>
  <c r="G31" i="121"/>
  <c r="F31" i="121"/>
  <c r="G30" i="121"/>
  <c r="F30" i="121"/>
  <c r="G29" i="121"/>
  <c r="F29" i="121"/>
  <c r="F27" i="121" s="1"/>
  <c r="G28" i="121"/>
  <c r="E27" i="121"/>
  <c r="D27" i="121"/>
  <c r="G26" i="121"/>
  <c r="F26" i="121"/>
  <c r="G25" i="121"/>
  <c r="G24" i="121"/>
  <c r="F24" i="121"/>
  <c r="G23" i="121"/>
  <c r="F23" i="121"/>
  <c r="G22" i="121"/>
  <c r="F22" i="121"/>
  <c r="H21" i="121"/>
  <c r="I21" i="121" s="1"/>
  <c r="H20" i="121"/>
  <c r="H19" i="121"/>
  <c r="H18" i="121"/>
  <c r="I18" i="121" s="1"/>
  <c r="H17" i="121"/>
  <c r="G17" i="121"/>
  <c r="F17" i="121"/>
  <c r="J8" i="121"/>
  <c r="F44" i="120"/>
  <c r="F41" i="120"/>
  <c r="F25" i="120"/>
  <c r="G33" i="120"/>
  <c r="G32" i="120"/>
  <c r="G31" i="120"/>
  <c r="F31" i="120"/>
  <c r="G30" i="120"/>
  <c r="F30" i="120"/>
  <c r="F27" i="120" s="1"/>
  <c r="G29" i="120"/>
  <c r="F29" i="120"/>
  <c r="G28" i="120"/>
  <c r="F28" i="120"/>
  <c r="E27" i="120"/>
  <c r="D27" i="120"/>
  <c r="G26" i="120"/>
  <c r="F26" i="120"/>
  <c r="G25" i="120"/>
  <c r="G24" i="120"/>
  <c r="F24" i="120"/>
  <c r="G23" i="120"/>
  <c r="F23" i="120"/>
  <c r="G22" i="120"/>
  <c r="F22" i="120"/>
  <c r="H21" i="120"/>
  <c r="I21" i="120" s="1"/>
  <c r="H20" i="120"/>
  <c r="H19" i="120"/>
  <c r="I19" i="120" s="1"/>
  <c r="H18" i="120"/>
  <c r="I18" i="120"/>
  <c r="H17" i="120"/>
  <c r="G17" i="120"/>
  <c r="F17" i="120"/>
  <c r="J8" i="120"/>
  <c r="F44" i="119"/>
  <c r="F41" i="119"/>
  <c r="F25" i="119"/>
  <c r="G37" i="119" s="1"/>
  <c r="G33" i="119"/>
  <c r="G32" i="119"/>
  <c r="G31" i="119"/>
  <c r="F31" i="119"/>
  <c r="G30" i="119"/>
  <c r="F30" i="119"/>
  <c r="G29" i="119"/>
  <c r="F29" i="119"/>
  <c r="G28" i="119"/>
  <c r="F28" i="119"/>
  <c r="F27" i="119"/>
  <c r="E27" i="119"/>
  <c r="D27" i="119"/>
  <c r="G27" i="119" s="1"/>
  <c r="G26" i="119"/>
  <c r="F26" i="119"/>
  <c r="G25" i="119"/>
  <c r="G24" i="119"/>
  <c r="F24" i="119"/>
  <c r="G23" i="119"/>
  <c r="F23" i="119"/>
  <c r="G22" i="119"/>
  <c r="F22" i="119"/>
  <c r="H21" i="119"/>
  <c r="H20" i="119"/>
  <c r="H19" i="119"/>
  <c r="H18" i="119"/>
  <c r="H17" i="119"/>
  <c r="I18" i="119" s="1"/>
  <c r="G17" i="119"/>
  <c r="F17" i="119"/>
  <c r="J8" i="119"/>
  <c r="F44" i="118"/>
  <c r="F41" i="118"/>
  <c r="F25" i="118"/>
  <c r="G37" i="118" s="1"/>
  <c r="G33" i="118"/>
  <c r="G32" i="118"/>
  <c r="G31" i="118"/>
  <c r="F31" i="118"/>
  <c r="G30" i="118"/>
  <c r="F30" i="118"/>
  <c r="G29" i="118"/>
  <c r="F29" i="118"/>
  <c r="G28" i="118"/>
  <c r="F28" i="118"/>
  <c r="F27" i="118" s="1"/>
  <c r="E27" i="118"/>
  <c r="G27" i="118" s="1"/>
  <c r="D27" i="118"/>
  <c r="G26" i="118"/>
  <c r="F26" i="118"/>
  <c r="G25" i="118"/>
  <c r="G24" i="118"/>
  <c r="F24" i="118"/>
  <c r="G23" i="118"/>
  <c r="F23" i="118"/>
  <c r="G22" i="118"/>
  <c r="F22" i="118"/>
  <c r="H21" i="118"/>
  <c r="I21" i="118" s="1"/>
  <c r="H20" i="118"/>
  <c r="I20" i="118" s="1"/>
  <c r="H19" i="118"/>
  <c r="I19" i="118" s="1"/>
  <c r="H18" i="118"/>
  <c r="H17" i="118"/>
  <c r="I18" i="118" s="1"/>
  <c r="G17" i="118"/>
  <c r="F17" i="118"/>
  <c r="J8" i="118"/>
  <c r="F46" i="117"/>
  <c r="F41" i="117"/>
  <c r="F25" i="117"/>
  <c r="G33" i="117"/>
  <c r="G32" i="117"/>
  <c r="G31" i="117"/>
  <c r="F31" i="117"/>
  <c r="G30" i="117"/>
  <c r="F30" i="117"/>
  <c r="F27" i="117" s="1"/>
  <c r="G29" i="117"/>
  <c r="F29" i="117"/>
  <c r="G28" i="117"/>
  <c r="F28" i="117"/>
  <c r="E27" i="117"/>
  <c r="G27" i="117" s="1"/>
  <c r="D27" i="117"/>
  <c r="G26" i="117"/>
  <c r="F26" i="117"/>
  <c r="G24" i="117"/>
  <c r="F24" i="117"/>
  <c r="G23" i="117"/>
  <c r="F23" i="117"/>
  <c r="G22" i="117"/>
  <c r="F22" i="117"/>
  <c r="H21" i="117"/>
  <c r="I21" i="117" s="1"/>
  <c r="H20" i="117"/>
  <c r="H19" i="117"/>
  <c r="I19" i="117"/>
  <c r="D19" i="117" s="1"/>
  <c r="H18" i="117"/>
  <c r="H17" i="117"/>
  <c r="I20" i="117"/>
  <c r="E20" i="117" s="1"/>
  <c r="G20" i="117" s="1"/>
  <c r="G17" i="117"/>
  <c r="F17" i="117"/>
  <c r="J8" i="117"/>
  <c r="G25" i="116"/>
  <c r="G26" i="116"/>
  <c r="G41" i="116"/>
  <c r="F22" i="116"/>
  <c r="J8" i="116"/>
  <c r="G27" i="121"/>
  <c r="I19" i="121"/>
  <c r="D19" i="121" s="1"/>
  <c r="G27" i="120"/>
  <c r="I20" i="120"/>
  <c r="I21" i="119"/>
  <c r="D21" i="119" s="1"/>
  <c r="E21" i="119"/>
  <c r="G25" i="117"/>
  <c r="G34" i="116"/>
  <c r="G33" i="116"/>
  <c r="G32" i="116"/>
  <c r="F32" i="116"/>
  <c r="G31" i="116"/>
  <c r="F31" i="116"/>
  <c r="G30" i="116"/>
  <c r="F30" i="116"/>
  <c r="G29" i="116"/>
  <c r="F29" i="116"/>
  <c r="E28" i="116"/>
  <c r="D28" i="116"/>
  <c r="G28" i="116" s="1"/>
  <c r="G27" i="116"/>
  <c r="F27" i="116"/>
  <c r="G24" i="116"/>
  <c r="F24" i="116"/>
  <c r="G23" i="116"/>
  <c r="F23" i="116"/>
  <c r="G22" i="116"/>
  <c r="H21" i="116"/>
  <c r="H20" i="116"/>
  <c r="H19" i="116"/>
  <c r="H18" i="116"/>
  <c r="H17" i="116"/>
  <c r="I20" i="116" s="1"/>
  <c r="I21" i="116"/>
  <c r="E21" i="116" s="1"/>
  <c r="G21" i="116" s="1"/>
  <c r="D21" i="116"/>
  <c r="F21" i="116"/>
  <c r="G17" i="116"/>
  <c r="F17" i="116"/>
  <c r="F29" i="115"/>
  <c r="F23" i="115"/>
  <c r="G36" i="115"/>
  <c r="F21" i="103"/>
  <c r="F26" i="103"/>
  <c r="C39" i="98"/>
  <c r="D39" i="98"/>
  <c r="H8" i="98"/>
  <c r="I8" i="98"/>
  <c r="G24" i="91"/>
  <c r="G25" i="95"/>
  <c r="H9" i="94"/>
  <c r="I9" i="94" s="1"/>
  <c r="F31" i="70"/>
  <c r="G24" i="68"/>
  <c r="G25" i="80"/>
  <c r="G26" i="88"/>
  <c r="F26" i="88"/>
  <c r="I9" i="77"/>
  <c r="F21" i="76"/>
  <c r="F22" i="93"/>
  <c r="F21" i="75"/>
  <c r="F29" i="74"/>
  <c r="D28" i="106"/>
  <c r="D26" i="45"/>
  <c r="D28" i="42"/>
  <c r="G28" i="42" s="1"/>
  <c r="E28" i="42"/>
  <c r="G25" i="36"/>
  <c r="F54" i="28"/>
  <c r="F47" i="28"/>
  <c r="F26" i="28"/>
  <c r="F22" i="25"/>
  <c r="F22" i="20"/>
  <c r="C39" i="20"/>
  <c r="D39" i="20"/>
  <c r="G24" i="11"/>
  <c r="F47" i="3"/>
  <c r="F43" i="3"/>
  <c r="F25" i="3"/>
  <c r="F51" i="9"/>
  <c r="F44" i="9"/>
  <c r="F25" i="9"/>
  <c r="D27" i="6"/>
  <c r="F27" i="6" s="1"/>
  <c r="E27" i="6"/>
  <c r="F28" i="4"/>
  <c r="F27" i="4" s="1"/>
  <c r="G17" i="11"/>
  <c r="F48" i="73"/>
  <c r="F42" i="73" s="1"/>
  <c r="F24" i="73" s="1"/>
  <c r="G37" i="73" s="1"/>
  <c r="F21" i="72"/>
  <c r="G41" i="30"/>
  <c r="C39" i="43"/>
  <c r="G34" i="108"/>
  <c r="G33" i="108"/>
  <c r="G31" i="102"/>
  <c r="G30" i="102"/>
  <c r="G32" i="115"/>
  <c r="G31" i="115"/>
  <c r="I8" i="115"/>
  <c r="F31" i="108"/>
  <c r="H8" i="108"/>
  <c r="I8" i="108"/>
  <c r="G26" i="103"/>
  <c r="J15" i="103"/>
  <c r="I8" i="103"/>
  <c r="G26" i="99"/>
  <c r="I8" i="99"/>
  <c r="H17" i="98"/>
  <c r="J8" i="97"/>
  <c r="H17" i="96"/>
  <c r="I20" i="96" s="1"/>
  <c r="I8" i="96"/>
  <c r="C39" i="101"/>
  <c r="H9" i="101"/>
  <c r="I9" i="101"/>
  <c r="H17" i="101"/>
  <c r="G26" i="85"/>
  <c r="I8" i="85"/>
  <c r="G31" i="84"/>
  <c r="G30" i="84"/>
  <c r="N21" i="5"/>
  <c r="O21" i="5" s="1"/>
  <c r="J21" i="5" s="1"/>
  <c r="N16" i="5"/>
  <c r="M18" i="5"/>
  <c r="N18" i="5" s="1"/>
  <c r="O18" i="5" s="1"/>
  <c r="J18" i="5" s="1"/>
  <c r="M19" i="5"/>
  <c r="N19" i="5" s="1"/>
  <c r="O19" i="5" s="1"/>
  <c r="J19" i="5" s="1"/>
  <c r="M20" i="5"/>
  <c r="N20" i="5" s="1"/>
  <c r="O20" i="5" s="1"/>
  <c r="J20" i="5" s="1"/>
  <c r="M17" i="5"/>
  <c r="N17" i="5" s="1"/>
  <c r="O17" i="5" s="1"/>
  <c r="J17" i="5" s="1"/>
  <c r="J8" i="84"/>
  <c r="H15" i="84"/>
  <c r="I20" i="84" s="1"/>
  <c r="L16" i="5"/>
  <c r="K18" i="5"/>
  <c r="L18" i="5"/>
  <c r="K19" i="5"/>
  <c r="L19" i="5"/>
  <c r="K20" i="5"/>
  <c r="L20" i="5"/>
  <c r="K17" i="5"/>
  <c r="L17" i="5"/>
  <c r="I7" i="5"/>
  <c r="H16" i="5"/>
  <c r="H21" i="5"/>
  <c r="H8" i="92"/>
  <c r="J8" i="92" s="1"/>
  <c r="G32" i="91"/>
  <c r="G31" i="91"/>
  <c r="D34" i="90"/>
  <c r="G34" i="90"/>
  <c r="G35" i="90"/>
  <c r="H17" i="90"/>
  <c r="I22" i="90"/>
  <c r="D22" i="90" s="1"/>
  <c r="I8" i="90"/>
  <c r="G35" i="95"/>
  <c r="G34" i="95"/>
  <c r="G28" i="95"/>
  <c r="I8" i="95"/>
  <c r="G41" i="12"/>
  <c r="G28" i="81"/>
  <c r="H16" i="81"/>
  <c r="I18" i="81" s="1"/>
  <c r="H8" i="70"/>
  <c r="I8" i="70"/>
  <c r="G35" i="69"/>
  <c r="G34" i="69"/>
  <c r="H8" i="69"/>
  <c r="I8" i="69"/>
  <c r="D31" i="68"/>
  <c r="G31" i="68"/>
  <c r="G32" i="68"/>
  <c r="F21" i="68"/>
  <c r="H16" i="68"/>
  <c r="I18" i="68" s="1"/>
  <c r="G26" i="80"/>
  <c r="G34" i="80"/>
  <c r="G33" i="80"/>
  <c r="I9" i="80"/>
  <c r="D31" i="67"/>
  <c r="G31" i="67" s="1"/>
  <c r="G32" i="67"/>
  <c r="D33" i="100"/>
  <c r="G33" i="100" s="1"/>
  <c r="G34" i="100"/>
  <c r="G41" i="100"/>
  <c r="I9" i="100"/>
  <c r="G32" i="65"/>
  <c r="G31" i="65"/>
  <c r="G33" i="88"/>
  <c r="G32" i="88"/>
  <c r="G34" i="87"/>
  <c r="G33" i="87"/>
  <c r="I9" i="87"/>
  <c r="G34" i="77"/>
  <c r="D33" i="77"/>
  <c r="G33" i="77"/>
  <c r="D32" i="64"/>
  <c r="G32" i="64"/>
  <c r="G33" i="64"/>
  <c r="G26" i="64"/>
  <c r="F21" i="64"/>
  <c r="G32" i="76"/>
  <c r="G31" i="76"/>
  <c r="G34" i="93"/>
  <c r="G33" i="93"/>
  <c r="H8" i="93"/>
  <c r="I8" i="93"/>
  <c r="E29" i="79"/>
  <c r="D29" i="79"/>
  <c r="F33" i="79"/>
  <c r="F29" i="79" s="1"/>
  <c r="D42" i="79"/>
  <c r="I8" i="79"/>
  <c r="J8" i="79"/>
  <c r="D39" i="74"/>
  <c r="H39" i="74"/>
  <c r="I39" i="74" s="1"/>
  <c r="I8" i="74"/>
  <c r="G27" i="63"/>
  <c r="H8" i="63"/>
  <c r="I8" i="63"/>
  <c r="G32" i="73"/>
  <c r="G31" i="73"/>
  <c r="G26" i="62"/>
  <c r="G39" i="62"/>
  <c r="I8" i="62"/>
  <c r="J8" i="62"/>
  <c r="H17" i="52"/>
  <c r="H22" i="54"/>
  <c r="H21" i="54"/>
  <c r="H20" i="54"/>
  <c r="H19" i="54"/>
  <c r="H18" i="54"/>
  <c r="I18" i="54" s="1"/>
  <c r="J8" i="54"/>
  <c r="D33" i="52"/>
  <c r="G33" i="52"/>
  <c r="G34" i="52"/>
  <c r="F27" i="52"/>
  <c r="G27" i="52"/>
  <c r="G26" i="50"/>
  <c r="G34" i="106"/>
  <c r="G33" i="106"/>
  <c r="J8" i="50"/>
  <c r="G32" i="51"/>
  <c r="G31" i="51"/>
  <c r="G33" i="48"/>
  <c r="G33" i="46"/>
  <c r="G32" i="46"/>
  <c r="G32" i="45"/>
  <c r="G31" i="45"/>
  <c r="G34" i="44"/>
  <c r="K7" i="43"/>
  <c r="G34" i="42"/>
  <c r="D33" i="42"/>
  <c r="G33" i="42" s="1"/>
  <c r="D32" i="47"/>
  <c r="G39" i="36"/>
  <c r="G34" i="32"/>
  <c r="D33" i="32"/>
  <c r="D41" i="32"/>
  <c r="G34" i="30"/>
  <c r="D33" i="30"/>
  <c r="G33" i="105"/>
  <c r="D32" i="105"/>
  <c r="G32" i="105"/>
  <c r="G39" i="29"/>
  <c r="G35" i="28"/>
  <c r="G27" i="28"/>
  <c r="G34" i="23"/>
  <c r="G34" i="25"/>
  <c r="G26" i="20"/>
  <c r="G33" i="18"/>
  <c r="D32" i="18"/>
  <c r="E32" i="17"/>
  <c r="G33" i="17" s="1"/>
  <c r="D32" i="17"/>
  <c r="G32" i="17" s="1"/>
  <c r="G33" i="14"/>
  <c r="G33" i="15"/>
  <c r="G33" i="13"/>
  <c r="D32" i="13"/>
  <c r="G32" i="13"/>
  <c r="G34" i="12"/>
  <c r="D33" i="12"/>
  <c r="G33" i="12"/>
  <c r="G26" i="12"/>
  <c r="G25" i="11"/>
  <c r="G33" i="11"/>
  <c r="D32" i="11"/>
  <c r="G32" i="11"/>
  <c r="G33" i="8"/>
  <c r="F50" i="5"/>
  <c r="F45" i="5"/>
  <c r="F25" i="5" s="1"/>
  <c r="G38" i="5" s="1"/>
  <c r="G25" i="5"/>
  <c r="G26" i="5"/>
  <c r="G33" i="6"/>
  <c r="G32" i="6"/>
  <c r="G34" i="5"/>
  <c r="D33" i="5"/>
  <c r="G33" i="5"/>
  <c r="E32" i="4"/>
  <c r="G33" i="4"/>
  <c r="D32" i="4"/>
  <c r="G32" i="4" s="1"/>
  <c r="G34" i="1"/>
  <c r="G33" i="1"/>
  <c r="J8" i="51"/>
  <c r="K16" i="51" s="1"/>
  <c r="G33" i="44"/>
  <c r="C41" i="44"/>
  <c r="I8" i="44"/>
  <c r="K8" i="44"/>
  <c r="H17" i="44"/>
  <c r="I18" i="44" s="1"/>
  <c r="H16" i="115"/>
  <c r="I20" i="115"/>
  <c r="D20" i="115" s="1"/>
  <c r="F16" i="115"/>
  <c r="G16" i="115"/>
  <c r="H17" i="115"/>
  <c r="H18" i="115"/>
  <c r="I18" i="115" s="1"/>
  <c r="H19" i="115"/>
  <c r="H20" i="115"/>
  <c r="G21" i="115"/>
  <c r="F22" i="115"/>
  <c r="G22" i="115"/>
  <c r="G23" i="115"/>
  <c r="G24" i="115"/>
  <c r="F25" i="115"/>
  <c r="G25" i="115"/>
  <c r="D26" i="115"/>
  <c r="E26" i="115"/>
  <c r="F27" i="115"/>
  <c r="F26" i="115" s="1"/>
  <c r="G27" i="115"/>
  <c r="F28" i="115"/>
  <c r="G28" i="115"/>
  <c r="G29" i="115"/>
  <c r="F30" i="115"/>
  <c r="G30" i="115"/>
  <c r="F46" i="115"/>
  <c r="F41" i="115"/>
  <c r="F24" i="115" s="1"/>
  <c r="H17" i="108"/>
  <c r="I18" i="108" s="1"/>
  <c r="I20" i="108"/>
  <c r="D20" i="108" s="1"/>
  <c r="E20" i="108"/>
  <c r="F17" i="108"/>
  <c r="G17" i="108"/>
  <c r="H18" i="108"/>
  <c r="H19" i="108"/>
  <c r="H20" i="108"/>
  <c r="H21" i="108"/>
  <c r="G22" i="108"/>
  <c r="F23" i="108"/>
  <c r="G23" i="108"/>
  <c r="G24" i="108"/>
  <c r="F27" i="108"/>
  <c r="G27" i="108"/>
  <c r="D28" i="108"/>
  <c r="E28" i="108"/>
  <c r="G28" i="108"/>
  <c r="F29" i="108"/>
  <c r="F28" i="108" s="1"/>
  <c r="G29" i="108"/>
  <c r="F30" i="108"/>
  <c r="G30" i="108"/>
  <c r="G31" i="108"/>
  <c r="F32" i="108"/>
  <c r="G32" i="108"/>
  <c r="F16" i="103"/>
  <c r="G16" i="103"/>
  <c r="H17" i="103"/>
  <c r="I17" i="103" s="1"/>
  <c r="H18" i="103"/>
  <c r="I18" i="103" s="1"/>
  <c r="H19" i="103"/>
  <c r="I19" i="103" s="1"/>
  <c r="H20" i="103"/>
  <c r="I20" i="103" s="1"/>
  <c r="G21" i="103"/>
  <c r="F22" i="103"/>
  <c r="G22" i="103"/>
  <c r="F23" i="103"/>
  <c r="G23" i="103"/>
  <c r="G24" i="103"/>
  <c r="F25" i="103"/>
  <c r="G25" i="103"/>
  <c r="D27" i="103"/>
  <c r="E27" i="103"/>
  <c r="F28" i="103"/>
  <c r="G28" i="103"/>
  <c r="F29" i="103"/>
  <c r="F27" i="103" s="1"/>
  <c r="G29" i="103"/>
  <c r="F30" i="103"/>
  <c r="G30" i="103"/>
  <c r="F31" i="103"/>
  <c r="G31" i="103"/>
  <c r="F39" i="103"/>
  <c r="F24" i="103" s="1"/>
  <c r="G35" i="103" s="1"/>
  <c r="H17" i="99"/>
  <c r="F17" i="99"/>
  <c r="G17" i="99"/>
  <c r="H18" i="99"/>
  <c r="H19" i="99"/>
  <c r="I19" i="99"/>
  <c r="D19" i="99" s="1"/>
  <c r="H20" i="99"/>
  <c r="I20" i="99" s="1"/>
  <c r="H21" i="99"/>
  <c r="I21" i="99" s="1"/>
  <c r="G22" i="99"/>
  <c r="F23" i="99"/>
  <c r="G23" i="99"/>
  <c r="F24" i="99"/>
  <c r="G24" i="99"/>
  <c r="F27" i="99"/>
  <c r="G27" i="99"/>
  <c r="D28" i="99"/>
  <c r="E28" i="99"/>
  <c r="F29" i="99"/>
  <c r="G29" i="99"/>
  <c r="F30" i="99"/>
  <c r="F28" i="99" s="1"/>
  <c r="G30" i="99"/>
  <c r="F31" i="99"/>
  <c r="G31" i="99"/>
  <c r="F32" i="99"/>
  <c r="G32" i="99"/>
  <c r="J8" i="102"/>
  <c r="H15" i="102"/>
  <c r="F15" i="102"/>
  <c r="G15" i="102"/>
  <c r="H16" i="102"/>
  <c r="H17" i="102"/>
  <c r="H18" i="102"/>
  <c r="H19" i="102"/>
  <c r="G20" i="102"/>
  <c r="F21" i="102"/>
  <c r="G21" i="102"/>
  <c r="F22" i="102"/>
  <c r="G22" i="102"/>
  <c r="H22" i="102"/>
  <c r="G23" i="102"/>
  <c r="F24" i="102"/>
  <c r="G24" i="102"/>
  <c r="D25" i="102"/>
  <c r="E25" i="102"/>
  <c r="F26" i="102"/>
  <c r="G26" i="102"/>
  <c r="F27" i="102"/>
  <c r="G27" i="102"/>
  <c r="F28" i="102"/>
  <c r="G28" i="102"/>
  <c r="F29" i="102"/>
  <c r="G29" i="102"/>
  <c r="F42" i="102"/>
  <c r="F38" i="102"/>
  <c r="F23" i="102"/>
  <c r="G34" i="102" s="1"/>
  <c r="F17" i="98"/>
  <c r="G17" i="98"/>
  <c r="J17" i="98"/>
  <c r="H18" i="98"/>
  <c r="H19" i="98"/>
  <c r="I19" i="98"/>
  <c r="D19" i="98" s="1"/>
  <c r="H20" i="98"/>
  <c r="I20" i="98" s="1"/>
  <c r="H21" i="98"/>
  <c r="I21" i="98" s="1"/>
  <c r="G22" i="98"/>
  <c r="F23" i="98"/>
  <c r="G23" i="98"/>
  <c r="F24" i="98"/>
  <c r="G24" i="98"/>
  <c r="F27" i="98"/>
  <c r="G27" i="98"/>
  <c r="D28" i="98"/>
  <c r="E28" i="98"/>
  <c r="F29" i="98"/>
  <c r="G29" i="98"/>
  <c r="F30" i="98"/>
  <c r="G30" i="98"/>
  <c r="F31" i="98"/>
  <c r="G31" i="98"/>
  <c r="F32" i="98"/>
  <c r="G32" i="98"/>
  <c r="H17" i="97"/>
  <c r="I19" i="97" s="1"/>
  <c r="F17" i="97"/>
  <c r="G17" i="97"/>
  <c r="H18" i="97"/>
  <c r="I18" i="97" s="1"/>
  <c r="H19" i="97"/>
  <c r="H20" i="97"/>
  <c r="H21" i="97"/>
  <c r="I21" i="97" s="1"/>
  <c r="G22" i="97"/>
  <c r="F23" i="97"/>
  <c r="G23" i="97"/>
  <c r="F24" i="97"/>
  <c r="G24" i="97"/>
  <c r="G25" i="97"/>
  <c r="F26" i="97"/>
  <c r="G26" i="97"/>
  <c r="D27" i="97"/>
  <c r="G27" i="97" s="1"/>
  <c r="E27" i="97"/>
  <c r="F28" i="97"/>
  <c r="F27" i="97"/>
  <c r="G28" i="97"/>
  <c r="F29" i="97"/>
  <c r="G29" i="97"/>
  <c r="F30" i="97"/>
  <c r="G30" i="97"/>
  <c r="F31" i="97"/>
  <c r="G31" i="97"/>
  <c r="F42" i="97"/>
  <c r="F39" i="97"/>
  <c r="F25" i="97"/>
  <c r="F17" i="96"/>
  <c r="G17" i="96"/>
  <c r="H18" i="96"/>
  <c r="I18" i="96"/>
  <c r="D18" i="96" s="1"/>
  <c r="H19" i="96"/>
  <c r="I19" i="96" s="1"/>
  <c r="H20" i="96"/>
  <c r="H21" i="96"/>
  <c r="G22" i="96"/>
  <c r="F23" i="96"/>
  <c r="G23" i="96"/>
  <c r="F24" i="96"/>
  <c r="G24" i="96"/>
  <c r="G25" i="96"/>
  <c r="F26" i="96"/>
  <c r="G26" i="96"/>
  <c r="D27" i="96"/>
  <c r="G27" i="96" s="1"/>
  <c r="E27" i="96"/>
  <c r="F28" i="96"/>
  <c r="F27" i="96" s="1"/>
  <c r="G28" i="96"/>
  <c r="F29" i="96"/>
  <c r="G29" i="96"/>
  <c r="F30" i="96"/>
  <c r="G30" i="96"/>
  <c r="F31" i="96"/>
  <c r="G31" i="96"/>
  <c r="F43" i="96"/>
  <c r="F39" i="96" s="1"/>
  <c r="F25" i="96" s="1"/>
  <c r="G35" i="96" s="1"/>
  <c r="G17" i="101"/>
  <c r="H18" i="101"/>
  <c r="H19" i="101"/>
  <c r="H20" i="101"/>
  <c r="I20" i="101" s="1"/>
  <c r="H21" i="101"/>
  <c r="F22" i="101"/>
  <c r="G22" i="101"/>
  <c r="F23" i="101"/>
  <c r="G23" i="101"/>
  <c r="F24" i="101"/>
  <c r="G24" i="101"/>
  <c r="F27" i="101"/>
  <c r="G27" i="101"/>
  <c r="D28" i="101"/>
  <c r="E28" i="101"/>
  <c r="G28" i="101"/>
  <c r="F29" i="101"/>
  <c r="F28" i="101" s="1"/>
  <c r="G29" i="101"/>
  <c r="F30" i="101"/>
  <c r="G30" i="101"/>
  <c r="F31" i="101"/>
  <c r="G31" i="101"/>
  <c r="F32" i="101"/>
  <c r="G32" i="101"/>
  <c r="H17" i="85"/>
  <c r="I21" i="85" s="1"/>
  <c r="G17" i="85"/>
  <c r="H18" i="85"/>
  <c r="I18" i="85"/>
  <c r="E18" i="85" s="1"/>
  <c r="D18" i="85"/>
  <c r="F18" i="85" s="1"/>
  <c r="H19" i="85"/>
  <c r="I19" i="85" s="1"/>
  <c r="H20" i="85"/>
  <c r="I20" i="85" s="1"/>
  <c r="H21" i="85"/>
  <c r="F22" i="85"/>
  <c r="G22" i="85"/>
  <c r="F23" i="85"/>
  <c r="G23" i="85"/>
  <c r="F24" i="85"/>
  <c r="G24" i="85"/>
  <c r="F27" i="85"/>
  <c r="G27" i="85"/>
  <c r="D28" i="85"/>
  <c r="G28" i="85" s="1"/>
  <c r="E28" i="85"/>
  <c r="G29" i="85"/>
  <c r="F30" i="85"/>
  <c r="F28" i="85"/>
  <c r="G30" i="85"/>
  <c r="G31" i="85"/>
  <c r="F32" i="85"/>
  <c r="G32" i="85"/>
  <c r="F15" i="84"/>
  <c r="G15" i="84"/>
  <c r="H16" i="84"/>
  <c r="H17" i="84"/>
  <c r="H18" i="84"/>
  <c r="I18" i="84" s="1"/>
  <c r="H19" i="84"/>
  <c r="I19" i="84"/>
  <c r="F21" i="84"/>
  <c r="G21" i="84"/>
  <c r="F22" i="84"/>
  <c r="G22" i="84"/>
  <c r="G23" i="84"/>
  <c r="F24" i="84"/>
  <c r="G24" i="84"/>
  <c r="D25" i="84"/>
  <c r="E25" i="84"/>
  <c r="F26" i="84"/>
  <c r="G26" i="84"/>
  <c r="F27" i="84"/>
  <c r="G27" i="84"/>
  <c r="F28" i="84"/>
  <c r="F25" i="84" s="1"/>
  <c r="G28" i="84"/>
  <c r="F29" i="84"/>
  <c r="G29" i="84"/>
  <c r="F47" i="84"/>
  <c r="F39" i="84"/>
  <c r="F23" i="84"/>
  <c r="H17" i="92"/>
  <c r="F17" i="92"/>
  <c r="G17" i="92"/>
  <c r="H18" i="92"/>
  <c r="J18" i="92"/>
  <c r="D18" i="92" s="1"/>
  <c r="H19" i="92"/>
  <c r="J19" i="92"/>
  <c r="H20" i="92"/>
  <c r="J20" i="92" s="1"/>
  <c r="H21" i="92"/>
  <c r="J21" i="92"/>
  <c r="D21" i="92" s="1"/>
  <c r="F22" i="92"/>
  <c r="G22" i="92"/>
  <c r="G23" i="92"/>
  <c r="F24" i="92"/>
  <c r="G24" i="92"/>
  <c r="F27" i="92"/>
  <c r="G27" i="92"/>
  <c r="D28" i="92"/>
  <c r="E28" i="92"/>
  <c r="G28" i="92"/>
  <c r="F29" i="92"/>
  <c r="G29" i="92"/>
  <c r="F30" i="92"/>
  <c r="F28" i="92"/>
  <c r="G30" i="92"/>
  <c r="G31" i="92"/>
  <c r="F32" i="92"/>
  <c r="G32" i="92"/>
  <c r="F17" i="90"/>
  <c r="G17" i="90"/>
  <c r="H18" i="90"/>
  <c r="H19" i="90"/>
  <c r="I19" i="90"/>
  <c r="E19" i="90" s="1"/>
  <c r="H20" i="90"/>
  <c r="I20" i="90" s="1"/>
  <c r="H21" i="90"/>
  <c r="I21" i="90" s="1"/>
  <c r="F23" i="90"/>
  <c r="G23" i="90"/>
  <c r="F24" i="90"/>
  <c r="G24" i="90"/>
  <c r="F25" i="90"/>
  <c r="G25" i="90"/>
  <c r="F28" i="90"/>
  <c r="G28" i="90"/>
  <c r="D29" i="90"/>
  <c r="E29" i="90"/>
  <c r="F30" i="90"/>
  <c r="F29" i="90" s="1"/>
  <c r="G30" i="90"/>
  <c r="F31" i="90"/>
  <c r="G31" i="90"/>
  <c r="F32" i="90"/>
  <c r="G32" i="90"/>
  <c r="F33" i="90"/>
  <c r="G33" i="90"/>
  <c r="H17" i="95"/>
  <c r="F17" i="95"/>
  <c r="G17" i="95"/>
  <c r="H18" i="95"/>
  <c r="I18" i="95"/>
  <c r="D18" i="95" s="1"/>
  <c r="H19" i="95"/>
  <c r="I19" i="95" s="1"/>
  <c r="H20" i="95"/>
  <c r="I20" i="95"/>
  <c r="E20" i="95" s="1"/>
  <c r="H21" i="95"/>
  <c r="I21" i="95" s="1"/>
  <c r="F22" i="95"/>
  <c r="G22" i="95"/>
  <c r="F23" i="95"/>
  <c r="G23" i="95"/>
  <c r="F24" i="95"/>
  <c r="G24" i="95"/>
  <c r="F27" i="95"/>
  <c r="G27" i="95"/>
  <c r="D29" i="95"/>
  <c r="E29" i="95"/>
  <c r="G29" i="95" s="1"/>
  <c r="F30" i="95"/>
  <c r="G30" i="95"/>
  <c r="F31" i="95"/>
  <c r="F29" i="95" s="1"/>
  <c r="G31" i="95"/>
  <c r="F32" i="95"/>
  <c r="G32" i="95"/>
  <c r="F33" i="95"/>
  <c r="G33" i="95"/>
  <c r="K8" i="91"/>
  <c r="H16" i="91"/>
  <c r="J20" i="91" s="1"/>
  <c r="F16" i="91"/>
  <c r="G16" i="91"/>
  <c r="H17" i="91"/>
  <c r="J17" i="91" s="1"/>
  <c r="H18" i="91"/>
  <c r="J18" i="91"/>
  <c r="D18" i="91" s="1"/>
  <c r="H19" i="91"/>
  <c r="J19" i="91" s="1"/>
  <c r="H20" i="91"/>
  <c r="F21" i="91"/>
  <c r="G21" i="91"/>
  <c r="F22" i="91"/>
  <c r="G22" i="91"/>
  <c r="F23" i="91"/>
  <c r="G23" i="91"/>
  <c r="F25" i="91"/>
  <c r="G25" i="91"/>
  <c r="D26" i="91"/>
  <c r="E26" i="91"/>
  <c r="F27" i="91"/>
  <c r="F26" i="91" s="1"/>
  <c r="G27" i="91"/>
  <c r="F28" i="91"/>
  <c r="G28" i="91"/>
  <c r="F29" i="91"/>
  <c r="G29" i="91"/>
  <c r="F30" i="91"/>
  <c r="G30" i="91"/>
  <c r="F43" i="91"/>
  <c r="F40" i="91" s="1"/>
  <c r="F24" i="91" s="1"/>
  <c r="H17" i="94"/>
  <c r="F17" i="94"/>
  <c r="G17" i="94"/>
  <c r="H18" i="94"/>
  <c r="I18" i="94" s="1"/>
  <c r="H19" i="94"/>
  <c r="I19" i="94" s="1"/>
  <c r="H20" i="94"/>
  <c r="I20" i="94"/>
  <c r="D20" i="94" s="1"/>
  <c r="H21" i="94"/>
  <c r="I21" i="94"/>
  <c r="E21" i="94" s="1"/>
  <c r="G22" i="94"/>
  <c r="F23" i="94"/>
  <c r="G23" i="94"/>
  <c r="F24" i="94"/>
  <c r="G24" i="94"/>
  <c r="F27" i="94"/>
  <c r="G27" i="94"/>
  <c r="D28" i="94"/>
  <c r="G28" i="94" s="1"/>
  <c r="E28" i="94"/>
  <c r="F29" i="94"/>
  <c r="G29" i="94"/>
  <c r="F30" i="94"/>
  <c r="G30" i="94"/>
  <c r="F31" i="94"/>
  <c r="F28" i="94" s="1"/>
  <c r="G31" i="94"/>
  <c r="F32" i="94"/>
  <c r="G32" i="94"/>
  <c r="H16" i="82"/>
  <c r="F16" i="82"/>
  <c r="G16" i="82"/>
  <c r="H17" i="82"/>
  <c r="H18" i="82"/>
  <c r="I18" i="82" s="1"/>
  <c r="H19" i="82"/>
  <c r="I19" i="82" s="1"/>
  <c r="H20" i="82"/>
  <c r="I20" i="82" s="1"/>
  <c r="F21" i="82"/>
  <c r="G21" i="82"/>
  <c r="F22" i="82"/>
  <c r="G22" i="82"/>
  <c r="G23" i="82"/>
  <c r="G24" i="82"/>
  <c r="F25" i="82"/>
  <c r="G25" i="82"/>
  <c r="D26" i="82"/>
  <c r="E26" i="82"/>
  <c r="F27" i="82"/>
  <c r="G27" i="82"/>
  <c r="F28" i="82"/>
  <c r="G28" i="82"/>
  <c r="F29" i="82"/>
  <c r="G29" i="82"/>
  <c r="F30" i="82"/>
  <c r="G30" i="82"/>
  <c r="F47" i="82"/>
  <c r="F39" i="82"/>
  <c r="F24" i="82"/>
  <c r="H16" i="83"/>
  <c r="F16" i="83"/>
  <c r="G16" i="83"/>
  <c r="H17" i="83"/>
  <c r="H18" i="83"/>
  <c r="H19" i="83"/>
  <c r="H20" i="83"/>
  <c r="F21" i="83"/>
  <c r="G21" i="83"/>
  <c r="F22" i="83"/>
  <c r="G22" i="83"/>
  <c r="F23" i="83"/>
  <c r="G23" i="83"/>
  <c r="G24" i="83"/>
  <c r="G25" i="83"/>
  <c r="D26" i="83"/>
  <c r="E26" i="83"/>
  <c r="F27" i="83"/>
  <c r="G27" i="83"/>
  <c r="F28" i="83"/>
  <c r="G28" i="83"/>
  <c r="F29" i="83"/>
  <c r="F26" i="83" s="1"/>
  <c r="G29" i="83"/>
  <c r="F30" i="83"/>
  <c r="G30" i="83"/>
  <c r="F43" i="83"/>
  <c r="F39" i="83"/>
  <c r="F24" i="83"/>
  <c r="F16" i="81"/>
  <c r="G16" i="81"/>
  <c r="H17" i="81"/>
  <c r="H18" i="81"/>
  <c r="H19" i="81"/>
  <c r="I19" i="81" s="1"/>
  <c r="H20" i="81"/>
  <c r="G21" i="81"/>
  <c r="F22" i="81"/>
  <c r="G22" i="81"/>
  <c r="G23" i="81"/>
  <c r="G24" i="81"/>
  <c r="F25" i="81"/>
  <c r="G25" i="81"/>
  <c r="D26" i="81"/>
  <c r="G26" i="81" s="1"/>
  <c r="E26" i="81"/>
  <c r="F27" i="81"/>
  <c r="F26" i="81" s="1"/>
  <c r="G27" i="81"/>
  <c r="F28" i="81"/>
  <c r="F29" i="81"/>
  <c r="G29" i="81"/>
  <c r="F30" i="81"/>
  <c r="G30" i="81"/>
  <c r="F43" i="81"/>
  <c r="F39" i="81"/>
  <c r="F24" i="81" s="1"/>
  <c r="G34" i="81" s="1"/>
  <c r="H17" i="70"/>
  <c r="F17" i="70"/>
  <c r="G17" i="70"/>
  <c r="H18" i="70"/>
  <c r="H19" i="70"/>
  <c r="I19" i="70"/>
  <c r="H20" i="70"/>
  <c r="I20" i="70" s="1"/>
  <c r="H21" i="70"/>
  <c r="I21" i="70" s="1"/>
  <c r="F22" i="70"/>
  <c r="G22" i="70"/>
  <c r="H22" i="70"/>
  <c r="F23" i="70"/>
  <c r="G23" i="70"/>
  <c r="F24" i="70"/>
  <c r="G24" i="70"/>
  <c r="F25" i="70"/>
  <c r="G25" i="70"/>
  <c r="G28" i="70"/>
  <c r="D29" i="70"/>
  <c r="E29" i="70"/>
  <c r="F30" i="70"/>
  <c r="F29" i="70" s="1"/>
  <c r="G30" i="70"/>
  <c r="G31" i="70"/>
  <c r="F32" i="70"/>
  <c r="G32" i="70"/>
  <c r="F33" i="70"/>
  <c r="G33" i="70"/>
  <c r="H17" i="69"/>
  <c r="F17" i="69"/>
  <c r="G17" i="69"/>
  <c r="H18" i="69"/>
  <c r="H19" i="69"/>
  <c r="I19" i="69" s="1"/>
  <c r="H20" i="69"/>
  <c r="I20" i="69" s="1"/>
  <c r="H21" i="69"/>
  <c r="I21" i="69" s="1"/>
  <c r="F22" i="69"/>
  <c r="G22" i="69"/>
  <c r="H22" i="69"/>
  <c r="F23" i="69"/>
  <c r="G23" i="69"/>
  <c r="F24" i="69"/>
  <c r="G24" i="69"/>
  <c r="F25" i="69"/>
  <c r="G25" i="69"/>
  <c r="G28" i="69"/>
  <c r="D29" i="69"/>
  <c r="G29" i="69" s="1"/>
  <c r="E29" i="69"/>
  <c r="F30" i="69"/>
  <c r="F29" i="69" s="1"/>
  <c r="G30" i="69"/>
  <c r="F31" i="69"/>
  <c r="G31" i="69"/>
  <c r="F32" i="69"/>
  <c r="G32" i="69"/>
  <c r="F33" i="69"/>
  <c r="G33" i="69"/>
  <c r="F16" i="68"/>
  <c r="G16" i="68"/>
  <c r="H17" i="68"/>
  <c r="I17" i="68" s="1"/>
  <c r="H18" i="68"/>
  <c r="H19" i="68"/>
  <c r="I19" i="68"/>
  <c r="E19" i="68" s="1"/>
  <c r="D19" i="68"/>
  <c r="G19" i="68" s="1"/>
  <c r="H20" i="68"/>
  <c r="G21" i="68"/>
  <c r="F22" i="68"/>
  <c r="G22" i="68"/>
  <c r="G23" i="68"/>
  <c r="G25" i="68"/>
  <c r="D26" i="68"/>
  <c r="E26" i="68"/>
  <c r="F27" i="68"/>
  <c r="G27" i="68"/>
  <c r="F28" i="68"/>
  <c r="G28" i="68"/>
  <c r="F29" i="68"/>
  <c r="F26" i="68" s="1"/>
  <c r="G29" i="68"/>
  <c r="F30" i="68"/>
  <c r="G30" i="68"/>
  <c r="F44" i="68"/>
  <c r="F41" i="68"/>
  <c r="F24" i="68"/>
  <c r="G36" i="68" s="1"/>
  <c r="H17" i="80"/>
  <c r="F17" i="80"/>
  <c r="G17" i="80"/>
  <c r="H18" i="80"/>
  <c r="I18" i="80" s="1"/>
  <c r="H19" i="80"/>
  <c r="I19" i="80"/>
  <c r="D19" i="80" s="1"/>
  <c r="H20" i="80"/>
  <c r="H21" i="80"/>
  <c r="I21" i="80" s="1"/>
  <c r="F22" i="80"/>
  <c r="G22" i="80"/>
  <c r="F23" i="80"/>
  <c r="G23" i="80"/>
  <c r="G24" i="80"/>
  <c r="G27" i="80"/>
  <c r="D28" i="80"/>
  <c r="E28" i="80"/>
  <c r="F29" i="80"/>
  <c r="G29" i="80"/>
  <c r="F30" i="80"/>
  <c r="G30" i="80"/>
  <c r="F31" i="80"/>
  <c r="F28" i="80" s="1"/>
  <c r="G31" i="80"/>
  <c r="F32" i="80"/>
  <c r="G32" i="80"/>
  <c r="F46" i="80"/>
  <c r="F44" i="80"/>
  <c r="F25" i="80"/>
  <c r="H16" i="67"/>
  <c r="I19" i="67" s="1"/>
  <c r="F16" i="67"/>
  <c r="G16" i="67"/>
  <c r="H17" i="67"/>
  <c r="H18" i="67"/>
  <c r="H19" i="67"/>
  <c r="H20" i="67"/>
  <c r="F21" i="67"/>
  <c r="G21" i="67"/>
  <c r="F22" i="67"/>
  <c r="G22" i="67"/>
  <c r="G23" i="67"/>
  <c r="G24" i="67"/>
  <c r="F25" i="67"/>
  <c r="G25" i="67"/>
  <c r="D26" i="67"/>
  <c r="G26" i="67" s="1"/>
  <c r="E26" i="67"/>
  <c r="F27" i="67"/>
  <c r="G27" i="67"/>
  <c r="F28" i="67"/>
  <c r="G28" i="67"/>
  <c r="F29" i="67"/>
  <c r="G29" i="67"/>
  <c r="F30" i="67"/>
  <c r="F26" i="67" s="1"/>
  <c r="G30" i="67"/>
  <c r="F45" i="67"/>
  <c r="F41" i="67"/>
  <c r="F24" i="67"/>
  <c r="H17" i="100"/>
  <c r="I19" i="100" s="1"/>
  <c r="F17" i="100"/>
  <c r="G17" i="100"/>
  <c r="H18" i="100"/>
  <c r="H19" i="100"/>
  <c r="H20" i="100"/>
  <c r="H21" i="100"/>
  <c r="G22" i="100"/>
  <c r="F23" i="100"/>
  <c r="G23" i="100"/>
  <c r="F24" i="100"/>
  <c r="G24" i="100"/>
  <c r="F27" i="100"/>
  <c r="G27" i="100"/>
  <c r="D28" i="100"/>
  <c r="E28" i="100"/>
  <c r="G28" i="100" s="1"/>
  <c r="G29" i="100"/>
  <c r="F30" i="100"/>
  <c r="G30" i="100"/>
  <c r="F31" i="100"/>
  <c r="G31" i="100"/>
  <c r="F32" i="100"/>
  <c r="G32" i="100"/>
  <c r="H16" i="65"/>
  <c r="I20" i="65" s="1"/>
  <c r="F16" i="65"/>
  <c r="G16" i="65"/>
  <c r="H17" i="65"/>
  <c r="I17" i="65"/>
  <c r="E17" i="65" s="1"/>
  <c r="H18" i="65"/>
  <c r="H19" i="65"/>
  <c r="I19" i="65" s="1"/>
  <c r="H20" i="65"/>
  <c r="F21" i="65"/>
  <c r="G21" i="65"/>
  <c r="F22" i="65"/>
  <c r="G22" i="65"/>
  <c r="G23" i="65"/>
  <c r="G24" i="65"/>
  <c r="F25" i="65"/>
  <c r="G25" i="65"/>
  <c r="D26" i="65"/>
  <c r="G26" i="65" s="1"/>
  <c r="E26" i="65"/>
  <c r="F27" i="65"/>
  <c r="F26" i="65" s="1"/>
  <c r="G27" i="65"/>
  <c r="F28" i="65"/>
  <c r="G28" i="65"/>
  <c r="F29" i="65"/>
  <c r="G29" i="65"/>
  <c r="F30" i="65"/>
  <c r="G30" i="65"/>
  <c r="F45" i="65"/>
  <c r="F41" i="65" s="1"/>
  <c r="F24" i="65" s="1"/>
  <c r="H16" i="88"/>
  <c r="F16" i="88"/>
  <c r="H17" i="88"/>
  <c r="I17" i="88"/>
  <c r="E17" i="88" s="1"/>
  <c r="H18" i="88"/>
  <c r="I18" i="88" s="1"/>
  <c r="H19" i="88"/>
  <c r="I19" i="88" s="1"/>
  <c r="H20" i="88"/>
  <c r="I20" i="88" s="1"/>
  <c r="F21" i="88"/>
  <c r="G21" i="88"/>
  <c r="F22" i="88"/>
  <c r="G22" i="88"/>
  <c r="G23" i="88"/>
  <c r="G24" i="88"/>
  <c r="F25" i="88"/>
  <c r="G25" i="88"/>
  <c r="D27" i="88"/>
  <c r="G27" i="88" s="1"/>
  <c r="E27" i="88"/>
  <c r="F28" i="88"/>
  <c r="F27" i="88" s="1"/>
  <c r="G28" i="88"/>
  <c r="F29" i="88"/>
  <c r="G29" i="88"/>
  <c r="F30" i="88"/>
  <c r="G30" i="88"/>
  <c r="G31" i="88"/>
  <c r="F47" i="88"/>
  <c r="F42" i="88"/>
  <c r="F24" i="88" s="1"/>
  <c r="H17" i="87"/>
  <c r="F17" i="87"/>
  <c r="G17" i="87"/>
  <c r="H18" i="87"/>
  <c r="I18" i="87"/>
  <c r="E18" i="87" s="1"/>
  <c r="H19" i="87"/>
  <c r="I19" i="87" s="1"/>
  <c r="H20" i="87"/>
  <c r="I20" i="87" s="1"/>
  <c r="H21" i="87"/>
  <c r="I21" i="87" s="1"/>
  <c r="G22" i="87"/>
  <c r="F23" i="87"/>
  <c r="G23" i="87"/>
  <c r="G24" i="87"/>
  <c r="G27" i="87"/>
  <c r="D28" i="87"/>
  <c r="G28" i="87" s="1"/>
  <c r="E28" i="87"/>
  <c r="F29" i="87"/>
  <c r="F28" i="87"/>
  <c r="G29" i="87"/>
  <c r="F30" i="87"/>
  <c r="G30" i="87"/>
  <c r="F31" i="87"/>
  <c r="G31" i="87"/>
  <c r="F32" i="87"/>
  <c r="G32" i="87"/>
  <c r="H17" i="77"/>
  <c r="F17" i="77"/>
  <c r="G17" i="77"/>
  <c r="H18" i="77"/>
  <c r="I18" i="77"/>
  <c r="E18" i="77" s="1"/>
  <c r="H19" i="77"/>
  <c r="I19" i="77"/>
  <c r="D19" i="77" s="1"/>
  <c r="H20" i="77"/>
  <c r="I20" i="77" s="1"/>
  <c r="H21" i="77"/>
  <c r="I21" i="77" s="1"/>
  <c r="F22" i="77"/>
  <c r="G22" i="77"/>
  <c r="F23" i="77"/>
  <c r="G23" i="77"/>
  <c r="G24" i="77"/>
  <c r="G27" i="77"/>
  <c r="D28" i="77"/>
  <c r="E28" i="77"/>
  <c r="G28" i="77" s="1"/>
  <c r="F29" i="77"/>
  <c r="G29" i="77"/>
  <c r="F30" i="77"/>
  <c r="F28" i="77"/>
  <c r="G30" i="77"/>
  <c r="F31" i="77"/>
  <c r="G31" i="77"/>
  <c r="F32" i="77"/>
  <c r="G32" i="77"/>
  <c r="H16" i="64"/>
  <c r="F16" i="64"/>
  <c r="G16" i="64"/>
  <c r="H17" i="64"/>
  <c r="I17" i="64" s="1"/>
  <c r="H18" i="64"/>
  <c r="I18" i="64"/>
  <c r="E18" i="64" s="1"/>
  <c r="H19" i="64"/>
  <c r="I19" i="64"/>
  <c r="H20" i="64"/>
  <c r="I20" i="64"/>
  <c r="E20" i="64" s="1"/>
  <c r="G21" i="64"/>
  <c r="F22" i="64"/>
  <c r="G22" i="64"/>
  <c r="G23" i="64"/>
  <c r="G24" i="64"/>
  <c r="F25" i="64"/>
  <c r="G25" i="64"/>
  <c r="D27" i="64"/>
  <c r="E27" i="64"/>
  <c r="G27" i="64" s="1"/>
  <c r="F28" i="64"/>
  <c r="F27" i="64" s="1"/>
  <c r="G28" i="64"/>
  <c r="F29" i="64"/>
  <c r="G29" i="64"/>
  <c r="F30" i="64"/>
  <c r="G30" i="64"/>
  <c r="F31" i="64"/>
  <c r="G31" i="64"/>
  <c r="F48" i="64"/>
  <c r="F42" i="64"/>
  <c r="F24" i="64" s="1"/>
  <c r="G37" i="64" s="1"/>
  <c r="L8" i="76"/>
  <c r="H16" i="76"/>
  <c r="F16" i="76"/>
  <c r="G16" i="76"/>
  <c r="H17" i="76"/>
  <c r="I17" i="76" s="1"/>
  <c r="H18" i="76"/>
  <c r="I18" i="76" s="1"/>
  <c r="H19" i="76"/>
  <c r="I19" i="76"/>
  <c r="E19" i="76" s="1"/>
  <c r="H20" i="76"/>
  <c r="I20" i="76"/>
  <c r="D20" i="76" s="1"/>
  <c r="G21" i="76"/>
  <c r="F22" i="76"/>
  <c r="G22" i="76"/>
  <c r="G23" i="76"/>
  <c r="G24" i="76"/>
  <c r="G25" i="76"/>
  <c r="D26" i="76"/>
  <c r="G26" i="76"/>
  <c r="E26" i="76"/>
  <c r="F27" i="76"/>
  <c r="G27" i="76"/>
  <c r="F28" i="76"/>
  <c r="G28" i="76"/>
  <c r="F29" i="76"/>
  <c r="F26" i="76" s="1"/>
  <c r="G29" i="76"/>
  <c r="F30" i="76"/>
  <c r="G30" i="76"/>
  <c r="F45" i="76"/>
  <c r="F40" i="76"/>
  <c r="F24" i="76"/>
  <c r="H17" i="93"/>
  <c r="F17" i="93"/>
  <c r="G17" i="93"/>
  <c r="H18" i="93"/>
  <c r="I18" i="93" s="1"/>
  <c r="H19" i="93"/>
  <c r="I19" i="93" s="1"/>
  <c r="H20" i="93"/>
  <c r="I20" i="93" s="1"/>
  <c r="H21" i="93"/>
  <c r="I21" i="93" s="1"/>
  <c r="G22" i="93"/>
  <c r="F23" i="93"/>
  <c r="G23" i="93"/>
  <c r="G24" i="93"/>
  <c r="F27" i="93"/>
  <c r="G27" i="93"/>
  <c r="D28" i="93"/>
  <c r="G28" i="93" s="1"/>
  <c r="E28" i="93"/>
  <c r="F29" i="93"/>
  <c r="F28" i="93" s="1"/>
  <c r="G29" i="93"/>
  <c r="F30" i="93"/>
  <c r="G30" i="93"/>
  <c r="F31" i="93"/>
  <c r="G31" i="93"/>
  <c r="F32" i="93"/>
  <c r="G32" i="93"/>
  <c r="H16" i="75"/>
  <c r="I17" i="75"/>
  <c r="F16" i="75"/>
  <c r="G16" i="75"/>
  <c r="H17" i="75"/>
  <c r="H18" i="75"/>
  <c r="H19" i="75"/>
  <c r="H20" i="75"/>
  <c r="G21" i="75"/>
  <c r="F22" i="75"/>
  <c r="G22" i="75"/>
  <c r="G23" i="75"/>
  <c r="G24" i="75"/>
  <c r="G25" i="75"/>
  <c r="D26" i="75"/>
  <c r="G26" i="75" s="1"/>
  <c r="E26" i="75"/>
  <c r="F27" i="75"/>
  <c r="G27" i="75"/>
  <c r="F28" i="75"/>
  <c r="G28" i="75"/>
  <c r="F29" i="75"/>
  <c r="F26" i="75" s="1"/>
  <c r="G29" i="75"/>
  <c r="F30" i="75"/>
  <c r="G30" i="75"/>
  <c r="F44" i="75"/>
  <c r="F39" i="75"/>
  <c r="F24" i="75"/>
  <c r="G34" i="75" s="1"/>
  <c r="H18" i="79"/>
  <c r="F18" i="79"/>
  <c r="G18" i="79"/>
  <c r="H19" i="79"/>
  <c r="I19" i="79"/>
  <c r="H20" i="79"/>
  <c r="I20" i="79"/>
  <c r="H21" i="79"/>
  <c r="I21" i="79" s="1"/>
  <c r="H22" i="79"/>
  <c r="I22" i="79"/>
  <c r="D22" i="79" s="1"/>
  <c r="F23" i="79"/>
  <c r="G23" i="79"/>
  <c r="F24" i="79"/>
  <c r="G24" i="79"/>
  <c r="G25" i="79"/>
  <c r="G28" i="79"/>
  <c r="F30" i="79"/>
  <c r="G30" i="79"/>
  <c r="F31" i="79"/>
  <c r="G31" i="79"/>
  <c r="F32" i="79"/>
  <c r="G32" i="79"/>
  <c r="G33" i="79"/>
  <c r="G29" i="79"/>
  <c r="H17" i="74"/>
  <c r="I20" i="74" s="1"/>
  <c r="F17" i="74"/>
  <c r="G17" i="74"/>
  <c r="H18" i="74"/>
  <c r="I18" i="74" s="1"/>
  <c r="H19" i="74"/>
  <c r="I19" i="74" s="1"/>
  <c r="H20" i="74"/>
  <c r="H21" i="74"/>
  <c r="G22" i="74"/>
  <c r="F23" i="74"/>
  <c r="G23" i="74"/>
  <c r="G24" i="74"/>
  <c r="G27" i="74"/>
  <c r="D28" i="74"/>
  <c r="E28" i="74"/>
  <c r="G29" i="74"/>
  <c r="F30" i="74"/>
  <c r="G30" i="74"/>
  <c r="F31" i="74"/>
  <c r="G31" i="74"/>
  <c r="F32" i="74"/>
  <c r="G32" i="74"/>
  <c r="F47" i="74"/>
  <c r="F43" i="74" s="1"/>
  <c r="F25" i="74" s="1"/>
  <c r="H17" i="63"/>
  <c r="I20" i="63" s="1"/>
  <c r="I21" i="63"/>
  <c r="F17" i="63"/>
  <c r="G17" i="63"/>
  <c r="H18" i="63"/>
  <c r="I18" i="63"/>
  <c r="E18" i="63"/>
  <c r="H19" i="63"/>
  <c r="H20" i="63"/>
  <c r="H21" i="63"/>
  <c r="G22" i="63"/>
  <c r="F23" i="63"/>
  <c r="G23" i="63"/>
  <c r="G24" i="63"/>
  <c r="D28" i="63"/>
  <c r="E28" i="63"/>
  <c r="G28" i="63" s="1"/>
  <c r="F29" i="63"/>
  <c r="F28" i="63" s="1"/>
  <c r="G29" i="63"/>
  <c r="F30" i="63"/>
  <c r="G30" i="63"/>
  <c r="F31" i="63"/>
  <c r="G31" i="63"/>
  <c r="F32" i="63"/>
  <c r="G32" i="63"/>
  <c r="L8" i="73"/>
  <c r="H16" i="73"/>
  <c r="F16" i="73"/>
  <c r="G16" i="73"/>
  <c r="H17" i="73"/>
  <c r="I17" i="73" s="1"/>
  <c r="H18" i="73"/>
  <c r="I18" i="73"/>
  <c r="D18" i="73" s="1"/>
  <c r="H19" i="73"/>
  <c r="I19" i="73" s="1"/>
  <c r="H20" i="73"/>
  <c r="G21" i="73"/>
  <c r="F22" i="73"/>
  <c r="G22" i="73"/>
  <c r="F23" i="73"/>
  <c r="G23" i="73"/>
  <c r="G24" i="73"/>
  <c r="G25" i="73"/>
  <c r="D26" i="73"/>
  <c r="E26" i="73"/>
  <c r="F27" i="73"/>
  <c r="G27" i="73"/>
  <c r="F28" i="73"/>
  <c r="F26" i="73" s="1"/>
  <c r="G28" i="73"/>
  <c r="F29" i="73"/>
  <c r="G29" i="73"/>
  <c r="F30" i="73"/>
  <c r="G30" i="73"/>
  <c r="H16" i="72"/>
  <c r="F16" i="72"/>
  <c r="G16" i="72"/>
  <c r="H17" i="72"/>
  <c r="H18" i="72"/>
  <c r="H19" i="72"/>
  <c r="H20" i="72"/>
  <c r="G21" i="72"/>
  <c r="F22" i="72"/>
  <c r="G22" i="72"/>
  <c r="G23" i="72"/>
  <c r="G24" i="72"/>
  <c r="G25" i="72"/>
  <c r="D26" i="72"/>
  <c r="E26" i="72"/>
  <c r="F27" i="72"/>
  <c r="G27" i="72"/>
  <c r="F28" i="72"/>
  <c r="G28" i="72"/>
  <c r="F29" i="72"/>
  <c r="G29" i="72"/>
  <c r="F30" i="72"/>
  <c r="G30" i="72"/>
  <c r="F40" i="72"/>
  <c r="F39" i="72"/>
  <c r="F24" i="72"/>
  <c r="G34" i="72" s="1"/>
  <c r="H17" i="62"/>
  <c r="F17" i="62"/>
  <c r="G17" i="62"/>
  <c r="H18" i="62"/>
  <c r="J18" i="62"/>
  <c r="D18" i="62" s="1"/>
  <c r="H19" i="62"/>
  <c r="J19" i="62"/>
  <c r="E19" i="62" s="1"/>
  <c r="G19" i="62" s="1"/>
  <c r="H20" i="62"/>
  <c r="J20" i="62"/>
  <c r="H21" i="62"/>
  <c r="J21" i="62" s="1"/>
  <c r="G22" i="62"/>
  <c r="F23" i="62"/>
  <c r="G23" i="62"/>
  <c r="F24" i="62"/>
  <c r="G24" i="62"/>
  <c r="G27" i="62"/>
  <c r="D28" i="62"/>
  <c r="E28" i="62"/>
  <c r="F29" i="62"/>
  <c r="F28" i="62" s="1"/>
  <c r="G29" i="62"/>
  <c r="F30" i="62"/>
  <c r="G30" i="62"/>
  <c r="F31" i="62"/>
  <c r="G31" i="62"/>
  <c r="F32" i="62"/>
  <c r="G32" i="62"/>
  <c r="H17" i="54"/>
  <c r="I22" i="54" s="1"/>
  <c r="F17" i="54"/>
  <c r="G17" i="54"/>
  <c r="F22" i="54"/>
  <c r="G22" i="54"/>
  <c r="F23" i="54"/>
  <c r="G23" i="54"/>
  <c r="F24" i="54"/>
  <c r="G24" i="54"/>
  <c r="G25" i="54"/>
  <c r="G26" i="54"/>
  <c r="D27" i="54"/>
  <c r="E27" i="54"/>
  <c r="F28" i="54"/>
  <c r="F27" i="54" s="1"/>
  <c r="G28" i="54"/>
  <c r="F29" i="54"/>
  <c r="G29" i="54"/>
  <c r="F30" i="54"/>
  <c r="G30" i="54"/>
  <c r="F31" i="54"/>
  <c r="G31" i="54"/>
  <c r="F44" i="54"/>
  <c r="F40" i="54"/>
  <c r="F25" i="54" s="1"/>
  <c r="K8" i="52"/>
  <c r="F17" i="52"/>
  <c r="G17" i="52"/>
  <c r="H18" i="52"/>
  <c r="I18" i="52"/>
  <c r="D18" i="52" s="1"/>
  <c r="E18" i="52"/>
  <c r="H19" i="52"/>
  <c r="I19" i="52"/>
  <c r="H20" i="52"/>
  <c r="I20" i="52" s="1"/>
  <c r="H21" i="52"/>
  <c r="I21" i="52" s="1"/>
  <c r="F22" i="52"/>
  <c r="G22" i="52"/>
  <c r="F23" i="52"/>
  <c r="G23" i="52"/>
  <c r="G24" i="52"/>
  <c r="G25" i="52"/>
  <c r="F26" i="52"/>
  <c r="G26" i="52"/>
  <c r="D28" i="52"/>
  <c r="G28" i="52" s="1"/>
  <c r="E28" i="52"/>
  <c r="F29" i="52"/>
  <c r="G29" i="52"/>
  <c r="G30" i="52"/>
  <c r="F31" i="52"/>
  <c r="F28" i="52" s="1"/>
  <c r="G31" i="52"/>
  <c r="F32" i="52"/>
  <c r="G32" i="52"/>
  <c r="F45" i="52"/>
  <c r="F42" i="52"/>
  <c r="F25" i="52"/>
  <c r="D18" i="47"/>
  <c r="E18" i="47"/>
  <c r="I19" i="47"/>
  <c r="I20" i="47"/>
  <c r="I21" i="47"/>
  <c r="I22" i="47"/>
  <c r="D23" i="47"/>
  <c r="E23" i="47"/>
  <c r="D24" i="47"/>
  <c r="E24" i="47"/>
  <c r="D25" i="47"/>
  <c r="E25" i="47"/>
  <c r="C28" i="47"/>
  <c r="D30" i="47"/>
  <c r="E30" i="47"/>
  <c r="D31" i="47"/>
  <c r="E31" i="47"/>
  <c r="E32" i="47"/>
  <c r="H33" i="47"/>
  <c r="I33" i="47"/>
  <c r="J33" i="47"/>
  <c r="H17" i="50"/>
  <c r="F17" i="50"/>
  <c r="G17" i="50"/>
  <c r="H18" i="50"/>
  <c r="I18" i="50"/>
  <c r="E18" i="50"/>
  <c r="H19" i="50"/>
  <c r="H20" i="50"/>
  <c r="H21" i="50"/>
  <c r="I21" i="50"/>
  <c r="D21" i="50" s="1"/>
  <c r="G22" i="50"/>
  <c r="H22" i="50"/>
  <c r="I22" i="50"/>
  <c r="F23" i="50"/>
  <c r="G23" i="50"/>
  <c r="F24" i="50"/>
  <c r="G24" i="50"/>
  <c r="G27" i="50"/>
  <c r="D28" i="50"/>
  <c r="E28" i="50"/>
  <c r="F29" i="50"/>
  <c r="F28" i="50" s="1"/>
  <c r="G29" i="50"/>
  <c r="F30" i="50"/>
  <c r="G30" i="50"/>
  <c r="F31" i="50"/>
  <c r="G31" i="50"/>
  <c r="F32" i="50"/>
  <c r="G32" i="50"/>
  <c r="H17" i="106"/>
  <c r="F17" i="106"/>
  <c r="G17" i="106"/>
  <c r="H18" i="106"/>
  <c r="I18" i="106" s="1"/>
  <c r="H19" i="106"/>
  <c r="I19" i="106"/>
  <c r="E19" i="106"/>
  <c r="H20" i="106"/>
  <c r="I20" i="106" s="1"/>
  <c r="H21" i="106"/>
  <c r="I21" i="106" s="1"/>
  <c r="F22" i="106"/>
  <c r="G22" i="106"/>
  <c r="H22" i="106"/>
  <c r="F23" i="106"/>
  <c r="G23" i="106"/>
  <c r="F24" i="106"/>
  <c r="G24" i="106"/>
  <c r="F25" i="106"/>
  <c r="G25" i="106"/>
  <c r="G26" i="106"/>
  <c r="G27" i="106"/>
  <c r="E28" i="106"/>
  <c r="G28" i="106"/>
  <c r="F29" i="106"/>
  <c r="G29" i="106"/>
  <c r="F30" i="106"/>
  <c r="G30" i="106"/>
  <c r="F31" i="106"/>
  <c r="F28" i="106" s="1"/>
  <c r="G31" i="106"/>
  <c r="F32" i="106"/>
  <c r="G32" i="106"/>
  <c r="F47" i="106"/>
  <c r="F43" i="106"/>
  <c r="F26" i="106" s="1"/>
  <c r="G38" i="106" s="1"/>
  <c r="K8" i="49"/>
  <c r="H17" i="49"/>
  <c r="F17" i="49"/>
  <c r="G17" i="49"/>
  <c r="H18" i="49"/>
  <c r="I18" i="49" s="1"/>
  <c r="H19" i="49"/>
  <c r="I19" i="49" s="1"/>
  <c r="H20" i="49"/>
  <c r="I20" i="49" s="1"/>
  <c r="H21" i="49"/>
  <c r="F22" i="49"/>
  <c r="G22" i="49"/>
  <c r="F23" i="49"/>
  <c r="G23" i="49"/>
  <c r="F24" i="49"/>
  <c r="G24" i="49"/>
  <c r="G25" i="49"/>
  <c r="G26" i="49"/>
  <c r="D27" i="49"/>
  <c r="E27" i="49"/>
  <c r="F28" i="49"/>
  <c r="F27" i="49" s="1"/>
  <c r="G28" i="49"/>
  <c r="F29" i="49"/>
  <c r="G29" i="49"/>
  <c r="F30" i="49"/>
  <c r="G30" i="49"/>
  <c r="F31" i="49"/>
  <c r="G31" i="49"/>
  <c r="F43" i="49"/>
  <c r="F39" i="49"/>
  <c r="F25" i="49"/>
  <c r="G35" i="49"/>
  <c r="H16" i="51"/>
  <c r="I20" i="51" s="1"/>
  <c r="F16" i="51"/>
  <c r="G16" i="51"/>
  <c r="H17" i="51"/>
  <c r="I17" i="51" s="1"/>
  <c r="H18" i="51"/>
  <c r="I18" i="51"/>
  <c r="E18" i="51"/>
  <c r="H19" i="51"/>
  <c r="I19" i="51" s="1"/>
  <c r="H20" i="51"/>
  <c r="F21" i="51"/>
  <c r="G21" i="51"/>
  <c r="F22" i="51"/>
  <c r="G22" i="51"/>
  <c r="G23" i="51"/>
  <c r="G24" i="51"/>
  <c r="F25" i="51"/>
  <c r="G25" i="51"/>
  <c r="A26" i="51"/>
  <c r="D26" i="51"/>
  <c r="G26" i="51" s="1"/>
  <c r="E26" i="51"/>
  <c r="F27" i="51"/>
  <c r="G27" i="51"/>
  <c r="F28" i="51"/>
  <c r="F26" i="51" s="1"/>
  <c r="G28" i="51"/>
  <c r="F29" i="51"/>
  <c r="G29" i="51"/>
  <c r="F30" i="51"/>
  <c r="G30" i="51"/>
  <c r="F45" i="51"/>
  <c r="F40" i="51" s="1"/>
  <c r="F24" i="51" s="1"/>
  <c r="G36" i="51" s="1"/>
  <c r="K8" i="48"/>
  <c r="H17" i="48"/>
  <c r="F17" i="48"/>
  <c r="G17" i="48"/>
  <c r="H18" i="48"/>
  <c r="I18" i="48" s="1"/>
  <c r="H19" i="48"/>
  <c r="I19" i="48" s="1"/>
  <c r="H20" i="48"/>
  <c r="I20" i="48" s="1"/>
  <c r="H21" i="48"/>
  <c r="F22" i="48"/>
  <c r="G22" i="48"/>
  <c r="F23" i="48"/>
  <c r="G23" i="48"/>
  <c r="G24" i="48"/>
  <c r="G25" i="48"/>
  <c r="F26" i="48"/>
  <c r="G26" i="48"/>
  <c r="A27" i="48"/>
  <c r="D27" i="48"/>
  <c r="E27" i="48"/>
  <c r="G28" i="48"/>
  <c r="G27" i="48" s="1"/>
  <c r="F29" i="48"/>
  <c r="F27" i="48" s="1"/>
  <c r="G29" i="48"/>
  <c r="F30" i="48"/>
  <c r="G30" i="48"/>
  <c r="F31" i="48"/>
  <c r="G31" i="48"/>
  <c r="G32" i="48"/>
  <c r="F50" i="48"/>
  <c r="F41" i="48" s="1"/>
  <c r="F25" i="48" s="1"/>
  <c r="H17" i="46"/>
  <c r="I20" i="46" s="1"/>
  <c r="F17" i="46"/>
  <c r="G17" i="46"/>
  <c r="H18" i="46"/>
  <c r="I18" i="46"/>
  <c r="D18" i="46" s="1"/>
  <c r="E18" i="46"/>
  <c r="H19" i="46"/>
  <c r="I19" i="46" s="1"/>
  <c r="H20" i="46"/>
  <c r="H21" i="46"/>
  <c r="F22" i="46"/>
  <c r="G22" i="46"/>
  <c r="F23" i="46"/>
  <c r="G23" i="46"/>
  <c r="G24" i="46"/>
  <c r="G25" i="46"/>
  <c r="F26" i="46"/>
  <c r="G26" i="46"/>
  <c r="A27" i="46"/>
  <c r="D27" i="46"/>
  <c r="E27" i="46"/>
  <c r="F28" i="46"/>
  <c r="G28" i="46"/>
  <c r="F29" i="46"/>
  <c r="G29" i="46"/>
  <c r="F30" i="46"/>
  <c r="G30" i="46"/>
  <c r="F31" i="46"/>
  <c r="G31" i="46"/>
  <c r="F47" i="46"/>
  <c r="F42" i="46"/>
  <c r="F25" i="46"/>
  <c r="G37" i="46" s="1"/>
  <c r="J8" i="45"/>
  <c r="F16" i="45"/>
  <c r="G16" i="45"/>
  <c r="H16" i="45"/>
  <c r="I18" i="45" s="1"/>
  <c r="H17" i="45"/>
  <c r="I17" i="45" s="1"/>
  <c r="H18" i="45"/>
  <c r="H19" i="45"/>
  <c r="H20" i="45"/>
  <c r="F21" i="45"/>
  <c r="G21" i="45"/>
  <c r="F22" i="45"/>
  <c r="G22" i="45"/>
  <c r="F23" i="45"/>
  <c r="G23" i="45"/>
  <c r="G24" i="45"/>
  <c r="F25" i="45"/>
  <c r="G25" i="45"/>
  <c r="A26" i="45"/>
  <c r="E26" i="45"/>
  <c r="F27" i="45"/>
  <c r="G27" i="45"/>
  <c r="F28" i="45"/>
  <c r="G28" i="45"/>
  <c r="F29" i="45"/>
  <c r="G29" i="45"/>
  <c r="F30" i="45"/>
  <c r="G30" i="45"/>
  <c r="F45" i="45"/>
  <c r="F41" i="45"/>
  <c r="F24" i="45"/>
  <c r="G36" i="45" s="1"/>
  <c r="F17" i="44"/>
  <c r="G17" i="44"/>
  <c r="H18" i="44"/>
  <c r="H19" i="44"/>
  <c r="H20" i="44"/>
  <c r="H21" i="44"/>
  <c r="F22" i="44"/>
  <c r="G22" i="44"/>
  <c r="F23" i="44"/>
  <c r="G23" i="44"/>
  <c r="F24" i="44"/>
  <c r="G24" i="44"/>
  <c r="F27" i="44"/>
  <c r="G27" i="44"/>
  <c r="A28" i="44"/>
  <c r="D28" i="44"/>
  <c r="G28" i="44" s="1"/>
  <c r="E28" i="44"/>
  <c r="F29" i="44"/>
  <c r="F28" i="44" s="1"/>
  <c r="G29" i="44"/>
  <c r="F30" i="44"/>
  <c r="G30" i="44"/>
  <c r="G31" i="44"/>
  <c r="F32" i="44"/>
  <c r="G32" i="44"/>
  <c r="K8" i="43"/>
  <c r="H17" i="43"/>
  <c r="I18" i="43" s="1"/>
  <c r="F17" i="43"/>
  <c r="G17" i="43"/>
  <c r="H18" i="43"/>
  <c r="H19" i="43"/>
  <c r="H20" i="43"/>
  <c r="I20" i="43" s="1"/>
  <c r="H21" i="43"/>
  <c r="F22" i="43"/>
  <c r="G22" i="43"/>
  <c r="F23" i="43"/>
  <c r="G23" i="43"/>
  <c r="F24" i="43"/>
  <c r="G24" i="43"/>
  <c r="G27" i="43"/>
  <c r="D28" i="43"/>
  <c r="G28" i="43" s="1"/>
  <c r="E28" i="43"/>
  <c r="F29" i="43"/>
  <c r="G29" i="43"/>
  <c r="F30" i="43"/>
  <c r="G30" i="43"/>
  <c r="F31" i="43"/>
  <c r="G31" i="43"/>
  <c r="F32" i="43"/>
  <c r="G32" i="43"/>
  <c r="K8" i="42"/>
  <c r="H17" i="42"/>
  <c r="I20" i="42" s="1"/>
  <c r="F17" i="42"/>
  <c r="G17" i="42"/>
  <c r="H18" i="42"/>
  <c r="H19" i="42"/>
  <c r="I19" i="42"/>
  <c r="E19" i="42" s="1"/>
  <c r="H20" i="42"/>
  <c r="H21" i="42"/>
  <c r="I21" i="42" s="1"/>
  <c r="F22" i="42"/>
  <c r="G22" i="42"/>
  <c r="F23" i="42"/>
  <c r="G23" i="42"/>
  <c r="F24" i="42"/>
  <c r="G24" i="42"/>
  <c r="G25" i="42"/>
  <c r="F26" i="42"/>
  <c r="G26" i="42"/>
  <c r="F27" i="42"/>
  <c r="G27" i="42"/>
  <c r="H27" i="42"/>
  <c r="I27" i="42" s="1"/>
  <c r="F29" i="42"/>
  <c r="G29" i="42"/>
  <c r="F30" i="42"/>
  <c r="G30" i="42"/>
  <c r="F31" i="42"/>
  <c r="G31" i="42"/>
  <c r="F32" i="42"/>
  <c r="F28" i="42" s="1"/>
  <c r="G32" i="42"/>
  <c r="F54" i="42"/>
  <c r="F42" i="42"/>
  <c r="F25" i="42" s="1"/>
  <c r="G38" i="42" s="1"/>
  <c r="F18" i="39"/>
  <c r="G18" i="39"/>
  <c r="I19" i="39"/>
  <c r="I20" i="39"/>
  <c r="D20" i="39"/>
  <c r="F20" i="39"/>
  <c r="I21" i="39"/>
  <c r="I22" i="39"/>
  <c r="G23" i="39"/>
  <c r="F24" i="39"/>
  <c r="G24" i="39"/>
  <c r="G25" i="39"/>
  <c r="G26" i="39"/>
  <c r="G27" i="39"/>
  <c r="C28" i="39"/>
  <c r="D28" i="39"/>
  <c r="D33" i="39"/>
  <c r="E28" i="39"/>
  <c r="E33" i="39"/>
  <c r="G29" i="39"/>
  <c r="F30" i="39"/>
  <c r="F28" i="39"/>
  <c r="G30" i="39"/>
  <c r="F31" i="39"/>
  <c r="G31" i="39"/>
  <c r="G28" i="39"/>
  <c r="F32" i="39"/>
  <c r="G32" i="39"/>
  <c r="H33" i="39"/>
  <c r="I33" i="39"/>
  <c r="F38" i="39"/>
  <c r="G18" i="38"/>
  <c r="I18" i="38"/>
  <c r="K19" i="38"/>
  <c r="K20" i="38"/>
  <c r="E20" i="38"/>
  <c r="G20" i="38"/>
  <c r="F20" i="38"/>
  <c r="I20" i="38"/>
  <c r="K21" i="38"/>
  <c r="F21" i="38"/>
  <c r="K22" i="38"/>
  <c r="F22" i="38"/>
  <c r="E22" i="38"/>
  <c r="G22" i="38"/>
  <c r="H23" i="38"/>
  <c r="I23" i="38"/>
  <c r="G24" i="38"/>
  <c r="H24" i="38"/>
  <c r="I24" i="38"/>
  <c r="H25" i="38"/>
  <c r="I25" i="38"/>
  <c r="H26" i="38"/>
  <c r="I26" i="38"/>
  <c r="D27" i="38"/>
  <c r="E27" i="38"/>
  <c r="F27" i="38"/>
  <c r="H28" i="38"/>
  <c r="I28" i="38"/>
  <c r="C29" i="38"/>
  <c r="D29" i="38"/>
  <c r="D34" i="38"/>
  <c r="E29" i="38"/>
  <c r="E34" i="38"/>
  <c r="F29" i="38"/>
  <c r="F34" i="38"/>
  <c r="H30" i="38"/>
  <c r="I30" i="38"/>
  <c r="G31" i="38"/>
  <c r="H31" i="38"/>
  <c r="I31" i="38"/>
  <c r="G32" i="38"/>
  <c r="H32" i="38"/>
  <c r="I32" i="38"/>
  <c r="G33" i="38"/>
  <c r="H33" i="38"/>
  <c r="I33" i="38"/>
  <c r="J34" i="38"/>
  <c r="K34" i="38"/>
  <c r="F39" i="38"/>
  <c r="I8" i="37"/>
  <c r="K8" i="37"/>
  <c r="H17" i="37"/>
  <c r="I21" i="37" s="1"/>
  <c r="F17" i="37"/>
  <c r="G17" i="37"/>
  <c r="H18" i="37"/>
  <c r="I18" i="37" s="1"/>
  <c r="H19" i="37"/>
  <c r="I19" i="37" s="1"/>
  <c r="H20" i="37"/>
  <c r="H21" i="37"/>
  <c r="F22" i="37"/>
  <c r="G22" i="37"/>
  <c r="G23" i="37"/>
  <c r="F24" i="37"/>
  <c r="G24" i="37"/>
  <c r="G27" i="37"/>
  <c r="D28" i="37"/>
  <c r="E28" i="37"/>
  <c r="F29" i="37"/>
  <c r="G29" i="37"/>
  <c r="F30" i="37"/>
  <c r="F28" i="37" s="1"/>
  <c r="G30" i="37"/>
  <c r="F31" i="37"/>
  <c r="G31" i="37"/>
  <c r="F32" i="37"/>
  <c r="G32" i="37"/>
  <c r="C39" i="37"/>
  <c r="I8" i="89"/>
  <c r="K8" i="89" s="1"/>
  <c r="H17" i="89"/>
  <c r="F17" i="89"/>
  <c r="G17" i="89"/>
  <c r="H18" i="89"/>
  <c r="H19" i="89"/>
  <c r="H20" i="89"/>
  <c r="I20" i="89" s="1"/>
  <c r="H21" i="89"/>
  <c r="F22" i="89"/>
  <c r="G22" i="89"/>
  <c r="F23" i="89"/>
  <c r="G23" i="89"/>
  <c r="F24" i="89"/>
  <c r="G24" i="89"/>
  <c r="G27" i="89"/>
  <c r="D28" i="89"/>
  <c r="G28" i="89" s="1"/>
  <c r="E28" i="89"/>
  <c r="F29" i="89"/>
  <c r="G29" i="89"/>
  <c r="F30" i="89"/>
  <c r="G30" i="89"/>
  <c r="F31" i="89"/>
  <c r="G31" i="89"/>
  <c r="F32" i="89"/>
  <c r="F28" i="89" s="1"/>
  <c r="G32" i="89"/>
  <c r="C39" i="89"/>
  <c r="K8" i="36"/>
  <c r="H17" i="36"/>
  <c r="I20" i="36" s="1"/>
  <c r="F17" i="36"/>
  <c r="G17" i="36"/>
  <c r="H18" i="36"/>
  <c r="I18" i="36" s="1"/>
  <c r="H19" i="36"/>
  <c r="H20" i="36"/>
  <c r="H21" i="36"/>
  <c r="I21" i="36" s="1"/>
  <c r="F22" i="36"/>
  <c r="G22" i="36"/>
  <c r="F23" i="36"/>
  <c r="G23" i="36"/>
  <c r="F24" i="36"/>
  <c r="G24" i="36"/>
  <c r="G27" i="36"/>
  <c r="D28" i="36"/>
  <c r="G28" i="36" s="1"/>
  <c r="E28" i="36"/>
  <c r="F29" i="36"/>
  <c r="G29" i="36"/>
  <c r="F30" i="36"/>
  <c r="G30" i="36"/>
  <c r="F31" i="36"/>
  <c r="G31" i="36"/>
  <c r="F32" i="36"/>
  <c r="F28" i="36" s="1"/>
  <c r="G32" i="36"/>
  <c r="D39" i="36"/>
  <c r="K8" i="35"/>
  <c r="H17" i="35"/>
  <c r="I19" i="35" s="1"/>
  <c r="G17" i="35"/>
  <c r="H18" i="35"/>
  <c r="H19" i="35"/>
  <c r="H20" i="35"/>
  <c r="H21" i="35"/>
  <c r="I21" i="35" s="1"/>
  <c r="F22" i="35"/>
  <c r="G22" i="35"/>
  <c r="F23" i="35"/>
  <c r="G23" i="35"/>
  <c r="F24" i="35"/>
  <c r="G24" i="35"/>
  <c r="G27" i="35"/>
  <c r="D28" i="35"/>
  <c r="E28" i="35"/>
  <c r="G28" i="35"/>
  <c r="F29" i="35"/>
  <c r="G29" i="35"/>
  <c r="F30" i="35"/>
  <c r="F28" i="35" s="1"/>
  <c r="G30" i="35"/>
  <c r="F31" i="35"/>
  <c r="G31" i="35"/>
  <c r="F32" i="35"/>
  <c r="G32" i="35"/>
  <c r="H16" i="34"/>
  <c r="I20" i="34" s="1"/>
  <c r="F16" i="34"/>
  <c r="G16" i="34"/>
  <c r="H17" i="34"/>
  <c r="I17" i="34" s="1"/>
  <c r="H18" i="34"/>
  <c r="I18" i="34"/>
  <c r="D18" i="34" s="1"/>
  <c r="E18" i="34"/>
  <c r="H19" i="34"/>
  <c r="I19" i="34" s="1"/>
  <c r="H20" i="34"/>
  <c r="F21" i="34"/>
  <c r="G21" i="34"/>
  <c r="F22" i="34"/>
  <c r="G22" i="34"/>
  <c r="F23" i="34"/>
  <c r="G23" i="34"/>
  <c r="G24" i="34"/>
  <c r="G25" i="34"/>
  <c r="D26" i="34"/>
  <c r="G26" i="34" s="1"/>
  <c r="E26" i="34"/>
  <c r="F27" i="34"/>
  <c r="F26" i="34" s="1"/>
  <c r="G27" i="34"/>
  <c r="F28" i="34"/>
  <c r="G28" i="34"/>
  <c r="F29" i="34"/>
  <c r="G29" i="34"/>
  <c r="F30" i="34"/>
  <c r="G30" i="34"/>
  <c r="F44" i="34"/>
  <c r="F39" i="34"/>
  <c r="F24" i="34"/>
  <c r="J8" i="32"/>
  <c r="H17" i="32"/>
  <c r="I20" i="32" s="1"/>
  <c r="F17" i="32"/>
  <c r="G17" i="32"/>
  <c r="H18" i="32"/>
  <c r="I18" i="32" s="1"/>
  <c r="H19" i="32"/>
  <c r="I19" i="32" s="1"/>
  <c r="H20" i="32"/>
  <c r="H21" i="32"/>
  <c r="I21" i="32" s="1"/>
  <c r="F22" i="32"/>
  <c r="G22" i="32"/>
  <c r="F23" i="32"/>
  <c r="G23" i="32"/>
  <c r="F24" i="32"/>
  <c r="G24" i="32"/>
  <c r="G27" i="32"/>
  <c r="D28" i="32"/>
  <c r="G28" i="32" s="1"/>
  <c r="E28" i="32"/>
  <c r="F29" i="32"/>
  <c r="G29" i="32"/>
  <c r="F30" i="32"/>
  <c r="G30" i="32"/>
  <c r="F31" i="32"/>
  <c r="F28" i="32" s="1"/>
  <c r="G31" i="32"/>
  <c r="F32" i="32"/>
  <c r="G32" i="32"/>
  <c r="G33" i="32"/>
  <c r="G41" i="32"/>
  <c r="H17" i="31"/>
  <c r="I19" i="31" s="1"/>
  <c r="F17" i="31"/>
  <c r="G17" i="31"/>
  <c r="H18" i="31"/>
  <c r="I18" i="31" s="1"/>
  <c r="H19" i="31"/>
  <c r="H20" i="31"/>
  <c r="H21" i="31"/>
  <c r="G22" i="31"/>
  <c r="F23" i="31"/>
  <c r="G23" i="31"/>
  <c r="F24" i="31"/>
  <c r="G24" i="31"/>
  <c r="G25" i="31"/>
  <c r="G26" i="31"/>
  <c r="D27" i="31"/>
  <c r="G27" i="31" s="1"/>
  <c r="E27" i="31"/>
  <c r="F28" i="31"/>
  <c r="G28" i="31"/>
  <c r="F29" i="31"/>
  <c r="G29" i="31"/>
  <c r="F30" i="31"/>
  <c r="G30" i="31"/>
  <c r="F31" i="31"/>
  <c r="G31" i="31"/>
  <c r="F41" i="31"/>
  <c r="F25" i="31"/>
  <c r="G35" i="31"/>
  <c r="H8" i="30"/>
  <c r="J8" i="30"/>
  <c r="H17" i="30"/>
  <c r="F17" i="30"/>
  <c r="G17" i="30"/>
  <c r="H18" i="30"/>
  <c r="I18" i="30" s="1"/>
  <c r="H19" i="30"/>
  <c r="I19" i="30" s="1"/>
  <c r="H20" i="30"/>
  <c r="I20" i="30" s="1"/>
  <c r="H21" i="30"/>
  <c r="F22" i="30"/>
  <c r="G22" i="30"/>
  <c r="F23" i="30"/>
  <c r="G23" i="30"/>
  <c r="F24" i="30"/>
  <c r="G24" i="30"/>
  <c r="G27" i="30"/>
  <c r="D28" i="30"/>
  <c r="E28" i="30"/>
  <c r="F29" i="30"/>
  <c r="F28" i="30" s="1"/>
  <c r="G29" i="30"/>
  <c r="F30" i="30"/>
  <c r="G30" i="30"/>
  <c r="F31" i="30"/>
  <c r="G31" i="30"/>
  <c r="F32" i="30"/>
  <c r="G32" i="30"/>
  <c r="G33" i="30"/>
  <c r="C41" i="30"/>
  <c r="D41" i="30" s="1"/>
  <c r="F17" i="105"/>
  <c r="G17" i="105"/>
  <c r="H17" i="105"/>
  <c r="I18" i="105" s="1"/>
  <c r="H18" i="105"/>
  <c r="H19" i="105"/>
  <c r="H20" i="105"/>
  <c r="H21" i="105"/>
  <c r="F22" i="105"/>
  <c r="G22" i="105"/>
  <c r="H22" i="105"/>
  <c r="I22" i="105" s="1"/>
  <c r="F23" i="105"/>
  <c r="G23" i="105"/>
  <c r="F24" i="105"/>
  <c r="G24" i="105"/>
  <c r="G25" i="105"/>
  <c r="G26" i="105"/>
  <c r="D27" i="105"/>
  <c r="G27" i="105" s="1"/>
  <c r="E27" i="105"/>
  <c r="F28" i="105"/>
  <c r="G28" i="105"/>
  <c r="F29" i="105"/>
  <c r="G29" i="105"/>
  <c r="F30" i="105"/>
  <c r="G30" i="105"/>
  <c r="F31" i="105"/>
  <c r="F27" i="105" s="1"/>
  <c r="G31" i="105"/>
  <c r="F47" i="105"/>
  <c r="F41" i="105"/>
  <c r="F25" i="105"/>
  <c r="K8" i="29"/>
  <c r="H17" i="29"/>
  <c r="I18" i="29" s="1"/>
  <c r="F17" i="29"/>
  <c r="G17" i="29"/>
  <c r="H18" i="29"/>
  <c r="H19" i="29"/>
  <c r="H20" i="29"/>
  <c r="I20" i="29" s="1"/>
  <c r="H21" i="29"/>
  <c r="I21" i="29" s="1"/>
  <c r="F22" i="29"/>
  <c r="G22" i="29"/>
  <c r="F23" i="29"/>
  <c r="G23" i="29"/>
  <c r="G24" i="29"/>
  <c r="G27" i="29"/>
  <c r="D28" i="29"/>
  <c r="G28" i="29" s="1"/>
  <c r="E28" i="29"/>
  <c r="F29" i="29"/>
  <c r="G29" i="29"/>
  <c r="F30" i="29"/>
  <c r="G30" i="29"/>
  <c r="F31" i="29"/>
  <c r="F28" i="29"/>
  <c r="G31" i="29"/>
  <c r="F32" i="29"/>
  <c r="G32" i="29"/>
  <c r="F47" i="29"/>
  <c r="F43" i="29"/>
  <c r="F25" i="29"/>
  <c r="K8" i="28"/>
  <c r="H18" i="28"/>
  <c r="F18" i="28"/>
  <c r="G18" i="28"/>
  <c r="H19" i="28"/>
  <c r="I19" i="28"/>
  <c r="D19" i="28" s="1"/>
  <c r="H20" i="28"/>
  <c r="H21" i="28"/>
  <c r="H22" i="28"/>
  <c r="I22" i="28"/>
  <c r="E22" i="28" s="1"/>
  <c r="D22" i="28"/>
  <c r="F22" i="28" s="1"/>
  <c r="F23" i="28"/>
  <c r="G23" i="28"/>
  <c r="H23" i="28"/>
  <c r="I23" i="28"/>
  <c r="G24" i="28"/>
  <c r="F25" i="28"/>
  <c r="G25" i="28"/>
  <c r="G28" i="28"/>
  <c r="D29" i="28"/>
  <c r="G29" i="28" s="1"/>
  <c r="E29" i="28"/>
  <c r="F30" i="28"/>
  <c r="G30" i="28"/>
  <c r="G31" i="28"/>
  <c r="F32" i="28"/>
  <c r="G32" i="28"/>
  <c r="F33" i="28"/>
  <c r="F29" i="28"/>
  <c r="G33" i="28"/>
  <c r="G34" i="28"/>
  <c r="G43" i="28"/>
  <c r="I8" i="25"/>
  <c r="K8" i="25" s="1"/>
  <c r="H17" i="25"/>
  <c r="F17" i="25"/>
  <c r="G17" i="25"/>
  <c r="H18" i="25"/>
  <c r="I18" i="25"/>
  <c r="D18" i="25" s="1"/>
  <c r="H19" i="25"/>
  <c r="I19" i="25" s="1"/>
  <c r="H20" i="25"/>
  <c r="I20" i="25"/>
  <c r="D20" i="25" s="1"/>
  <c r="H21" i="25"/>
  <c r="I21" i="25" s="1"/>
  <c r="G22" i="25"/>
  <c r="F23" i="25"/>
  <c r="G23" i="25"/>
  <c r="F24" i="25"/>
  <c r="G24" i="25"/>
  <c r="G27" i="25"/>
  <c r="D28" i="25"/>
  <c r="E28" i="25"/>
  <c r="F29" i="25"/>
  <c r="G29" i="25"/>
  <c r="F30" i="25"/>
  <c r="G30" i="25"/>
  <c r="F31" i="25"/>
  <c r="G31" i="25"/>
  <c r="F32" i="25"/>
  <c r="G32" i="25"/>
  <c r="G33" i="25"/>
  <c r="C41" i="25"/>
  <c r="H17" i="24"/>
  <c r="F17" i="24"/>
  <c r="G17" i="24"/>
  <c r="H18" i="24"/>
  <c r="I18" i="24" s="1"/>
  <c r="H19" i="24"/>
  <c r="H20" i="24"/>
  <c r="I20" i="24"/>
  <c r="E20" i="24" s="1"/>
  <c r="D20" i="24"/>
  <c r="F20" i="24" s="1"/>
  <c r="H21" i="24"/>
  <c r="I21" i="24"/>
  <c r="E21" i="24" s="1"/>
  <c r="F22" i="24"/>
  <c r="G22" i="24"/>
  <c r="H22" i="24"/>
  <c r="I22" i="24"/>
  <c r="F23" i="24"/>
  <c r="G23" i="24"/>
  <c r="F24" i="24"/>
  <c r="G24" i="24"/>
  <c r="G25" i="24"/>
  <c r="G26" i="24"/>
  <c r="D27" i="24"/>
  <c r="E27" i="24"/>
  <c r="F28" i="24"/>
  <c r="G28" i="24"/>
  <c r="F29" i="24"/>
  <c r="F27" i="24" s="1"/>
  <c r="G29" i="24"/>
  <c r="F30" i="24"/>
  <c r="G30" i="24"/>
  <c r="G31" i="24"/>
  <c r="F44" i="24"/>
  <c r="F40" i="24"/>
  <c r="F25" i="24" s="1"/>
  <c r="G35" i="24" s="1"/>
  <c r="J8" i="23"/>
  <c r="H17" i="23"/>
  <c r="I19" i="23" s="1"/>
  <c r="I20" i="23"/>
  <c r="E20" i="23" s="1"/>
  <c r="F17" i="23"/>
  <c r="G17" i="23"/>
  <c r="H18" i="23"/>
  <c r="I18" i="23"/>
  <c r="D18" i="23" s="1"/>
  <c r="E18" i="23"/>
  <c r="H19" i="23"/>
  <c r="H20" i="23"/>
  <c r="H21" i="23"/>
  <c r="I21" i="23" s="1"/>
  <c r="F22" i="23"/>
  <c r="G22" i="23"/>
  <c r="F23" i="23"/>
  <c r="G23" i="23"/>
  <c r="F24" i="23"/>
  <c r="G24" i="23"/>
  <c r="F27" i="23"/>
  <c r="G27" i="23"/>
  <c r="D28" i="23"/>
  <c r="E28" i="23"/>
  <c r="G28" i="23"/>
  <c r="F29" i="23"/>
  <c r="G29" i="23"/>
  <c r="F30" i="23"/>
  <c r="G30" i="23"/>
  <c r="F31" i="23"/>
  <c r="G31" i="23"/>
  <c r="F32" i="23"/>
  <c r="G32" i="23"/>
  <c r="G33" i="23"/>
  <c r="F49" i="23"/>
  <c r="F45" i="23"/>
  <c r="F25" i="23"/>
  <c r="G38" i="23" s="1"/>
  <c r="J9" i="22"/>
  <c r="H17" i="22"/>
  <c r="I20" i="22" s="1"/>
  <c r="F17" i="22"/>
  <c r="G17" i="22"/>
  <c r="H18" i="22"/>
  <c r="H19" i="22"/>
  <c r="I19" i="22" s="1"/>
  <c r="H20" i="22"/>
  <c r="H21" i="22"/>
  <c r="G22" i="22"/>
  <c r="H22" i="22"/>
  <c r="I22" i="22"/>
  <c r="F23" i="22"/>
  <c r="G23" i="22"/>
  <c r="F24" i="22"/>
  <c r="G24" i="22"/>
  <c r="G25" i="22"/>
  <c r="G26" i="22"/>
  <c r="D27" i="22"/>
  <c r="G27" i="22" s="1"/>
  <c r="E27" i="22"/>
  <c r="F28" i="22"/>
  <c r="G28" i="22"/>
  <c r="F29" i="22"/>
  <c r="G29" i="22"/>
  <c r="F30" i="22"/>
  <c r="G30" i="22"/>
  <c r="F31" i="22"/>
  <c r="G31" i="22"/>
  <c r="F45" i="22"/>
  <c r="F40" i="22"/>
  <c r="F25" i="22"/>
  <c r="H17" i="21"/>
  <c r="G17" i="21"/>
  <c r="H18" i="21"/>
  <c r="H19" i="21"/>
  <c r="I19" i="21"/>
  <c r="E19" i="21" s="1"/>
  <c r="H20" i="21"/>
  <c r="I20" i="21" s="1"/>
  <c r="H21" i="21"/>
  <c r="F22" i="21"/>
  <c r="G22" i="21"/>
  <c r="H22" i="21"/>
  <c r="I22" i="21"/>
  <c r="F23" i="21"/>
  <c r="G23" i="21"/>
  <c r="F24" i="21"/>
  <c r="G24" i="21"/>
  <c r="G25" i="21"/>
  <c r="G26" i="21"/>
  <c r="D27" i="21"/>
  <c r="E27" i="21"/>
  <c r="G27" i="21"/>
  <c r="F28" i="21"/>
  <c r="G28" i="21"/>
  <c r="F29" i="21"/>
  <c r="G29" i="21"/>
  <c r="F30" i="21"/>
  <c r="F27" i="21" s="1"/>
  <c r="G30" i="21"/>
  <c r="F31" i="21"/>
  <c r="G31" i="21"/>
  <c r="G32" i="21"/>
  <c r="K8" i="20"/>
  <c r="H17" i="20"/>
  <c r="I21" i="20" s="1"/>
  <c r="F17" i="20"/>
  <c r="G17" i="20"/>
  <c r="H18" i="20"/>
  <c r="I18" i="20" s="1"/>
  <c r="H19" i="20"/>
  <c r="I19" i="20"/>
  <c r="E19" i="20" s="1"/>
  <c r="D19" i="20"/>
  <c r="F19" i="20" s="1"/>
  <c r="H20" i="20"/>
  <c r="I20" i="20" s="1"/>
  <c r="H21" i="20"/>
  <c r="G22" i="20"/>
  <c r="F23" i="20"/>
  <c r="G23" i="20"/>
  <c r="F24" i="20"/>
  <c r="G24" i="20"/>
  <c r="G27" i="20"/>
  <c r="D28" i="20"/>
  <c r="E28" i="20"/>
  <c r="G28" i="20"/>
  <c r="F29" i="20"/>
  <c r="F28" i="20" s="1"/>
  <c r="G29" i="20"/>
  <c r="F30" i="20"/>
  <c r="G30" i="20"/>
  <c r="F31" i="20"/>
  <c r="G31" i="20"/>
  <c r="F32" i="20"/>
  <c r="G32" i="20"/>
  <c r="G33" i="20"/>
  <c r="G39" i="20"/>
  <c r="H17" i="19"/>
  <c r="F17" i="19"/>
  <c r="G17" i="19"/>
  <c r="H18" i="19"/>
  <c r="H19" i="19"/>
  <c r="I19" i="19"/>
  <c r="D19" i="19" s="1"/>
  <c r="H20" i="19"/>
  <c r="I20" i="19"/>
  <c r="D20" i="19" s="1"/>
  <c r="H21" i="19"/>
  <c r="I21" i="19" s="1"/>
  <c r="G22" i="19"/>
  <c r="H22" i="19"/>
  <c r="I22" i="19" s="1"/>
  <c r="F23" i="19"/>
  <c r="G23" i="19"/>
  <c r="F24" i="19"/>
  <c r="G24" i="19"/>
  <c r="G25" i="19"/>
  <c r="G26" i="19"/>
  <c r="D27" i="19"/>
  <c r="G27" i="19" s="1"/>
  <c r="E27" i="19"/>
  <c r="F28" i="19"/>
  <c r="F27" i="19" s="1"/>
  <c r="G28" i="19"/>
  <c r="F29" i="19"/>
  <c r="G29" i="19"/>
  <c r="F30" i="19"/>
  <c r="G30" i="19"/>
  <c r="F31" i="19"/>
  <c r="G31" i="19"/>
  <c r="G32" i="19"/>
  <c r="F43" i="19"/>
  <c r="F40" i="19"/>
  <c r="F25" i="19" s="1"/>
  <c r="H17" i="18"/>
  <c r="I20" i="18" s="1"/>
  <c r="F17" i="18"/>
  <c r="G17" i="18"/>
  <c r="H18" i="18"/>
  <c r="I18" i="18" s="1"/>
  <c r="H19" i="18"/>
  <c r="I19" i="18"/>
  <c r="D19" i="18" s="1"/>
  <c r="H20" i="18"/>
  <c r="H21" i="18"/>
  <c r="F22" i="18"/>
  <c r="G22" i="18"/>
  <c r="H22" i="18"/>
  <c r="I22" i="18"/>
  <c r="F23" i="18"/>
  <c r="G23" i="18"/>
  <c r="F24" i="18"/>
  <c r="G24" i="18"/>
  <c r="G25" i="18"/>
  <c r="F26" i="18"/>
  <c r="G26" i="18"/>
  <c r="D27" i="18"/>
  <c r="G27" i="18" s="1"/>
  <c r="E27" i="18"/>
  <c r="E29" i="47"/>
  <c r="F28" i="18"/>
  <c r="G28" i="18"/>
  <c r="F29" i="18"/>
  <c r="G29" i="18"/>
  <c r="F30" i="18"/>
  <c r="G30" i="18"/>
  <c r="F31" i="18"/>
  <c r="G31" i="18"/>
  <c r="G32" i="18"/>
  <c r="F47" i="18"/>
  <c r="F42" i="18" s="1"/>
  <c r="F25" i="18" s="1"/>
  <c r="H17" i="17"/>
  <c r="F17" i="17"/>
  <c r="G17" i="17"/>
  <c r="H18" i="17"/>
  <c r="I18" i="17" s="1"/>
  <c r="H19" i="17"/>
  <c r="I19" i="17" s="1"/>
  <c r="H20" i="17"/>
  <c r="I20" i="17"/>
  <c r="D20" i="17" s="1"/>
  <c r="H21" i="17"/>
  <c r="I21" i="17"/>
  <c r="D21" i="17" s="1"/>
  <c r="F22" i="17"/>
  <c r="G22" i="17"/>
  <c r="H22" i="17"/>
  <c r="I22" i="17" s="1"/>
  <c r="F23" i="17"/>
  <c r="G23" i="17"/>
  <c r="F24" i="17"/>
  <c r="G24" i="17"/>
  <c r="G25" i="17"/>
  <c r="F26" i="17"/>
  <c r="G26" i="17"/>
  <c r="D27" i="17"/>
  <c r="F27" i="17" s="1"/>
  <c r="E27" i="17"/>
  <c r="F28" i="17"/>
  <c r="G28" i="17"/>
  <c r="F29" i="17"/>
  <c r="G29" i="17"/>
  <c r="F30" i="17"/>
  <c r="G30" i="17"/>
  <c r="F31" i="17"/>
  <c r="G31" i="17"/>
  <c r="F49" i="17"/>
  <c r="F42" i="17" s="1"/>
  <c r="F25" i="17" s="1"/>
  <c r="H17" i="15"/>
  <c r="F17" i="15"/>
  <c r="G17" i="15"/>
  <c r="H18" i="15"/>
  <c r="I18" i="15" s="1"/>
  <c r="H19" i="15"/>
  <c r="I19" i="15" s="1"/>
  <c r="H20" i="15"/>
  <c r="I20" i="15" s="1"/>
  <c r="H21" i="15"/>
  <c r="I21" i="15"/>
  <c r="E21" i="15" s="1"/>
  <c r="F22" i="15"/>
  <c r="G22" i="15"/>
  <c r="H22" i="15"/>
  <c r="I22" i="15"/>
  <c r="F23" i="15"/>
  <c r="G23" i="15"/>
  <c r="F24" i="15"/>
  <c r="G24" i="15"/>
  <c r="G25" i="15"/>
  <c r="F26" i="15"/>
  <c r="G26" i="15"/>
  <c r="D27" i="15"/>
  <c r="E27" i="15"/>
  <c r="G27" i="15" s="1"/>
  <c r="F28" i="15"/>
  <c r="G28" i="15"/>
  <c r="F29" i="15"/>
  <c r="G29" i="15"/>
  <c r="F30" i="15"/>
  <c r="G30" i="15"/>
  <c r="F31" i="15"/>
  <c r="G31" i="15"/>
  <c r="G32" i="15"/>
  <c r="F52" i="15"/>
  <c r="F41" i="15" s="1"/>
  <c r="F25" i="15" s="1"/>
  <c r="G37" i="15" s="1"/>
  <c r="H17" i="14"/>
  <c r="I20" i="14" s="1"/>
  <c r="F17" i="14"/>
  <c r="G17" i="14"/>
  <c r="H18" i="14"/>
  <c r="I18" i="14" s="1"/>
  <c r="H19" i="14"/>
  <c r="I19" i="14" s="1"/>
  <c r="H20" i="14"/>
  <c r="H21" i="14"/>
  <c r="F22" i="14"/>
  <c r="G22" i="14"/>
  <c r="H22" i="14"/>
  <c r="I22" i="14"/>
  <c r="F23" i="14"/>
  <c r="G23" i="14"/>
  <c r="F24" i="14"/>
  <c r="G24" i="14"/>
  <c r="G25" i="14"/>
  <c r="F26" i="14"/>
  <c r="G26" i="14"/>
  <c r="D27" i="14"/>
  <c r="F27" i="14" s="1"/>
  <c r="E27" i="14"/>
  <c r="F28" i="14"/>
  <c r="G28" i="14"/>
  <c r="F29" i="14"/>
  <c r="G29" i="14"/>
  <c r="F30" i="14"/>
  <c r="G30" i="14"/>
  <c r="F31" i="14"/>
  <c r="G31" i="14"/>
  <c r="G32" i="14"/>
  <c r="F45" i="14"/>
  <c r="F42" i="14" s="1"/>
  <c r="F25" i="14" s="1"/>
  <c r="G37" i="14" s="1"/>
  <c r="H17" i="13"/>
  <c r="I18" i="13" s="1"/>
  <c r="F17" i="13"/>
  <c r="G17" i="13"/>
  <c r="H18" i="13"/>
  <c r="H19" i="13"/>
  <c r="H20" i="13"/>
  <c r="I20" i="13" s="1"/>
  <c r="H21" i="13"/>
  <c r="F22" i="13"/>
  <c r="G22" i="13"/>
  <c r="F23" i="13"/>
  <c r="G23" i="13"/>
  <c r="F24" i="13"/>
  <c r="G24" i="13"/>
  <c r="G25" i="13"/>
  <c r="F26" i="13"/>
  <c r="G37" i="13" s="1"/>
  <c r="G26" i="13"/>
  <c r="D27" i="13"/>
  <c r="E27" i="13"/>
  <c r="F28" i="13"/>
  <c r="G28" i="13"/>
  <c r="F29" i="13"/>
  <c r="G29" i="13"/>
  <c r="F30" i="13"/>
  <c r="G30" i="13"/>
  <c r="F31" i="13"/>
  <c r="G31" i="13"/>
  <c r="F47" i="13"/>
  <c r="F44" i="13"/>
  <c r="F25" i="13"/>
  <c r="G38" i="13"/>
  <c r="H17" i="12"/>
  <c r="F17" i="12"/>
  <c r="G17" i="12"/>
  <c r="H18" i="12"/>
  <c r="I18" i="12" s="1"/>
  <c r="H19" i="12"/>
  <c r="I19" i="12" s="1"/>
  <c r="H20" i="12"/>
  <c r="H21" i="12"/>
  <c r="I21" i="12" s="1"/>
  <c r="F22" i="12"/>
  <c r="G22" i="12"/>
  <c r="H22" i="12"/>
  <c r="I22" i="12" s="1"/>
  <c r="F23" i="12"/>
  <c r="G23" i="12"/>
  <c r="F24" i="12"/>
  <c r="G24" i="12"/>
  <c r="F27" i="12"/>
  <c r="G27" i="12"/>
  <c r="D28" i="12"/>
  <c r="G28" i="12" s="1"/>
  <c r="E28" i="12"/>
  <c r="F29" i="12"/>
  <c r="G29" i="12"/>
  <c r="F30" i="12"/>
  <c r="G30" i="12"/>
  <c r="F31" i="12"/>
  <c r="G31" i="12"/>
  <c r="F32" i="12"/>
  <c r="G32" i="12"/>
  <c r="D41" i="12"/>
  <c r="I8" i="11"/>
  <c r="H17" i="11"/>
  <c r="F17" i="11"/>
  <c r="H18" i="11"/>
  <c r="I18" i="11" s="1"/>
  <c r="H19" i="11"/>
  <c r="I19" i="11"/>
  <c r="E19" i="11" s="1"/>
  <c r="H20" i="11"/>
  <c r="I20" i="11"/>
  <c r="D20" i="11" s="1"/>
  <c r="H21" i="11"/>
  <c r="I21" i="11" s="1"/>
  <c r="F22" i="11"/>
  <c r="G22" i="11"/>
  <c r="F23" i="11"/>
  <c r="G23" i="11"/>
  <c r="F26" i="11"/>
  <c r="G26" i="11"/>
  <c r="D27" i="11"/>
  <c r="G27" i="11" s="1"/>
  <c r="E27" i="11"/>
  <c r="F28" i="11"/>
  <c r="G28" i="11"/>
  <c r="F29" i="11"/>
  <c r="G29" i="11"/>
  <c r="F30" i="11"/>
  <c r="G30" i="11"/>
  <c r="F31" i="11"/>
  <c r="G31" i="11"/>
  <c r="C40" i="11"/>
  <c r="D40" i="11"/>
  <c r="G40" i="11"/>
  <c r="F48" i="11"/>
  <c r="F44" i="11" s="1"/>
  <c r="F24" i="11" s="1"/>
  <c r="J8" i="10"/>
  <c r="H17" i="10"/>
  <c r="F17" i="10"/>
  <c r="G17" i="10"/>
  <c r="H18" i="10"/>
  <c r="H19" i="10"/>
  <c r="I19" i="10"/>
  <c r="D19" i="10"/>
  <c r="F19" i="10"/>
  <c r="H20" i="10"/>
  <c r="I20" i="10"/>
  <c r="E20" i="10" s="1"/>
  <c r="D20" i="10"/>
  <c r="F20" i="10" s="1"/>
  <c r="H21" i="10"/>
  <c r="I21" i="10" s="1"/>
  <c r="F22" i="10"/>
  <c r="G22" i="10"/>
  <c r="H22" i="10"/>
  <c r="I22" i="10" s="1"/>
  <c r="F23" i="10"/>
  <c r="G23" i="10"/>
  <c r="F24" i="10"/>
  <c r="G24" i="10"/>
  <c r="G25" i="10"/>
  <c r="F26" i="10"/>
  <c r="G26" i="10"/>
  <c r="D27" i="10"/>
  <c r="G27" i="10" s="1"/>
  <c r="E27" i="10"/>
  <c r="F28" i="10"/>
  <c r="G28" i="10"/>
  <c r="F29" i="10"/>
  <c r="G29" i="10"/>
  <c r="F30" i="10"/>
  <c r="G30" i="10"/>
  <c r="F31" i="10"/>
  <c r="G31" i="10"/>
  <c r="F44" i="10"/>
  <c r="F41" i="10"/>
  <c r="F25" i="10"/>
  <c r="H17" i="8"/>
  <c r="I20" i="8" s="1"/>
  <c r="F17" i="8"/>
  <c r="G17" i="8"/>
  <c r="H18" i="8"/>
  <c r="I18" i="8"/>
  <c r="D18" i="8" s="1"/>
  <c r="H19" i="8"/>
  <c r="I19" i="8" s="1"/>
  <c r="H20" i="8"/>
  <c r="H21" i="8"/>
  <c r="I21" i="8" s="1"/>
  <c r="F22" i="8"/>
  <c r="G22" i="8"/>
  <c r="H22" i="8"/>
  <c r="I22" i="8"/>
  <c r="F23" i="8"/>
  <c r="G23" i="8"/>
  <c r="F24" i="8"/>
  <c r="G24" i="8"/>
  <c r="G25" i="8"/>
  <c r="F26" i="8"/>
  <c r="G26" i="8"/>
  <c r="D27" i="8"/>
  <c r="E27" i="8"/>
  <c r="F28" i="8"/>
  <c r="G28" i="8"/>
  <c r="G29" i="8"/>
  <c r="F30" i="8"/>
  <c r="G30" i="8"/>
  <c r="F31" i="8"/>
  <c r="G31" i="8"/>
  <c r="G32" i="8"/>
  <c r="F48" i="8"/>
  <c r="F43" i="8" s="1"/>
  <c r="F25" i="8" s="1"/>
  <c r="I8" i="9"/>
  <c r="H17" i="9"/>
  <c r="F17" i="9"/>
  <c r="G17" i="9"/>
  <c r="H18" i="9"/>
  <c r="H19" i="9"/>
  <c r="I19" i="9" s="1"/>
  <c r="H20" i="9"/>
  <c r="I20" i="9"/>
  <c r="D20" i="9"/>
  <c r="F20" i="9" s="1"/>
  <c r="H21" i="9"/>
  <c r="I21" i="9" s="1"/>
  <c r="F22" i="9"/>
  <c r="G22" i="9"/>
  <c r="H22" i="9"/>
  <c r="I22" i="9" s="1"/>
  <c r="F23" i="9"/>
  <c r="G23" i="9"/>
  <c r="F24" i="9"/>
  <c r="G24" i="9"/>
  <c r="F27" i="9"/>
  <c r="G27" i="9"/>
  <c r="D28" i="9"/>
  <c r="E28" i="9"/>
  <c r="F29" i="9"/>
  <c r="G29" i="9"/>
  <c r="F30" i="9"/>
  <c r="G30" i="9"/>
  <c r="F31" i="9"/>
  <c r="G31" i="9"/>
  <c r="F32" i="9"/>
  <c r="G32" i="9"/>
  <c r="G33" i="9"/>
  <c r="C40" i="9"/>
  <c r="H17" i="7"/>
  <c r="F17" i="7"/>
  <c r="G17" i="7"/>
  <c r="H18" i="7"/>
  <c r="I18" i="7"/>
  <c r="E18" i="7" s="1"/>
  <c r="H19" i="7"/>
  <c r="I19" i="7" s="1"/>
  <c r="H20" i="7"/>
  <c r="I20" i="7" s="1"/>
  <c r="H21" i="7"/>
  <c r="I21" i="7" s="1"/>
  <c r="F22" i="7"/>
  <c r="G22" i="7"/>
  <c r="F23" i="7"/>
  <c r="G23" i="7"/>
  <c r="F24" i="7"/>
  <c r="G24" i="7"/>
  <c r="G25" i="7"/>
  <c r="F26" i="7"/>
  <c r="G26" i="7"/>
  <c r="D27" i="7"/>
  <c r="F27" i="7" s="1"/>
  <c r="E27" i="7"/>
  <c r="G28" i="7"/>
  <c r="F29" i="7"/>
  <c r="G29" i="7"/>
  <c r="F30" i="7"/>
  <c r="G30" i="7"/>
  <c r="F31" i="7"/>
  <c r="G31" i="7"/>
  <c r="F43" i="7"/>
  <c r="F40" i="7" s="1"/>
  <c r="F25" i="7" s="1"/>
  <c r="J8" i="6"/>
  <c r="F17" i="6"/>
  <c r="G17" i="6"/>
  <c r="H17" i="6"/>
  <c r="H18" i="6"/>
  <c r="I18" i="6" s="1"/>
  <c r="H19" i="6"/>
  <c r="I19" i="6" s="1"/>
  <c r="H20" i="6"/>
  <c r="H21" i="6"/>
  <c r="I21" i="6"/>
  <c r="D21" i="6" s="1"/>
  <c r="E21" i="6"/>
  <c r="F22" i="6"/>
  <c r="G22" i="6"/>
  <c r="F23" i="6"/>
  <c r="G23" i="6"/>
  <c r="F24" i="6"/>
  <c r="G24" i="6"/>
  <c r="G25" i="6"/>
  <c r="F26" i="6"/>
  <c r="G26" i="6"/>
  <c r="G27" i="6"/>
  <c r="F28" i="6"/>
  <c r="G28" i="6"/>
  <c r="F29" i="6"/>
  <c r="G29" i="6"/>
  <c r="F30" i="6"/>
  <c r="G30" i="6"/>
  <c r="F31" i="6"/>
  <c r="G31" i="6"/>
  <c r="F48" i="6"/>
  <c r="F42" i="6" s="1"/>
  <c r="F25" i="6" s="1"/>
  <c r="G37" i="6" s="1"/>
  <c r="F16" i="5"/>
  <c r="G16" i="5"/>
  <c r="H17" i="5"/>
  <c r="I17" i="5" s="1"/>
  <c r="H18" i="5"/>
  <c r="I18" i="5" s="1"/>
  <c r="H19" i="5"/>
  <c r="I19" i="5"/>
  <c r="D19" i="5" s="1"/>
  <c r="H20" i="5"/>
  <c r="I20" i="5"/>
  <c r="F22" i="5"/>
  <c r="G22" i="5"/>
  <c r="F23" i="5"/>
  <c r="G23" i="5"/>
  <c r="F24" i="5"/>
  <c r="G24" i="5"/>
  <c r="F27" i="5"/>
  <c r="G27" i="5"/>
  <c r="D28" i="5"/>
  <c r="F28" i="5" s="1"/>
  <c r="E28" i="5"/>
  <c r="F29" i="5"/>
  <c r="G29" i="5"/>
  <c r="F30" i="5"/>
  <c r="G30" i="5"/>
  <c r="F31" i="5"/>
  <c r="G31" i="5"/>
  <c r="G32" i="5"/>
  <c r="D41" i="5"/>
  <c r="G41" i="5"/>
  <c r="J8" i="4"/>
  <c r="H17" i="4"/>
  <c r="F17" i="4"/>
  <c r="G17" i="4"/>
  <c r="H18" i="4"/>
  <c r="I18" i="4"/>
  <c r="E18" i="4" s="1"/>
  <c r="D18" i="4"/>
  <c r="H19" i="4"/>
  <c r="I19" i="4" s="1"/>
  <c r="H20" i="4"/>
  <c r="I20" i="4"/>
  <c r="E20" i="4" s="1"/>
  <c r="D20" i="4"/>
  <c r="G20" i="4" s="1"/>
  <c r="H21" i="4"/>
  <c r="I21" i="4" s="1"/>
  <c r="F22" i="4"/>
  <c r="G22" i="4"/>
  <c r="H22" i="4"/>
  <c r="F23" i="4"/>
  <c r="G23" i="4"/>
  <c r="F24" i="4"/>
  <c r="G24" i="4"/>
  <c r="G25" i="4"/>
  <c r="F26" i="4"/>
  <c r="G26" i="4"/>
  <c r="D27" i="4"/>
  <c r="G27" i="4" s="1"/>
  <c r="E27" i="4"/>
  <c r="E27" i="47" s="1"/>
  <c r="G28" i="4"/>
  <c r="F29" i="4"/>
  <c r="G29" i="4"/>
  <c r="F30" i="4"/>
  <c r="G30" i="4"/>
  <c r="F31" i="4"/>
  <c r="G31" i="4"/>
  <c r="F49" i="4"/>
  <c r="F41" i="4" s="1"/>
  <c r="F25" i="4" s="1"/>
  <c r="H17" i="111"/>
  <c r="F17" i="111"/>
  <c r="G17" i="111"/>
  <c r="H18" i="111"/>
  <c r="I18" i="111"/>
  <c r="E18" i="111" s="1"/>
  <c r="H19" i="111"/>
  <c r="I19" i="111" s="1"/>
  <c r="H20" i="111"/>
  <c r="I20" i="111" s="1"/>
  <c r="H21" i="111"/>
  <c r="I21" i="111" s="1"/>
  <c r="F22" i="111"/>
  <c r="G22" i="111"/>
  <c r="H22" i="111"/>
  <c r="G23" i="111"/>
  <c r="F24" i="111"/>
  <c r="G24" i="111"/>
  <c r="G25" i="111"/>
  <c r="F26" i="111"/>
  <c r="G26" i="111"/>
  <c r="D27" i="111"/>
  <c r="E27" i="111"/>
  <c r="G27" i="111" s="1"/>
  <c r="F28" i="111"/>
  <c r="F27" i="111" s="1"/>
  <c r="G28" i="111"/>
  <c r="F29" i="111"/>
  <c r="G29" i="111"/>
  <c r="F30" i="111"/>
  <c r="G30" i="111"/>
  <c r="F31" i="111"/>
  <c r="G31" i="111"/>
  <c r="F42" i="111"/>
  <c r="F39" i="111" s="1"/>
  <c r="F25" i="111" s="1"/>
  <c r="G34" i="111" s="1"/>
  <c r="K8" i="3"/>
  <c r="H17" i="3"/>
  <c r="F17" i="3"/>
  <c r="G17" i="3"/>
  <c r="H18" i="3"/>
  <c r="H19" i="3"/>
  <c r="I19" i="3"/>
  <c r="E19" i="3"/>
  <c r="G19" i="3"/>
  <c r="H20" i="3"/>
  <c r="I20" i="3" s="1"/>
  <c r="H21" i="3"/>
  <c r="I21" i="3" s="1"/>
  <c r="G22" i="3"/>
  <c r="H22" i="3"/>
  <c r="G23" i="3"/>
  <c r="F24" i="3"/>
  <c r="G24" i="3"/>
  <c r="F27" i="3"/>
  <c r="G27" i="3"/>
  <c r="D28" i="3"/>
  <c r="E28" i="3"/>
  <c r="F29" i="3"/>
  <c r="G29" i="3"/>
  <c r="F30" i="3"/>
  <c r="G30" i="3"/>
  <c r="F31" i="3"/>
  <c r="G31" i="3"/>
  <c r="G32" i="3"/>
  <c r="G39" i="3"/>
  <c r="H17" i="2"/>
  <c r="F17" i="2"/>
  <c r="G17" i="2"/>
  <c r="H18" i="2"/>
  <c r="H19" i="2"/>
  <c r="I19" i="2" s="1"/>
  <c r="H20" i="2"/>
  <c r="I20" i="2" s="1"/>
  <c r="H21" i="2"/>
  <c r="F22" i="2"/>
  <c r="G22" i="2"/>
  <c r="F23" i="2"/>
  <c r="G23" i="2"/>
  <c r="F24" i="2"/>
  <c r="G24" i="2"/>
  <c r="G25" i="2"/>
  <c r="D26" i="2"/>
  <c r="E26" i="2"/>
  <c r="F27" i="2"/>
  <c r="G27" i="2"/>
  <c r="F28" i="2"/>
  <c r="F26" i="2" s="1"/>
  <c r="G28" i="2"/>
  <c r="F29" i="2"/>
  <c r="G29" i="2"/>
  <c r="F30" i="2"/>
  <c r="G30" i="2"/>
  <c r="F45" i="2"/>
  <c r="F40" i="2" s="1"/>
  <c r="F25" i="2" s="1"/>
  <c r="J8" i="1"/>
  <c r="H17" i="1"/>
  <c r="F17" i="1"/>
  <c r="G17" i="1"/>
  <c r="H18" i="1"/>
  <c r="I18" i="1"/>
  <c r="D18" i="1" s="1"/>
  <c r="H19" i="1"/>
  <c r="I19" i="1"/>
  <c r="D19" i="1" s="1"/>
  <c r="E19" i="1"/>
  <c r="H20" i="1"/>
  <c r="I20" i="1" s="1"/>
  <c r="H21" i="1"/>
  <c r="F22" i="1"/>
  <c r="G22" i="1"/>
  <c r="F23" i="1"/>
  <c r="G23" i="1"/>
  <c r="F24" i="1"/>
  <c r="G24" i="1"/>
  <c r="F27" i="1"/>
  <c r="G27" i="1"/>
  <c r="D28" i="1"/>
  <c r="E28" i="1"/>
  <c r="G28" i="1"/>
  <c r="F29" i="1"/>
  <c r="F28" i="1"/>
  <c r="G29" i="1"/>
  <c r="F30" i="1"/>
  <c r="G30" i="1"/>
  <c r="F31" i="1"/>
  <c r="G31" i="1"/>
  <c r="F32" i="1"/>
  <c r="G32" i="1"/>
  <c r="G41" i="1"/>
  <c r="F28" i="74"/>
  <c r="F26" i="72"/>
  <c r="F26" i="82"/>
  <c r="I18" i="70"/>
  <c r="E18" i="70" s="1"/>
  <c r="G26" i="68"/>
  <c r="G28" i="99"/>
  <c r="I16" i="84"/>
  <c r="E16" i="84" s="1"/>
  <c r="D16" i="84"/>
  <c r="G16" i="84" s="1"/>
  <c r="F16" i="84"/>
  <c r="F48" i="85"/>
  <c r="F43" i="85"/>
  <c r="F25" i="85"/>
  <c r="G36" i="85" s="1"/>
  <c r="G41" i="44"/>
  <c r="H16" i="103"/>
  <c r="I18" i="3"/>
  <c r="E18" i="3" s="1"/>
  <c r="F25" i="102"/>
  <c r="G26" i="25"/>
  <c r="F47" i="36"/>
  <c r="F43" i="36" s="1"/>
  <c r="F25" i="36" s="1"/>
  <c r="G36" i="36" s="1"/>
  <c r="O16" i="5"/>
  <c r="J16" i="5"/>
  <c r="F46" i="50"/>
  <c r="F43" i="50"/>
  <c r="F25" i="50"/>
  <c r="G39" i="99"/>
  <c r="K17" i="1"/>
  <c r="I21" i="28"/>
  <c r="D21" i="28" s="1"/>
  <c r="E21" i="28"/>
  <c r="G25" i="12"/>
  <c r="F50" i="12"/>
  <c r="F45" i="12"/>
  <c r="F25" i="12"/>
  <c r="F49" i="93"/>
  <c r="F45" i="93"/>
  <c r="F25" i="93" s="1"/>
  <c r="G33" i="39"/>
  <c r="F53" i="95"/>
  <c r="F47" i="95" s="1"/>
  <c r="F25" i="95" s="1"/>
  <c r="G40" i="95" s="1"/>
  <c r="E20" i="39"/>
  <c r="G20" i="39"/>
  <c r="I17" i="83"/>
  <c r="E17" i="83" s="1"/>
  <c r="F28" i="25"/>
  <c r="I19" i="75"/>
  <c r="E19" i="75" s="1"/>
  <c r="D19" i="75"/>
  <c r="F19" i="75" s="1"/>
  <c r="G26" i="93"/>
  <c r="I18" i="19"/>
  <c r="E18" i="19" s="1"/>
  <c r="E19" i="10"/>
  <c r="G19" i="10"/>
  <c r="I18" i="10"/>
  <c r="E18" i="10" s="1"/>
  <c r="D20" i="5"/>
  <c r="F20" i="5" s="1"/>
  <c r="E20" i="5"/>
  <c r="I21" i="2"/>
  <c r="D21" i="2" s="1"/>
  <c r="F26" i="45"/>
  <c r="G26" i="45"/>
  <c r="I18" i="42"/>
  <c r="E18" i="42" s="1"/>
  <c r="D18" i="42"/>
  <c r="I21" i="30"/>
  <c r="D21" i="30" s="1"/>
  <c r="I20" i="105"/>
  <c r="D20" i="105" s="1"/>
  <c r="I19" i="24"/>
  <c r="E19" i="24" s="1"/>
  <c r="I21" i="21"/>
  <c r="I18" i="21"/>
  <c r="D18" i="21" s="1"/>
  <c r="G26" i="83"/>
  <c r="I20" i="83"/>
  <c r="E20" i="83" s="1"/>
  <c r="D17" i="83"/>
  <c r="G17" i="83" s="1"/>
  <c r="I19" i="83"/>
  <c r="D19" i="83" s="1"/>
  <c r="G29" i="70"/>
  <c r="G28" i="80"/>
  <c r="I20" i="80"/>
  <c r="D20" i="80" s="1"/>
  <c r="I18" i="83"/>
  <c r="I17" i="81"/>
  <c r="E17" i="81" s="1"/>
  <c r="I18" i="69"/>
  <c r="D18" i="69" s="1"/>
  <c r="E18" i="69"/>
  <c r="I18" i="67"/>
  <c r="E18" i="67" s="1"/>
  <c r="I18" i="65"/>
  <c r="E18" i="65" s="1"/>
  <c r="D18" i="65"/>
  <c r="G18" i="65" s="1"/>
  <c r="I18" i="75"/>
  <c r="E18" i="75" s="1"/>
  <c r="D18" i="75"/>
  <c r="F18" i="75" s="1"/>
  <c r="I18" i="72"/>
  <c r="E18" i="72" s="1"/>
  <c r="I19" i="72"/>
  <c r="E19" i="72" s="1"/>
  <c r="I17" i="72"/>
  <c r="D17" i="72" s="1"/>
  <c r="I20" i="72"/>
  <c r="D20" i="72" s="1"/>
  <c r="I20" i="50"/>
  <c r="D20" i="50" s="1"/>
  <c r="E20" i="50"/>
  <c r="I19" i="50"/>
  <c r="E19" i="50" s="1"/>
  <c r="I21" i="48"/>
  <c r="E21" i="48" s="1"/>
  <c r="D21" i="48"/>
  <c r="F21" i="48" s="1"/>
  <c r="I21" i="49"/>
  <c r="D21" i="49" s="1"/>
  <c r="E21" i="49"/>
  <c r="G38" i="35"/>
  <c r="E18" i="21"/>
  <c r="I20" i="6"/>
  <c r="E20" i="6" s="1"/>
  <c r="F27" i="11"/>
  <c r="H20" i="38"/>
  <c r="F28" i="43"/>
  <c r="I18" i="89"/>
  <c r="D18" i="89" s="1"/>
  <c r="G29" i="38"/>
  <c r="G34" i="38"/>
  <c r="G27" i="14"/>
  <c r="F27" i="31"/>
  <c r="I18" i="98"/>
  <c r="E18" i="98" s="1"/>
  <c r="E17" i="72"/>
  <c r="D19" i="72"/>
  <c r="G19" i="72" s="1"/>
  <c r="F19" i="72"/>
  <c r="E18" i="62"/>
  <c r="I21" i="108"/>
  <c r="E21" i="108" s="1"/>
  <c r="E19" i="99"/>
  <c r="I18" i="99"/>
  <c r="D18" i="99" s="1"/>
  <c r="G25" i="102"/>
  <c r="I19" i="102"/>
  <c r="I18" i="102"/>
  <c r="I17" i="102"/>
  <c r="E17" i="102"/>
  <c r="I16" i="102"/>
  <c r="D16" i="102" s="1"/>
  <c r="I21" i="101"/>
  <c r="E21" i="101"/>
  <c r="I19" i="101"/>
  <c r="D19" i="101" s="1"/>
  <c r="E19" i="101"/>
  <c r="I18" i="90"/>
  <c r="D18" i="90"/>
  <c r="G26" i="91"/>
  <c r="G26" i="82"/>
  <c r="I17" i="82"/>
  <c r="D17" i="82" s="1"/>
  <c r="D17" i="102"/>
  <c r="F17" i="102" s="1"/>
  <c r="I18" i="116"/>
  <c r="E18" i="116" s="1"/>
  <c r="I19" i="116"/>
  <c r="D19" i="116"/>
  <c r="F19" i="116" s="1"/>
  <c r="D18" i="51"/>
  <c r="G18" i="51" s="1"/>
  <c r="I20" i="121"/>
  <c r="E20" i="121" s="1"/>
  <c r="G20" i="121" s="1"/>
  <c r="I18" i="117"/>
  <c r="E18" i="117" s="1"/>
  <c r="G27" i="24"/>
  <c r="E19" i="84"/>
  <c r="D19" i="84"/>
  <c r="G19" i="84" s="1"/>
  <c r="I17" i="84"/>
  <c r="E17" i="84" s="1"/>
  <c r="I18" i="9"/>
  <c r="E18" i="9" s="1"/>
  <c r="G18" i="9" s="1"/>
  <c r="D18" i="9"/>
  <c r="F18" i="9"/>
  <c r="E20" i="25"/>
  <c r="D19" i="39"/>
  <c r="F19" i="39"/>
  <c r="E19" i="39"/>
  <c r="G19" i="39"/>
  <c r="F27" i="46"/>
  <c r="D19" i="106"/>
  <c r="F19" i="106" s="1"/>
  <c r="E22" i="90"/>
  <c r="F27" i="18"/>
  <c r="D21" i="39"/>
  <c r="F21" i="39"/>
  <c r="E21" i="39"/>
  <c r="D21" i="21"/>
  <c r="F21" i="21" s="1"/>
  <c r="E21" i="21"/>
  <c r="G28" i="5"/>
  <c r="I21" i="89"/>
  <c r="D21" i="89"/>
  <c r="F21" i="89" s="1"/>
  <c r="I27" i="38"/>
  <c r="D19" i="3"/>
  <c r="F19" i="3"/>
  <c r="I18" i="2"/>
  <c r="E18" i="2" s="1"/>
  <c r="H22" i="38"/>
  <c r="I22" i="38"/>
  <c r="H18" i="38"/>
  <c r="H27" i="38"/>
  <c r="G27" i="38"/>
  <c r="I19" i="89"/>
  <c r="I20" i="12"/>
  <c r="D20" i="12" s="1"/>
  <c r="F33" i="39"/>
  <c r="D20" i="120"/>
  <c r="G20" i="120" s="1"/>
  <c r="F20" i="120"/>
  <c r="E20" i="120"/>
  <c r="F52" i="116"/>
  <c r="F45" i="116" s="1"/>
  <c r="F25" i="116" s="1"/>
  <c r="G38" i="116" s="1"/>
  <c r="D18" i="120"/>
  <c r="E18" i="120"/>
  <c r="G18" i="120" s="1"/>
  <c r="I21" i="5"/>
  <c r="F48" i="100"/>
  <c r="F45" i="100" s="1"/>
  <c r="F25" i="100" s="1"/>
  <c r="G25" i="100"/>
  <c r="D20" i="121"/>
  <c r="F20" i="121" s="1"/>
  <c r="D21" i="5"/>
  <c r="E21" i="5"/>
  <c r="G21" i="5" s="1"/>
  <c r="E20" i="9"/>
  <c r="G20" i="9"/>
  <c r="G19" i="106"/>
  <c r="E19" i="89"/>
  <c r="D19" i="89"/>
  <c r="G19" i="89" s="1"/>
  <c r="F21" i="5"/>
  <c r="G26" i="28"/>
  <c r="G25" i="77"/>
  <c r="E18" i="102"/>
  <c r="D18" i="102"/>
  <c r="F18" i="102" s="1"/>
  <c r="D20" i="83"/>
  <c r="F20" i="83"/>
  <c r="D18" i="50"/>
  <c r="G18" i="50" s="1"/>
  <c r="F18" i="50"/>
  <c r="F28" i="9"/>
  <c r="I20" i="73"/>
  <c r="D20" i="73" s="1"/>
  <c r="I20" i="28"/>
  <c r="D20" i="28" s="1"/>
  <c r="E20" i="28"/>
  <c r="I29" i="38"/>
  <c r="I34" i="38"/>
  <c r="E19" i="38"/>
  <c r="G19" i="38"/>
  <c r="F19" i="38"/>
  <c r="H19" i="38"/>
  <c r="D22" i="39"/>
  <c r="G22" i="39"/>
  <c r="F22" i="39"/>
  <c r="E22" i="39"/>
  <c r="G41" i="77"/>
  <c r="D41" i="77"/>
  <c r="G41" i="87"/>
  <c r="G27" i="54"/>
  <c r="E21" i="38"/>
  <c r="F28" i="116"/>
  <c r="D39" i="63"/>
  <c r="G42" i="79"/>
  <c r="I40" i="30"/>
  <c r="J40" i="69"/>
  <c r="K40" i="9"/>
  <c r="I39" i="43"/>
  <c r="J43" i="69"/>
  <c r="G21" i="38"/>
  <c r="H21" i="38"/>
  <c r="I21" i="38"/>
  <c r="I19" i="38"/>
  <c r="M39" i="63"/>
  <c r="G41" i="108"/>
  <c r="F20" i="4"/>
  <c r="E19" i="64"/>
  <c r="D19" i="64"/>
  <c r="G19" i="64" s="1"/>
  <c r="D18" i="64"/>
  <c r="D19" i="79"/>
  <c r="E19" i="79"/>
  <c r="G19" i="79"/>
  <c r="F19" i="79"/>
  <c r="G26" i="115"/>
  <c r="I17" i="115"/>
  <c r="E17" i="115" s="1"/>
  <c r="I19" i="115"/>
  <c r="E19" i="115" s="1"/>
  <c r="F28" i="98"/>
  <c r="G39" i="85"/>
  <c r="E18" i="90"/>
  <c r="G18" i="90" s="1"/>
  <c r="G43" i="90"/>
  <c r="G27" i="49"/>
  <c r="D18" i="83"/>
  <c r="F18" i="83" s="1"/>
  <c r="E18" i="83"/>
  <c r="E21" i="89"/>
  <c r="F18" i="90"/>
  <c r="F27" i="13"/>
  <c r="E19" i="80"/>
  <c r="D19" i="70"/>
  <c r="G19" i="70" s="1"/>
  <c r="E19" i="70"/>
  <c r="G21" i="39"/>
  <c r="E16" i="102"/>
  <c r="E19" i="102"/>
  <c r="D19" i="102"/>
  <c r="E19" i="116"/>
  <c r="G19" i="116"/>
  <c r="I21" i="1"/>
  <c r="D21" i="1" s="1"/>
  <c r="F27" i="8"/>
  <c r="F27" i="10"/>
  <c r="H29" i="38"/>
  <c r="H34" i="38"/>
  <c r="G26" i="2"/>
  <c r="E20" i="11"/>
  <c r="F28" i="23"/>
  <c r="G51" i="1"/>
  <c r="G46" i="1"/>
  <c r="F25" i="1"/>
  <c r="G25" i="3"/>
  <c r="G25" i="20"/>
  <c r="D41" i="44"/>
  <c r="G39" i="63"/>
  <c r="I40" i="25"/>
  <c r="I37" i="94"/>
  <c r="D19" i="115"/>
  <c r="F19" i="115"/>
  <c r="F19" i="70"/>
  <c r="G19" i="102"/>
  <c r="F19" i="102"/>
  <c r="F28" i="100"/>
  <c r="G35" i="76"/>
  <c r="G28" i="74"/>
  <c r="G26" i="73"/>
  <c r="G26" i="72"/>
  <c r="G28" i="62"/>
  <c r="G28" i="50"/>
  <c r="G27" i="46"/>
  <c r="G28" i="37"/>
  <c r="G28" i="30"/>
  <c r="G28" i="25"/>
  <c r="F27" i="22"/>
  <c r="F27" i="15"/>
  <c r="G27" i="13"/>
  <c r="G35" i="10"/>
  <c r="G27" i="8"/>
  <c r="G28" i="9"/>
  <c r="G37" i="120"/>
  <c r="F18" i="120"/>
  <c r="G27" i="103"/>
  <c r="G17" i="102"/>
  <c r="G28" i="98"/>
  <c r="G25" i="84"/>
  <c r="G29" i="90"/>
  <c r="G37" i="80"/>
  <c r="G40" i="70"/>
  <c r="G38" i="1"/>
  <c r="E21" i="1"/>
  <c r="E21" i="63"/>
  <c r="D21" i="63"/>
  <c r="F21" i="63" s="1"/>
  <c r="I38" i="63"/>
  <c r="I19" i="63"/>
  <c r="E19" i="63" s="1"/>
  <c r="D18" i="63"/>
  <c r="F18" i="63" s="1"/>
  <c r="D20" i="117"/>
  <c r="F20" i="117" s="1"/>
  <c r="I40" i="108"/>
  <c r="E19" i="98"/>
  <c r="F46" i="101"/>
  <c r="F43" i="101" s="1"/>
  <c r="F25" i="101" s="1"/>
  <c r="I18" i="101"/>
  <c r="I37" i="101"/>
  <c r="D21" i="101"/>
  <c r="F21" i="101" s="1"/>
  <c r="E19" i="92"/>
  <c r="D19" i="92"/>
  <c r="F19" i="92" s="1"/>
  <c r="G38" i="94"/>
  <c r="F19" i="68"/>
  <c r="E19" i="77"/>
  <c r="E17" i="75"/>
  <c r="D17" i="75"/>
  <c r="I20" i="75"/>
  <c r="E20" i="79"/>
  <c r="D20" i="79"/>
  <c r="F20" i="79" s="1"/>
  <c r="D19" i="62"/>
  <c r="E20" i="62"/>
  <c r="D20" i="62"/>
  <c r="F20" i="62" s="1"/>
  <c r="E19" i="52"/>
  <c r="D19" i="52"/>
  <c r="G39" i="43"/>
  <c r="G36" i="29"/>
  <c r="G25" i="29"/>
  <c r="E19" i="28"/>
  <c r="G38" i="12"/>
  <c r="G27" i="7"/>
  <c r="D18" i="101"/>
  <c r="F18" i="101" s="1"/>
  <c r="E18" i="101"/>
  <c r="G21" i="101"/>
  <c r="E20" i="75"/>
  <c r="D20" i="75"/>
  <c r="G20" i="75" s="1"/>
  <c r="F17" i="75"/>
  <c r="G17" i="75"/>
  <c r="F19" i="62"/>
  <c r="G19" i="52"/>
  <c r="F19" i="52"/>
  <c r="F19" i="121" l="1"/>
  <c r="E21" i="121"/>
  <c r="D21" i="121"/>
  <c r="E18" i="121"/>
  <c r="D18" i="121"/>
  <c r="E19" i="121"/>
  <c r="G19" i="121" s="1"/>
  <c r="D21" i="120"/>
  <c r="E21" i="120"/>
  <c r="E19" i="120"/>
  <c r="D19" i="120"/>
  <c r="F21" i="119"/>
  <c r="G21" i="119"/>
  <c r="D18" i="119"/>
  <c r="E18" i="119"/>
  <c r="I20" i="119"/>
  <c r="I19" i="119"/>
  <c r="E18" i="118"/>
  <c r="D18" i="118"/>
  <c r="D21" i="118"/>
  <c r="E21" i="118"/>
  <c r="E19" i="118"/>
  <c r="D19" i="118"/>
  <c r="D20" i="118"/>
  <c r="E20" i="118"/>
  <c r="E21" i="117"/>
  <c r="D21" i="117"/>
  <c r="F19" i="117"/>
  <c r="E19" i="117"/>
  <c r="G19" i="117" s="1"/>
  <c r="D18" i="117"/>
  <c r="E20" i="116"/>
  <c r="D20" i="116"/>
  <c r="D18" i="116"/>
  <c r="F20" i="115"/>
  <c r="E18" i="115"/>
  <c r="D18" i="115"/>
  <c r="G19" i="115"/>
  <c r="D17" i="115"/>
  <c r="E20" i="115"/>
  <c r="G20" i="115" s="1"/>
  <c r="G20" i="108"/>
  <c r="F20" i="108"/>
  <c r="D18" i="108"/>
  <c r="E18" i="108"/>
  <c r="F48" i="108"/>
  <c r="F45" i="108" s="1"/>
  <c r="F25" i="108" s="1"/>
  <c r="G38" i="108" s="1"/>
  <c r="I19" i="108"/>
  <c r="D21" i="108"/>
  <c r="D18" i="103"/>
  <c r="E18" i="103"/>
  <c r="D17" i="103"/>
  <c r="E17" i="103"/>
  <c r="D19" i="103"/>
  <c r="E19" i="103"/>
  <c r="D20" i="103"/>
  <c r="E20" i="103"/>
  <c r="D21" i="99"/>
  <c r="E21" i="99"/>
  <c r="E20" i="99"/>
  <c r="D20" i="99"/>
  <c r="G19" i="99"/>
  <c r="F19" i="99"/>
  <c r="F18" i="99"/>
  <c r="E18" i="99"/>
  <c r="G18" i="99" s="1"/>
  <c r="G16" i="102"/>
  <c r="F16" i="102"/>
  <c r="G18" i="102"/>
  <c r="G25" i="98"/>
  <c r="F46" i="98"/>
  <c r="F43" i="98" s="1"/>
  <c r="F25" i="98" s="1"/>
  <c r="G36" i="98" s="1"/>
  <c r="E21" i="98"/>
  <c r="D21" i="98"/>
  <c r="G19" i="98"/>
  <c r="F19" i="98"/>
  <c r="D20" i="98"/>
  <c r="E20" i="98"/>
  <c r="D18" i="98"/>
  <c r="I38" i="98"/>
  <c r="D19" i="97"/>
  <c r="E19" i="97"/>
  <c r="E18" i="97"/>
  <c r="D18" i="97"/>
  <c r="D21" i="97"/>
  <c r="E21" i="97"/>
  <c r="I20" i="97"/>
  <c r="D20" i="96"/>
  <c r="E20" i="96"/>
  <c r="D19" i="96"/>
  <c r="E19" i="96"/>
  <c r="F18" i="96"/>
  <c r="I21" i="96"/>
  <c r="E18" i="96"/>
  <c r="G18" i="96" s="1"/>
  <c r="G19" i="101"/>
  <c r="F19" i="101"/>
  <c r="G36" i="101"/>
  <c r="E20" i="101"/>
  <c r="D20" i="101"/>
  <c r="G18" i="101"/>
  <c r="D39" i="101"/>
  <c r="I39" i="101"/>
  <c r="D20" i="85"/>
  <c r="E20" i="85"/>
  <c r="D21" i="85"/>
  <c r="E21" i="85"/>
  <c r="E19" i="85"/>
  <c r="D19" i="85"/>
  <c r="G18" i="85"/>
  <c r="D18" i="84"/>
  <c r="E18" i="84"/>
  <c r="E20" i="84"/>
  <c r="D20" i="84"/>
  <c r="F19" i="84"/>
  <c r="D17" i="84"/>
  <c r="F21" i="92"/>
  <c r="D20" i="92"/>
  <c r="E20" i="92"/>
  <c r="F18" i="92"/>
  <c r="G19" i="92"/>
  <c r="K38" i="92"/>
  <c r="E18" i="92"/>
  <c r="G18" i="92" s="1"/>
  <c r="K36" i="92"/>
  <c r="E21" i="92"/>
  <c r="G21" i="92" s="1"/>
  <c r="G22" i="90"/>
  <c r="F22" i="90"/>
  <c r="D21" i="90"/>
  <c r="E21" i="90"/>
  <c r="D20" i="90"/>
  <c r="E20" i="90"/>
  <c r="F54" i="90"/>
  <c r="F47" i="90" s="1"/>
  <c r="F26" i="90" s="1"/>
  <c r="G40" i="90" s="1"/>
  <c r="D19" i="90"/>
  <c r="D19" i="95"/>
  <c r="E19" i="95"/>
  <c r="F18" i="95"/>
  <c r="E21" i="95"/>
  <c r="D21" i="95"/>
  <c r="D20" i="95"/>
  <c r="E18" i="95"/>
  <c r="G18" i="95" s="1"/>
  <c r="E19" i="91"/>
  <c r="D19" i="91"/>
  <c r="F18" i="91"/>
  <c r="D17" i="91"/>
  <c r="E17" i="91"/>
  <c r="E20" i="91"/>
  <c r="D20" i="91"/>
  <c r="E18" i="91"/>
  <c r="G18" i="91" s="1"/>
  <c r="F20" i="94"/>
  <c r="E19" i="94"/>
  <c r="D19" i="94"/>
  <c r="D18" i="94"/>
  <c r="E18" i="94"/>
  <c r="G35" i="94"/>
  <c r="G25" i="94"/>
  <c r="E20" i="94"/>
  <c r="G20" i="94" s="1"/>
  <c r="D21" i="94"/>
  <c r="F17" i="82"/>
  <c r="E20" i="82"/>
  <c r="D20" i="82"/>
  <c r="E19" i="82"/>
  <c r="D19" i="82"/>
  <c r="E18" i="82"/>
  <c r="D18" i="82"/>
  <c r="E17" i="82"/>
  <c r="G17" i="82" s="1"/>
  <c r="F19" i="83"/>
  <c r="G20" i="83"/>
  <c r="G18" i="83"/>
  <c r="F17" i="83"/>
  <c r="E19" i="83"/>
  <c r="G19" i="83" s="1"/>
  <c r="D18" i="81"/>
  <c r="E18" i="81"/>
  <c r="E19" i="81"/>
  <c r="D19" i="81"/>
  <c r="I20" i="81"/>
  <c r="D17" i="81"/>
  <c r="E20" i="70"/>
  <c r="D20" i="70"/>
  <c r="D21" i="70"/>
  <c r="E21" i="70"/>
  <c r="F49" i="70"/>
  <c r="F45" i="70" s="1"/>
  <c r="F26" i="70" s="1"/>
  <c r="G37" i="70" s="1"/>
  <c r="D18" i="70"/>
  <c r="F52" i="69"/>
  <c r="F48" i="69" s="1"/>
  <c r="F26" i="69" s="1"/>
  <c r="G40" i="69"/>
  <c r="G18" i="69"/>
  <c r="F18" i="69"/>
  <c r="D21" i="69"/>
  <c r="E21" i="69"/>
  <c r="D19" i="69"/>
  <c r="E19" i="69"/>
  <c r="E20" i="69"/>
  <c r="D20" i="69"/>
  <c r="G26" i="69"/>
  <c r="D18" i="68"/>
  <c r="E18" i="68"/>
  <c r="D17" i="68"/>
  <c r="E17" i="68"/>
  <c r="I20" i="68"/>
  <c r="F20" i="80"/>
  <c r="E21" i="80"/>
  <c r="D21" i="80"/>
  <c r="F19" i="80"/>
  <c r="G19" i="80"/>
  <c r="D18" i="80"/>
  <c r="E18" i="80"/>
  <c r="E20" i="80"/>
  <c r="G20" i="80" s="1"/>
  <c r="D19" i="67"/>
  <c r="E19" i="67"/>
  <c r="I17" i="67"/>
  <c r="I20" i="67"/>
  <c r="D18" i="67"/>
  <c r="D19" i="100"/>
  <c r="E19" i="100"/>
  <c r="G38" i="100"/>
  <c r="I18" i="100"/>
  <c r="I20" i="100"/>
  <c r="I21" i="100"/>
  <c r="E19" i="65"/>
  <c r="D19" i="65"/>
  <c r="E20" i="65"/>
  <c r="D20" i="65"/>
  <c r="F18" i="65"/>
  <c r="D17" i="65"/>
  <c r="E20" i="88"/>
  <c r="D20" i="88"/>
  <c r="E19" i="88"/>
  <c r="D19" i="88"/>
  <c r="D18" i="88"/>
  <c r="E18" i="88"/>
  <c r="D17" i="88"/>
  <c r="E21" i="87"/>
  <c r="D21" i="87"/>
  <c r="E20" i="87"/>
  <c r="D20" i="87"/>
  <c r="E19" i="87"/>
  <c r="D19" i="87"/>
  <c r="E25" i="87"/>
  <c r="G25" i="87" s="1"/>
  <c r="D18" i="87"/>
  <c r="E20" i="77"/>
  <c r="D20" i="77"/>
  <c r="F19" i="77"/>
  <c r="G19" i="77"/>
  <c r="D21" i="77"/>
  <c r="E21" i="77"/>
  <c r="D18" i="77"/>
  <c r="G38" i="77"/>
  <c r="G18" i="64"/>
  <c r="E17" i="64"/>
  <c r="D17" i="64"/>
  <c r="F19" i="64"/>
  <c r="F18" i="64"/>
  <c r="D20" i="64"/>
  <c r="F20" i="76"/>
  <c r="E18" i="76"/>
  <c r="D18" i="76"/>
  <c r="D17" i="76"/>
  <c r="E17" i="76"/>
  <c r="D19" i="76"/>
  <c r="E20" i="76"/>
  <c r="G20" i="76" s="1"/>
  <c r="D20" i="93"/>
  <c r="E20" i="93"/>
  <c r="E19" i="93"/>
  <c r="D19" i="93"/>
  <c r="E18" i="93"/>
  <c r="D18" i="93"/>
  <c r="D21" i="93"/>
  <c r="E21" i="93"/>
  <c r="G41" i="93"/>
  <c r="J40" i="93"/>
  <c r="F20" i="75"/>
  <c r="G19" i="75"/>
  <c r="G18" i="75"/>
  <c r="F22" i="79"/>
  <c r="D21" i="79"/>
  <c r="E21" i="79"/>
  <c r="E22" i="79"/>
  <c r="G22" i="79" s="1"/>
  <c r="G20" i="79"/>
  <c r="D19" i="74"/>
  <c r="E19" i="74"/>
  <c r="E18" i="74"/>
  <c r="D18" i="74"/>
  <c r="D20" i="74"/>
  <c r="E20" i="74"/>
  <c r="I21" i="74"/>
  <c r="E20" i="63"/>
  <c r="D20" i="63"/>
  <c r="G36" i="63"/>
  <c r="D19" i="63"/>
  <c r="G21" i="63"/>
  <c r="D19" i="73"/>
  <c r="E19" i="73"/>
  <c r="F18" i="73"/>
  <c r="E17" i="73"/>
  <c r="D17" i="73"/>
  <c r="F20" i="73"/>
  <c r="E18" i="73"/>
  <c r="G18" i="73" s="1"/>
  <c r="E20" i="73"/>
  <c r="G20" i="73" s="1"/>
  <c r="F20" i="72"/>
  <c r="G17" i="72"/>
  <c r="F17" i="72"/>
  <c r="E20" i="72"/>
  <c r="G20" i="72" s="1"/>
  <c r="D18" i="72"/>
  <c r="D21" i="62"/>
  <c r="E21" i="62"/>
  <c r="G18" i="62"/>
  <c r="F18" i="62"/>
  <c r="G20" i="62"/>
  <c r="F47" i="62"/>
  <c r="F43" i="62" s="1"/>
  <c r="F25" i="62" s="1"/>
  <c r="G36" i="62" s="1"/>
  <c r="E18" i="54"/>
  <c r="D18" i="54"/>
  <c r="I20" i="54"/>
  <c r="I19" i="54"/>
  <c r="I21" i="54"/>
  <c r="G18" i="52"/>
  <c r="F18" i="52"/>
  <c r="E21" i="52"/>
  <c r="D21" i="52"/>
  <c r="D20" i="52"/>
  <c r="E20" i="52"/>
  <c r="F21" i="50"/>
  <c r="F20" i="50"/>
  <c r="G20" i="50"/>
  <c r="D19" i="50"/>
  <c r="E21" i="50"/>
  <c r="G21" i="50" s="1"/>
  <c r="E21" i="106"/>
  <c r="D21" i="106"/>
  <c r="D20" i="106"/>
  <c r="E20" i="106"/>
  <c r="D18" i="106"/>
  <c r="E18" i="106"/>
  <c r="F21" i="49"/>
  <c r="G21" i="49"/>
  <c r="E18" i="49"/>
  <c r="D18" i="49"/>
  <c r="E20" i="49"/>
  <c r="D20" i="49"/>
  <c r="E19" i="49"/>
  <c r="D19" i="49"/>
  <c r="D19" i="51"/>
  <c r="E19" i="51"/>
  <c r="D17" i="51"/>
  <c r="E17" i="51"/>
  <c r="D20" i="51"/>
  <c r="E20" i="51"/>
  <c r="F18" i="51"/>
  <c r="E20" i="48"/>
  <c r="D20" i="48"/>
  <c r="D19" i="48"/>
  <c r="E19" i="48"/>
  <c r="E18" i="48"/>
  <c r="D18" i="48"/>
  <c r="G37" i="48"/>
  <c r="G21" i="48"/>
  <c r="F18" i="46"/>
  <c r="G18" i="46"/>
  <c r="E20" i="46"/>
  <c r="D20" i="46"/>
  <c r="E19" i="46"/>
  <c r="D19" i="46"/>
  <c r="I21" i="46"/>
  <c r="E18" i="45"/>
  <c r="D18" i="45"/>
  <c r="D17" i="45"/>
  <c r="E17" i="45"/>
  <c r="I19" i="45"/>
  <c r="I20" i="45"/>
  <c r="D18" i="44"/>
  <c r="E18" i="44"/>
  <c r="I21" i="44"/>
  <c r="E25" i="44"/>
  <c r="I20" i="44"/>
  <c r="I19" i="44"/>
  <c r="D20" i="43"/>
  <c r="E20" i="43"/>
  <c r="F48" i="43"/>
  <c r="F43" i="43" s="1"/>
  <c r="F25" i="43" s="1"/>
  <c r="G36" i="43" s="1"/>
  <c r="D18" i="43"/>
  <c r="E18" i="43"/>
  <c r="I21" i="43"/>
  <c r="I19" i="43"/>
  <c r="D20" i="42"/>
  <c r="E20" i="42"/>
  <c r="G18" i="42"/>
  <c r="D21" i="42"/>
  <c r="E21" i="42"/>
  <c r="D19" i="42"/>
  <c r="F18" i="42"/>
  <c r="E19" i="37"/>
  <c r="D19" i="37"/>
  <c r="E18" i="37"/>
  <c r="D18" i="37"/>
  <c r="D21" i="37"/>
  <c r="E21" i="37"/>
  <c r="F46" i="37"/>
  <c r="F43" i="37" s="1"/>
  <c r="F25" i="37" s="1"/>
  <c r="G36" i="37" s="1"/>
  <c r="I20" i="37"/>
  <c r="F18" i="89"/>
  <c r="D20" i="89"/>
  <c r="E20" i="89"/>
  <c r="F46" i="89"/>
  <c r="F43" i="89" s="1"/>
  <c r="F25" i="89" s="1"/>
  <c r="G36" i="89" s="1"/>
  <c r="D39" i="89"/>
  <c r="E18" i="89"/>
  <c r="G18" i="89" s="1"/>
  <c r="G21" i="89"/>
  <c r="F19" i="89"/>
  <c r="I38" i="89"/>
  <c r="D20" i="36"/>
  <c r="E20" i="36"/>
  <c r="E21" i="36"/>
  <c r="D21" i="36"/>
  <c r="D18" i="36"/>
  <c r="E18" i="36"/>
  <c r="I19" i="36"/>
  <c r="D21" i="35"/>
  <c r="E21" i="35"/>
  <c r="D19" i="35"/>
  <c r="E19" i="35"/>
  <c r="I18" i="35"/>
  <c r="I20" i="35"/>
  <c r="D19" i="34"/>
  <c r="E19" i="34"/>
  <c r="G18" i="34"/>
  <c r="F18" i="34"/>
  <c r="D17" i="34"/>
  <c r="E17" i="34"/>
  <c r="E20" i="34"/>
  <c r="D20" i="34"/>
  <c r="D18" i="32"/>
  <c r="E18" i="32"/>
  <c r="E20" i="32"/>
  <c r="D20" i="32"/>
  <c r="D21" i="32"/>
  <c r="E21" i="32"/>
  <c r="E19" i="32"/>
  <c r="D19" i="32"/>
  <c r="D18" i="31"/>
  <c r="E18" i="31"/>
  <c r="D19" i="31"/>
  <c r="E19" i="31"/>
  <c r="I21" i="31"/>
  <c r="I20" i="31"/>
  <c r="F49" i="30"/>
  <c r="F45" i="30" s="1"/>
  <c r="F25" i="30" s="1"/>
  <c r="G38" i="30" s="1"/>
  <c r="F21" i="30"/>
  <c r="E19" i="30"/>
  <c r="D19" i="30"/>
  <c r="E18" i="30"/>
  <c r="D18" i="30"/>
  <c r="E20" i="30"/>
  <c r="D20" i="30"/>
  <c r="E21" i="30"/>
  <c r="G21" i="30" s="1"/>
  <c r="D18" i="105"/>
  <c r="E18" i="105"/>
  <c r="F20" i="105"/>
  <c r="I21" i="105"/>
  <c r="I19" i="105"/>
  <c r="E20" i="105"/>
  <c r="G20" i="105" s="1"/>
  <c r="D18" i="29"/>
  <c r="E18" i="29"/>
  <c r="D21" i="29"/>
  <c r="E21" i="29"/>
  <c r="D20" i="29"/>
  <c r="E20" i="29"/>
  <c r="I19" i="29"/>
  <c r="G21" i="28"/>
  <c r="F21" i="28"/>
  <c r="F20" i="28"/>
  <c r="G20" i="28"/>
  <c r="F19" i="28"/>
  <c r="G19" i="28"/>
  <c r="G22" i="28"/>
  <c r="D21" i="25"/>
  <c r="E21" i="25"/>
  <c r="G20" i="25"/>
  <c r="F20" i="25"/>
  <c r="E19" i="25"/>
  <c r="D19" i="25"/>
  <c r="F18" i="25"/>
  <c r="E26" i="47"/>
  <c r="F49" i="25"/>
  <c r="F45" i="25" s="1"/>
  <c r="F25" i="25" s="1"/>
  <c r="G38" i="25" s="1"/>
  <c r="E18" i="25"/>
  <c r="G18" i="25" s="1"/>
  <c r="G41" i="25"/>
  <c r="E18" i="24"/>
  <c r="D18" i="24"/>
  <c r="D19" i="24"/>
  <c r="D21" i="24"/>
  <c r="G20" i="24"/>
  <c r="F18" i="23"/>
  <c r="G18" i="23"/>
  <c r="D19" i="23"/>
  <c r="E19" i="23"/>
  <c r="E21" i="23"/>
  <c r="D21" i="23"/>
  <c r="D20" i="23"/>
  <c r="D20" i="22"/>
  <c r="E20" i="22"/>
  <c r="D19" i="22"/>
  <c r="E19" i="22"/>
  <c r="I21" i="22"/>
  <c r="I18" i="22"/>
  <c r="E20" i="21"/>
  <c r="D20" i="21"/>
  <c r="F18" i="21"/>
  <c r="G18" i="21"/>
  <c r="D19" i="21"/>
  <c r="G21" i="21"/>
  <c r="D20" i="20"/>
  <c r="E20" i="20"/>
  <c r="D18" i="20"/>
  <c r="E18" i="20"/>
  <c r="E21" i="20"/>
  <c r="D21" i="20"/>
  <c r="G19" i="20"/>
  <c r="E21" i="19"/>
  <c r="D21" i="19"/>
  <c r="F20" i="19"/>
  <c r="F19" i="19"/>
  <c r="E19" i="19"/>
  <c r="G19" i="19" s="1"/>
  <c r="D18" i="19"/>
  <c r="E20" i="19"/>
  <c r="G20" i="19" s="1"/>
  <c r="G37" i="18"/>
  <c r="F19" i="18"/>
  <c r="D18" i="18"/>
  <c r="E18" i="18"/>
  <c r="E20" i="18"/>
  <c r="D20" i="18"/>
  <c r="D29" i="47"/>
  <c r="I21" i="18"/>
  <c r="E19" i="18"/>
  <c r="G19" i="18" s="1"/>
  <c r="F21" i="17"/>
  <c r="F20" i="17"/>
  <c r="E18" i="17"/>
  <c r="D18" i="17"/>
  <c r="D19" i="17"/>
  <c r="E19" i="17"/>
  <c r="E20" i="17"/>
  <c r="G20" i="17" s="1"/>
  <c r="G27" i="17"/>
  <c r="E21" i="17"/>
  <c r="G21" i="17" s="1"/>
  <c r="D20" i="15"/>
  <c r="E20" i="15"/>
  <c r="E18" i="15"/>
  <c r="D18" i="15"/>
  <c r="E19" i="15"/>
  <c r="D19" i="15"/>
  <c r="D21" i="15"/>
  <c r="E20" i="14"/>
  <c r="D20" i="14"/>
  <c r="E19" i="14"/>
  <c r="D19" i="14"/>
  <c r="E18" i="14"/>
  <c r="D18" i="14"/>
  <c r="I21" i="14"/>
  <c r="D18" i="13"/>
  <c r="E18" i="13"/>
  <c r="E20" i="13"/>
  <c r="D20" i="13"/>
  <c r="I21" i="13"/>
  <c r="I19" i="13"/>
  <c r="D21" i="12"/>
  <c r="E21" i="12"/>
  <c r="D18" i="12"/>
  <c r="E18" i="12"/>
  <c r="E19" i="12"/>
  <c r="D19" i="12"/>
  <c r="F20" i="12"/>
  <c r="E20" i="12"/>
  <c r="G20" i="12" s="1"/>
  <c r="F28" i="12"/>
  <c r="G37" i="11"/>
  <c r="E21" i="11"/>
  <c r="D21" i="11"/>
  <c r="G20" i="11"/>
  <c r="F20" i="11"/>
  <c r="E18" i="11"/>
  <c r="D18" i="11"/>
  <c r="D19" i="11"/>
  <c r="F32" i="47"/>
  <c r="D21" i="10"/>
  <c r="E21" i="10"/>
  <c r="G20" i="10"/>
  <c r="D18" i="10"/>
  <c r="E19" i="8"/>
  <c r="D19" i="8"/>
  <c r="F18" i="8"/>
  <c r="D20" i="8"/>
  <c r="E20" i="8"/>
  <c r="G37" i="8"/>
  <c r="E21" i="8"/>
  <c r="D21" i="8"/>
  <c r="E18" i="8"/>
  <c r="G18" i="8" s="1"/>
  <c r="G32" i="47"/>
  <c r="E21" i="9"/>
  <c r="D21" i="9"/>
  <c r="E19" i="9"/>
  <c r="D19" i="9"/>
  <c r="D26" i="47"/>
  <c r="G25" i="9"/>
  <c r="G40" i="9"/>
  <c r="G24" i="47"/>
  <c r="G30" i="47"/>
  <c r="E21" i="7"/>
  <c r="D21" i="7"/>
  <c r="E20" i="7"/>
  <c r="D20" i="7"/>
  <c r="D19" i="7"/>
  <c r="E19" i="7"/>
  <c r="F23" i="47"/>
  <c r="D18" i="7"/>
  <c r="G21" i="6"/>
  <c r="F21" i="6"/>
  <c r="E19" i="6"/>
  <c r="D19" i="6"/>
  <c r="D18" i="6"/>
  <c r="E18" i="6"/>
  <c r="F31" i="47"/>
  <c r="D20" i="6"/>
  <c r="D28" i="47"/>
  <c r="D33" i="47" s="1"/>
  <c r="G23" i="47"/>
  <c r="D18" i="5"/>
  <c r="E18" i="5"/>
  <c r="D17" i="5"/>
  <c r="E17" i="5"/>
  <c r="F19" i="5"/>
  <c r="F30" i="47"/>
  <c r="F24" i="47"/>
  <c r="E19" i="5"/>
  <c r="G19" i="5" s="1"/>
  <c r="G20" i="5"/>
  <c r="F18" i="47"/>
  <c r="F25" i="47"/>
  <c r="G37" i="4"/>
  <c r="E21" i="4"/>
  <c r="D21" i="4"/>
  <c r="D19" i="4"/>
  <c r="E19" i="4"/>
  <c r="G18" i="4"/>
  <c r="F18" i="4"/>
  <c r="G27" i="47"/>
  <c r="F29" i="47"/>
  <c r="D27" i="47"/>
  <c r="F27" i="47"/>
  <c r="D21" i="111"/>
  <c r="E21" i="111"/>
  <c r="D20" i="111"/>
  <c r="E20" i="111"/>
  <c r="D19" i="111"/>
  <c r="E19" i="111"/>
  <c r="D18" i="111"/>
  <c r="D20" i="3"/>
  <c r="E20" i="3"/>
  <c r="E21" i="3"/>
  <c r="D21" i="3"/>
  <c r="D18" i="3"/>
  <c r="G18" i="47"/>
  <c r="G29" i="47"/>
  <c r="G28" i="3"/>
  <c r="G28" i="47" s="1"/>
  <c r="E28" i="47"/>
  <c r="E33" i="47" s="1"/>
  <c r="G25" i="47"/>
  <c r="F28" i="3"/>
  <c r="D20" i="2"/>
  <c r="E20" i="2"/>
  <c r="E19" i="2"/>
  <c r="D19" i="2"/>
  <c r="F21" i="2"/>
  <c r="G35" i="2"/>
  <c r="D18" i="2"/>
  <c r="E21" i="2"/>
  <c r="G31" i="47"/>
  <c r="F21" i="1"/>
  <c r="G21" i="1"/>
  <c r="G19" i="1"/>
  <c r="F19" i="1"/>
  <c r="F18" i="1"/>
  <c r="E20" i="1"/>
  <c r="D20" i="1"/>
  <c r="E18" i="1"/>
  <c r="G18" i="121" l="1"/>
  <c r="F18" i="121"/>
  <c r="G21" i="121"/>
  <c r="F21" i="121"/>
  <c r="F19" i="120"/>
  <c r="G19" i="120"/>
  <c r="G21" i="120"/>
  <c r="F21" i="120"/>
  <c r="D19" i="119"/>
  <c r="E19" i="119"/>
  <c r="D20" i="119"/>
  <c r="E20" i="119"/>
  <c r="G18" i="119"/>
  <c r="F18" i="119"/>
  <c r="F19" i="118"/>
  <c r="G19" i="118"/>
  <c r="G21" i="118"/>
  <c r="F21" i="118"/>
  <c r="F18" i="118"/>
  <c r="G18" i="118"/>
  <c r="F20" i="118"/>
  <c r="G20" i="118"/>
  <c r="G18" i="117"/>
  <c r="F18" i="117"/>
  <c r="G21" i="117"/>
  <c r="F21" i="117"/>
  <c r="F18" i="116"/>
  <c r="G18" i="116"/>
  <c r="G20" i="116"/>
  <c r="F20" i="116"/>
  <c r="F17" i="115"/>
  <c r="G17" i="115"/>
  <c r="G18" i="115"/>
  <c r="F18" i="115"/>
  <c r="G21" i="108"/>
  <c r="F21" i="108"/>
  <c r="G18" i="108"/>
  <c r="F18" i="108"/>
  <c r="E19" i="108"/>
  <c r="D19" i="108"/>
  <c r="F20" i="103"/>
  <c r="G20" i="103"/>
  <c r="F19" i="103"/>
  <c r="G19" i="103"/>
  <c r="G17" i="103"/>
  <c r="F17" i="103"/>
  <c r="F18" i="103"/>
  <c r="G18" i="103"/>
  <c r="F20" i="99"/>
  <c r="G20" i="99"/>
  <c r="G21" i="99"/>
  <c r="F21" i="99"/>
  <c r="G21" i="98"/>
  <c r="F21" i="98"/>
  <c r="F18" i="98"/>
  <c r="G18" i="98"/>
  <c r="G20" i="98"/>
  <c r="F20" i="98"/>
  <c r="E20" i="97"/>
  <c r="D20" i="97"/>
  <c r="G21" i="97"/>
  <c r="F21" i="97"/>
  <c r="G18" i="97"/>
  <c r="F18" i="97"/>
  <c r="F19" i="97"/>
  <c r="G19" i="97"/>
  <c r="E21" i="96"/>
  <c r="D21" i="96"/>
  <c r="F19" i="96"/>
  <c r="G19" i="96"/>
  <c r="G20" i="96"/>
  <c r="F20" i="96"/>
  <c r="G20" i="101"/>
  <c r="F20" i="101"/>
  <c r="F19" i="85"/>
  <c r="G19" i="85"/>
  <c r="F21" i="85"/>
  <c r="G21" i="85"/>
  <c r="F20" i="85"/>
  <c r="G20" i="85"/>
  <c r="F17" i="84"/>
  <c r="G17" i="84"/>
  <c r="G20" i="84"/>
  <c r="F20" i="84"/>
  <c r="G18" i="84"/>
  <c r="F18" i="84"/>
  <c r="G20" i="92"/>
  <c r="F20" i="92"/>
  <c r="F19" i="90"/>
  <c r="G19" i="90"/>
  <c r="F20" i="90"/>
  <c r="G20" i="90"/>
  <c r="F21" i="90"/>
  <c r="G21" i="90"/>
  <c r="F20" i="95"/>
  <c r="G20" i="95"/>
  <c r="G21" i="95"/>
  <c r="F21" i="95"/>
  <c r="G19" i="95"/>
  <c r="F19" i="95"/>
  <c r="F17" i="91"/>
  <c r="G17" i="91"/>
  <c r="F19" i="91"/>
  <c r="G19" i="91"/>
  <c r="G20" i="91"/>
  <c r="F20" i="91"/>
  <c r="F21" i="94"/>
  <c r="G21" i="94"/>
  <c r="G19" i="94"/>
  <c r="F19" i="94"/>
  <c r="F18" i="94"/>
  <c r="G18" i="94"/>
  <c r="F18" i="82"/>
  <c r="G18" i="82"/>
  <c r="G19" i="82"/>
  <c r="F19" i="82"/>
  <c r="F20" i="82"/>
  <c r="G20" i="82"/>
  <c r="G17" i="81"/>
  <c r="F17" i="81"/>
  <c r="G19" i="81"/>
  <c r="F19" i="81"/>
  <c r="E20" i="81"/>
  <c r="D20" i="81"/>
  <c r="G18" i="81"/>
  <c r="F18" i="81"/>
  <c r="F18" i="70"/>
  <c r="G18" i="70"/>
  <c r="F21" i="70"/>
  <c r="G21" i="70"/>
  <c r="G20" i="70"/>
  <c r="F20" i="70"/>
  <c r="G19" i="69"/>
  <c r="F19" i="69"/>
  <c r="G21" i="69"/>
  <c r="F21" i="69"/>
  <c r="G20" i="69"/>
  <c r="F20" i="69"/>
  <c r="D20" i="68"/>
  <c r="E20" i="68"/>
  <c r="G17" i="68"/>
  <c r="F17" i="68"/>
  <c r="F18" i="68"/>
  <c r="G18" i="68"/>
  <c r="F18" i="80"/>
  <c r="G18" i="80"/>
  <c r="G21" i="80"/>
  <c r="F21" i="80"/>
  <c r="G18" i="67"/>
  <c r="F18" i="67"/>
  <c r="E17" i="67"/>
  <c r="D17" i="67"/>
  <c r="E20" i="67"/>
  <c r="D20" i="67"/>
  <c r="F19" i="67"/>
  <c r="G19" i="67"/>
  <c r="E21" i="100"/>
  <c r="D21" i="100"/>
  <c r="E20" i="100"/>
  <c r="D20" i="100"/>
  <c r="E18" i="100"/>
  <c r="D18" i="100"/>
  <c r="F19" i="100"/>
  <c r="G19" i="100"/>
  <c r="G17" i="65"/>
  <c r="F17" i="65"/>
  <c r="G19" i="65"/>
  <c r="F19" i="65"/>
  <c r="G20" i="65"/>
  <c r="F20" i="65"/>
  <c r="F20" i="88"/>
  <c r="G20" i="88"/>
  <c r="F17" i="88"/>
  <c r="G17" i="88"/>
  <c r="F18" i="88"/>
  <c r="G18" i="88"/>
  <c r="F19" i="88"/>
  <c r="G19" i="88"/>
  <c r="G18" i="87"/>
  <c r="F18" i="87"/>
  <c r="F19" i="87"/>
  <c r="G19" i="87"/>
  <c r="G21" i="87"/>
  <c r="F21" i="87"/>
  <c r="F48" i="87"/>
  <c r="F45" i="87" s="1"/>
  <c r="F25" i="87" s="1"/>
  <c r="G38" i="87" s="1"/>
  <c r="F20" i="87"/>
  <c r="G20" i="87"/>
  <c r="F18" i="77"/>
  <c r="G18" i="77"/>
  <c r="G21" i="77"/>
  <c r="F21" i="77"/>
  <c r="F20" i="77"/>
  <c r="G20" i="77"/>
  <c r="F17" i="64"/>
  <c r="G17" i="64"/>
  <c r="G20" i="64"/>
  <c r="F20" i="64"/>
  <c r="G17" i="76"/>
  <c r="F17" i="76"/>
  <c r="G19" i="76"/>
  <c r="F19" i="76"/>
  <c r="G18" i="76"/>
  <c r="F18" i="76"/>
  <c r="F21" i="93"/>
  <c r="G21" i="93"/>
  <c r="G18" i="93"/>
  <c r="F18" i="93"/>
  <c r="F19" i="93"/>
  <c r="G19" i="93"/>
  <c r="G20" i="93"/>
  <c r="F20" i="93"/>
  <c r="G21" i="79"/>
  <c r="F21" i="79"/>
  <c r="E21" i="74"/>
  <c r="D21" i="74"/>
  <c r="F20" i="74"/>
  <c r="G20" i="74"/>
  <c r="G18" i="74"/>
  <c r="F18" i="74"/>
  <c r="G19" i="74"/>
  <c r="F19" i="74"/>
  <c r="F19" i="63"/>
  <c r="G19" i="63"/>
  <c r="G20" i="63"/>
  <c r="F20" i="63"/>
  <c r="G17" i="73"/>
  <c r="F17" i="73"/>
  <c r="F19" i="73"/>
  <c r="G19" i="73"/>
  <c r="G18" i="72"/>
  <c r="F18" i="72"/>
  <c r="G21" i="62"/>
  <c r="F21" i="62"/>
  <c r="D20" i="54"/>
  <c r="E20" i="54"/>
  <c r="F18" i="54"/>
  <c r="G18" i="54"/>
  <c r="E21" i="54"/>
  <c r="D21" i="54"/>
  <c r="E19" i="54"/>
  <c r="D19" i="54"/>
  <c r="G20" i="52"/>
  <c r="F20" i="52"/>
  <c r="F21" i="52"/>
  <c r="G21" i="52"/>
  <c r="G19" i="50"/>
  <c r="F19" i="50"/>
  <c r="F21" i="106"/>
  <c r="G21" i="106"/>
  <c r="G18" i="106"/>
  <c r="F18" i="106"/>
  <c r="F20" i="106"/>
  <c r="G20" i="106"/>
  <c r="G19" i="49"/>
  <c r="F19" i="49"/>
  <c r="G20" i="49"/>
  <c r="F20" i="49"/>
  <c r="G18" i="49"/>
  <c r="F18" i="49"/>
  <c r="G17" i="51"/>
  <c r="F17" i="51"/>
  <c r="G20" i="51"/>
  <c r="F20" i="51"/>
  <c r="G19" i="51"/>
  <c r="F19" i="51"/>
  <c r="G19" i="48"/>
  <c r="F19" i="48"/>
  <c r="F18" i="48"/>
  <c r="G18" i="48"/>
  <c r="F20" i="48"/>
  <c r="G20" i="48"/>
  <c r="F19" i="46"/>
  <c r="G19" i="46"/>
  <c r="F20" i="46"/>
  <c r="G20" i="46"/>
  <c r="E21" i="46"/>
  <c r="D21" i="46"/>
  <c r="D20" i="45"/>
  <c r="E20" i="45"/>
  <c r="D19" i="45"/>
  <c r="E19" i="45"/>
  <c r="F17" i="45"/>
  <c r="G17" i="45"/>
  <c r="F18" i="45"/>
  <c r="G18" i="45"/>
  <c r="D19" i="44"/>
  <c r="E19" i="44"/>
  <c r="G25" i="44"/>
  <c r="G26" i="47" s="1"/>
  <c r="F48" i="44"/>
  <c r="F45" i="44" s="1"/>
  <c r="F25" i="44" s="1"/>
  <c r="G38" i="44" s="1"/>
  <c r="D21" i="44"/>
  <c r="E21" i="44"/>
  <c r="E22" i="47" s="1"/>
  <c r="D20" i="44"/>
  <c r="D21" i="47" s="1"/>
  <c r="E20" i="44"/>
  <c r="F18" i="44"/>
  <c r="G18" i="44"/>
  <c r="E19" i="43"/>
  <c r="D19" i="43"/>
  <c r="G18" i="43"/>
  <c r="F18" i="43"/>
  <c r="D21" i="43"/>
  <c r="E21" i="43"/>
  <c r="G20" i="43"/>
  <c r="F20" i="43"/>
  <c r="G19" i="42"/>
  <c r="F19" i="42"/>
  <c r="G21" i="42"/>
  <c r="F21" i="42"/>
  <c r="F20" i="42"/>
  <c r="G20" i="42"/>
  <c r="G21" i="37"/>
  <c r="F21" i="37"/>
  <c r="F18" i="37"/>
  <c r="G18" i="37"/>
  <c r="G19" i="37"/>
  <c r="F19" i="37"/>
  <c r="D20" i="37"/>
  <c r="E20" i="37"/>
  <c r="F20" i="89"/>
  <c r="G20" i="89"/>
  <c r="E19" i="36"/>
  <c r="D19" i="36"/>
  <c r="G18" i="36"/>
  <c r="F18" i="36"/>
  <c r="F21" i="36"/>
  <c r="G21" i="36"/>
  <c r="F20" i="36"/>
  <c r="G20" i="36"/>
  <c r="E20" i="35"/>
  <c r="D20" i="35"/>
  <c r="D18" i="35"/>
  <c r="E18" i="35"/>
  <c r="G19" i="35"/>
  <c r="F19" i="35"/>
  <c r="G21" i="35"/>
  <c r="F21" i="35"/>
  <c r="G20" i="34"/>
  <c r="F20" i="34"/>
  <c r="G17" i="34"/>
  <c r="F17" i="34"/>
  <c r="F19" i="34"/>
  <c r="G19" i="34"/>
  <c r="F20" i="32"/>
  <c r="G20" i="32"/>
  <c r="F19" i="32"/>
  <c r="G19" i="32"/>
  <c r="G21" i="32"/>
  <c r="F21" i="32"/>
  <c r="F18" i="32"/>
  <c r="G18" i="32"/>
  <c r="E21" i="31"/>
  <c r="D21" i="31"/>
  <c r="G19" i="31"/>
  <c r="F19" i="31"/>
  <c r="D20" i="31"/>
  <c r="E20" i="31"/>
  <c r="F18" i="31"/>
  <c r="G18" i="31"/>
  <c r="F18" i="30"/>
  <c r="G18" i="30"/>
  <c r="F20" i="30"/>
  <c r="G20" i="30"/>
  <c r="F19" i="30"/>
  <c r="G19" i="30"/>
  <c r="D19" i="105"/>
  <c r="E19" i="105"/>
  <c r="E21" i="105"/>
  <c r="D21" i="105"/>
  <c r="G18" i="105"/>
  <c r="F18" i="105"/>
  <c r="D19" i="29"/>
  <c r="E19" i="29"/>
  <c r="F21" i="29"/>
  <c r="G21" i="29"/>
  <c r="G20" i="29"/>
  <c r="F20" i="29"/>
  <c r="F18" i="29"/>
  <c r="G18" i="29"/>
  <c r="G19" i="25"/>
  <c r="F19" i="25"/>
  <c r="F26" i="47"/>
  <c r="F21" i="25"/>
  <c r="G21" i="25"/>
  <c r="G19" i="24"/>
  <c r="F19" i="24"/>
  <c r="G18" i="24"/>
  <c r="F18" i="24"/>
  <c r="F21" i="24"/>
  <c r="G21" i="24"/>
  <c r="F21" i="23"/>
  <c r="G21" i="23"/>
  <c r="G19" i="23"/>
  <c r="F19" i="23"/>
  <c r="F20" i="23"/>
  <c r="G20" i="23"/>
  <c r="E18" i="22"/>
  <c r="D18" i="22"/>
  <c r="E21" i="22"/>
  <c r="D21" i="22"/>
  <c r="F19" i="22"/>
  <c r="G19" i="22"/>
  <c r="G20" i="22"/>
  <c r="F20" i="22"/>
  <c r="G19" i="21"/>
  <c r="F19" i="21"/>
  <c r="G20" i="21"/>
  <c r="F20" i="21"/>
  <c r="G21" i="20"/>
  <c r="F21" i="20"/>
  <c r="G18" i="20"/>
  <c r="F18" i="20"/>
  <c r="F20" i="20"/>
  <c r="G20" i="20"/>
  <c r="G18" i="19"/>
  <c r="F18" i="19"/>
  <c r="F21" i="19"/>
  <c r="G21" i="19"/>
  <c r="D21" i="18"/>
  <c r="E21" i="18"/>
  <c r="G20" i="18"/>
  <c r="F20" i="18"/>
  <c r="G18" i="18"/>
  <c r="F18" i="18"/>
  <c r="G18" i="17"/>
  <c r="F18" i="17"/>
  <c r="G19" i="17"/>
  <c r="F19" i="17"/>
  <c r="G21" i="15"/>
  <c r="F21" i="15"/>
  <c r="F19" i="15"/>
  <c r="G19" i="15"/>
  <c r="F18" i="15"/>
  <c r="G18" i="15"/>
  <c r="F20" i="15"/>
  <c r="G20" i="15"/>
  <c r="F18" i="14"/>
  <c r="G18" i="14"/>
  <c r="G19" i="14"/>
  <c r="F19" i="14"/>
  <c r="D21" i="14"/>
  <c r="E21" i="14"/>
  <c r="F20" i="14"/>
  <c r="G20" i="14"/>
  <c r="E21" i="13"/>
  <c r="D21" i="13"/>
  <c r="G20" i="13"/>
  <c r="F20" i="13"/>
  <c r="D19" i="13"/>
  <c r="E19" i="13"/>
  <c r="G18" i="13"/>
  <c r="F18" i="13"/>
  <c r="G19" i="12"/>
  <c r="F19" i="12"/>
  <c r="E21" i="47"/>
  <c r="F28" i="47"/>
  <c r="F33" i="47" s="1"/>
  <c r="F18" i="12"/>
  <c r="G18" i="12"/>
  <c r="E20" i="47"/>
  <c r="G21" i="12"/>
  <c r="F21" i="12"/>
  <c r="F18" i="11"/>
  <c r="G18" i="11"/>
  <c r="G19" i="11"/>
  <c r="F19" i="11"/>
  <c r="G21" i="11"/>
  <c r="F21" i="11"/>
  <c r="G18" i="10"/>
  <c r="F18" i="10"/>
  <c r="F21" i="10"/>
  <c r="G21" i="10"/>
  <c r="F20" i="8"/>
  <c r="G20" i="8"/>
  <c r="G21" i="8"/>
  <c r="F21" i="8"/>
  <c r="E19" i="47"/>
  <c r="G19" i="8"/>
  <c r="F19" i="8"/>
  <c r="G19" i="9"/>
  <c r="F19" i="9"/>
  <c r="F21" i="9"/>
  <c r="G21" i="9"/>
  <c r="F19" i="7"/>
  <c r="G19" i="7"/>
  <c r="G20" i="7"/>
  <c r="F20" i="7"/>
  <c r="G18" i="7"/>
  <c r="F18" i="7"/>
  <c r="D19" i="47"/>
  <c r="G21" i="7"/>
  <c r="F21" i="7"/>
  <c r="F18" i="6"/>
  <c r="G18" i="6"/>
  <c r="G20" i="6"/>
  <c r="F20" i="6"/>
  <c r="G19" i="6"/>
  <c r="F19" i="6"/>
  <c r="G17" i="5"/>
  <c r="F17" i="5"/>
  <c r="F18" i="5"/>
  <c r="G18" i="5"/>
  <c r="F21" i="4"/>
  <c r="G21" i="4"/>
  <c r="D20" i="47"/>
  <c r="F19" i="4"/>
  <c r="G19" i="4"/>
  <c r="F18" i="111"/>
  <c r="G18" i="111"/>
  <c r="F19" i="111"/>
  <c r="G19" i="111"/>
  <c r="F20" i="111"/>
  <c r="G20" i="111"/>
  <c r="G21" i="111"/>
  <c r="F21" i="111"/>
  <c r="G18" i="3"/>
  <c r="F18" i="3"/>
  <c r="F21" i="3"/>
  <c r="G21" i="3"/>
  <c r="G33" i="47"/>
  <c r="G20" i="3"/>
  <c r="F20" i="3"/>
  <c r="G18" i="2"/>
  <c r="F18" i="2"/>
  <c r="G21" i="2"/>
  <c r="G19" i="2"/>
  <c r="F19" i="2"/>
  <c r="G20" i="2"/>
  <c r="F20" i="2"/>
  <c r="G20" i="1"/>
  <c r="F20" i="1"/>
  <c r="G18" i="1"/>
  <c r="G20" i="119" l="1"/>
  <c r="F20" i="119"/>
  <c r="F19" i="119"/>
  <c r="G19" i="119"/>
  <c r="G19" i="108"/>
  <c r="F19" i="108"/>
  <c r="G20" i="97"/>
  <c r="F20" i="97"/>
  <c r="G21" i="96"/>
  <c r="F21" i="96"/>
  <c r="F20" i="81"/>
  <c r="G20" i="81"/>
  <c r="F20" i="68"/>
  <c r="G20" i="68"/>
  <c r="G17" i="67"/>
  <c r="F17" i="67"/>
  <c r="F20" i="67"/>
  <c r="G20" i="67"/>
  <c r="G18" i="100"/>
  <c r="F18" i="100"/>
  <c r="F20" i="100"/>
  <c r="G20" i="100"/>
  <c r="G21" i="100"/>
  <c r="F21" i="100"/>
  <c r="F21" i="74"/>
  <c r="G21" i="74"/>
  <c r="F21" i="54"/>
  <c r="G21" i="54"/>
  <c r="F19" i="54"/>
  <c r="G19" i="54"/>
  <c r="G20" i="54"/>
  <c r="F20" i="54"/>
  <c r="G21" i="46"/>
  <c r="F21" i="46"/>
  <c r="G19" i="45"/>
  <c r="F19" i="45"/>
  <c r="F20" i="45"/>
  <c r="G20" i="45"/>
  <c r="G21" i="44"/>
  <c r="F21" i="44"/>
  <c r="G20" i="44"/>
  <c r="F20" i="44"/>
  <c r="F19" i="44"/>
  <c r="G19" i="44"/>
  <c r="F21" i="43"/>
  <c r="G21" i="43"/>
  <c r="F19" i="43"/>
  <c r="G19" i="43"/>
  <c r="G20" i="37"/>
  <c r="F20" i="37"/>
  <c r="G19" i="36"/>
  <c r="F19" i="36"/>
  <c r="G18" i="35"/>
  <c r="F18" i="35"/>
  <c r="G20" i="35"/>
  <c r="F20" i="35"/>
  <c r="F21" i="47" s="1"/>
  <c r="G20" i="31"/>
  <c r="F20" i="31"/>
  <c r="G21" i="31"/>
  <c r="F21" i="31"/>
  <c r="F21" i="105"/>
  <c r="G21" i="105"/>
  <c r="F19" i="105"/>
  <c r="G19" i="105"/>
  <c r="F19" i="29"/>
  <c r="G19" i="29"/>
  <c r="F21" i="22"/>
  <c r="G21" i="22"/>
  <c r="F18" i="22"/>
  <c r="G18" i="22"/>
  <c r="G19" i="47" s="1"/>
  <c r="F19" i="47"/>
  <c r="F21" i="18"/>
  <c r="G21" i="18"/>
  <c r="F21" i="14"/>
  <c r="G21" i="14"/>
  <c r="F20" i="47"/>
  <c r="G19" i="13"/>
  <c r="F19" i="13"/>
  <c r="G20" i="47"/>
  <c r="G21" i="13"/>
  <c r="G22" i="47" s="1"/>
  <c r="F21" i="13"/>
  <c r="D22" i="47"/>
  <c r="F22" i="47"/>
  <c r="G21" i="47"/>
</calcChain>
</file>

<file path=xl/sharedStrings.xml><?xml version="1.0" encoding="utf-8"?>
<sst xmlns="http://schemas.openxmlformats.org/spreadsheetml/2006/main" count="7865" uniqueCount="627">
  <si>
    <t>ОТЧЕТ УПРАВЛЯЮЩЕЙ ОРГАНИЗАЦИИ</t>
  </si>
  <si>
    <t>1. Общие сведения о многоквартирном доме</t>
  </si>
  <si>
    <t>Адрес многоквартирного дома:</t>
  </si>
  <si>
    <t>Общая площадь многоквартирного дома:</t>
  </si>
  <si>
    <t xml:space="preserve"> в том числе:</t>
  </si>
  <si>
    <t>а) жилых помещений (общая площадь квартир):</t>
  </si>
  <si>
    <t xml:space="preserve">                                        </t>
  </si>
  <si>
    <t>б) нежилых помещений :</t>
  </si>
  <si>
    <t xml:space="preserve">2. Отчет по затратам на содержание, ремонт </t>
  </si>
  <si>
    <t>общего имущества в многоквартирном доме и коммунальные услуги</t>
  </si>
  <si>
    <t>за отчетный период</t>
  </si>
  <si>
    <t>№ п/п</t>
  </si>
  <si>
    <t>Наименование</t>
  </si>
  <si>
    <t>Остаток средств на 01.01.2011 г., руб.</t>
  </si>
  <si>
    <t>1.</t>
  </si>
  <si>
    <t>Содержание общего имущества , в том числе:</t>
  </si>
  <si>
    <t>1.1.</t>
  </si>
  <si>
    <t>Управление многоквартирным домом</t>
  </si>
  <si>
    <t>1.2.</t>
  </si>
  <si>
    <t>Содержание конструктивных элементов</t>
  </si>
  <si>
    <t>1.3.</t>
  </si>
  <si>
    <t>Содержание инженерных сетей</t>
  </si>
  <si>
    <t>1.4.</t>
  </si>
  <si>
    <t>Содержание придомовой территории</t>
  </si>
  <si>
    <t>1.5.</t>
  </si>
  <si>
    <t>2.</t>
  </si>
  <si>
    <t>Содержание лифтов</t>
  </si>
  <si>
    <t>3.</t>
  </si>
  <si>
    <t>Сбор, вывоз ТБО (ЖБО)</t>
  </si>
  <si>
    <t>4.</t>
  </si>
  <si>
    <t>Содержание мусоропроводов</t>
  </si>
  <si>
    <t>5.</t>
  </si>
  <si>
    <t>Текущий ремонт общего имущества</t>
  </si>
  <si>
    <t xml:space="preserve">6. </t>
  </si>
  <si>
    <t>Капитальный ремонт общего имущества</t>
  </si>
  <si>
    <t>7.</t>
  </si>
  <si>
    <t>Коммунальные услуги, в том числе:</t>
  </si>
  <si>
    <t>7.1.</t>
  </si>
  <si>
    <t>Холодное водоснабжение</t>
  </si>
  <si>
    <t>7.2.</t>
  </si>
  <si>
    <t>Горячее водоснабжение</t>
  </si>
  <si>
    <t>7.4.</t>
  </si>
  <si>
    <t>7.3.</t>
  </si>
  <si>
    <t>Центральное отопление</t>
  </si>
  <si>
    <t>3. Отчет о фактически выполненных работах по ремонту общего имущества в многоквартирном доме на основании принятого решения собственниками помещений</t>
  </si>
  <si>
    <t>Виды услуг (работ)</t>
  </si>
  <si>
    <t>Затраты за отчетный период, руб.</t>
  </si>
  <si>
    <t xml:space="preserve">1. </t>
  </si>
  <si>
    <t>Текущий ремонт</t>
  </si>
  <si>
    <t>__________________</t>
  </si>
  <si>
    <t>В целях контроля отчет предоставлен: __________________________________________</t>
  </si>
  <si>
    <t>(Ф.И.О. уполномоченного лица, определенного решением общего собрания)</t>
  </si>
  <si>
    <t>ООО "Техно-Р"</t>
  </si>
  <si>
    <t xml:space="preserve">      ул. Телевизионная д. 2 а    </t>
  </si>
  <si>
    <t xml:space="preserve">           2419,10 кв.м          </t>
  </si>
  <si>
    <t>Директор ООО "Техно-Р"</t>
  </si>
  <si>
    <t>Начислено в 2011 г., руб.</t>
  </si>
  <si>
    <t>Поступило средств за 2011 г., руб.</t>
  </si>
  <si>
    <t>Выполнены работы за 2011 г., руб.</t>
  </si>
  <si>
    <t>Остаток средств на 01.01.2012 г., руб.</t>
  </si>
  <si>
    <t>А.Е. Артамонов</t>
  </si>
  <si>
    <t>Тариф, руб. на ед. изм.</t>
  </si>
  <si>
    <t>Капитальный ремонт</t>
  </si>
  <si>
    <t>Электроэнерния МОП</t>
  </si>
  <si>
    <t>Итого за жилищные и коммунальные услуги:</t>
  </si>
  <si>
    <t>перед собственниками помещений о выполнении договора управления многоквартирным домом за 2012 год</t>
  </si>
  <si>
    <t>"      "                              2013 год</t>
  </si>
  <si>
    <t>Смена труб ГВС и запорной арматуры стояка в подвале</t>
  </si>
  <si>
    <t>Смена полотенцесушителя (кв. 45)</t>
  </si>
  <si>
    <t>Смена трубопровода</t>
  </si>
  <si>
    <t>Замена задвижки ц/о</t>
  </si>
  <si>
    <t>Задолжен-ность населения за 2011 г.</t>
  </si>
  <si>
    <t>ИТОГО за жилищныеуслуги:</t>
  </si>
  <si>
    <t>1.6.</t>
  </si>
  <si>
    <t>1.7.</t>
  </si>
  <si>
    <t>Содержание и ремонт общего имущества</t>
  </si>
  <si>
    <t>Начислено в 2012 г., руб.</t>
  </si>
  <si>
    <t>Поступило средств за 2012 г., руб.</t>
  </si>
  <si>
    <t>Выполнены работы за 2012 г., руб.</t>
  </si>
  <si>
    <t>Задолжен-ность населения за 2012 г.</t>
  </si>
  <si>
    <t>Ремонт общего имущества</t>
  </si>
  <si>
    <t>1.8.</t>
  </si>
  <si>
    <t>1.9.</t>
  </si>
  <si>
    <t>1.10.</t>
  </si>
  <si>
    <t>Холодное водоснабжение и водоотведение</t>
  </si>
  <si>
    <t>Горячее водоснабжение и водоотведение</t>
  </si>
  <si>
    <t>1.11.</t>
  </si>
  <si>
    <t>1.12.</t>
  </si>
  <si>
    <t>1.13.</t>
  </si>
  <si>
    <t>Уборка мест общего пользования</t>
  </si>
  <si>
    <t>Справочно:</t>
  </si>
  <si>
    <t>Нежилые помещения</t>
  </si>
  <si>
    <t>площадь</t>
  </si>
  <si>
    <t>тариф</t>
  </si>
  <si>
    <t>начислено</t>
  </si>
  <si>
    <t>оплачено</t>
  </si>
  <si>
    <t>долг</t>
  </si>
  <si>
    <t>Обслуживание КПУ</t>
  </si>
  <si>
    <t>Кол-во</t>
  </si>
  <si>
    <t>Ед. изм.</t>
  </si>
  <si>
    <t>шт</t>
  </si>
  <si>
    <t>Содержание ОИ -эл/эн</t>
  </si>
  <si>
    <t>м3</t>
  </si>
  <si>
    <t>м2</t>
  </si>
  <si>
    <t>Мусоропровод</t>
  </si>
  <si>
    <t>Электроэнергия ипу, в т.ч. содерж. ОИ эл/эн</t>
  </si>
  <si>
    <t>3. Отчет о фактически выполненных работах по ремонту общего имущества в многоквартирном доме на основании принятого решения 
собственниками помещений</t>
  </si>
  <si>
    <t>Налог 1%</t>
  </si>
  <si>
    <t>Налог 1% от суммы оплаты</t>
  </si>
  <si>
    <t>Задолженность населения за 2019г.</t>
  </si>
  <si>
    <t>гор вода=28.25+(2104,62*0,0674)</t>
  </si>
  <si>
    <t>6.</t>
  </si>
  <si>
    <t>8.</t>
  </si>
  <si>
    <t>Доп. услуги</t>
  </si>
  <si>
    <t>8.1.</t>
  </si>
  <si>
    <t>8.2.</t>
  </si>
  <si>
    <t>8.3.</t>
  </si>
  <si>
    <t>8.4.</t>
  </si>
  <si>
    <t>Вывоз тбо</t>
  </si>
  <si>
    <t>Дополнительные услуги (уборка моп)</t>
  </si>
  <si>
    <t>накопления по октябрь 2020</t>
  </si>
  <si>
    <t>Дополнительные услуги (уборка МОП)</t>
  </si>
  <si>
    <t>без нежилого</t>
  </si>
  <si>
    <t xml:space="preserve">7. </t>
  </si>
  <si>
    <t>Электроэнергия, содержание ОИ -эл/эн</t>
  </si>
  <si>
    <t>Электроэнергия, электроэнергия на СОИ</t>
  </si>
  <si>
    <t>Допуслуги</t>
  </si>
  <si>
    <t xml:space="preserve">Ремонт общего имущества </t>
  </si>
  <si>
    <t>Допуслуги (уборка МОП)</t>
  </si>
  <si>
    <t>Доп.услуги (уборка МОП)</t>
  </si>
  <si>
    <t>8.0.</t>
  </si>
  <si>
    <t xml:space="preserve">Размещение оборудования операторами связи </t>
  </si>
  <si>
    <t>9.</t>
  </si>
  <si>
    <t>Размещение оборудования операторами связи</t>
  </si>
  <si>
    <t>справочно:</t>
  </si>
  <si>
    <t xml:space="preserve">Горячее водоснабжение </t>
  </si>
  <si>
    <t xml:space="preserve">Горячее водоснабжение  </t>
  </si>
  <si>
    <t>м</t>
  </si>
  <si>
    <t>Доп. Услуги (уборка МОП)</t>
  </si>
  <si>
    <t>Доп (уборка МОП)</t>
  </si>
  <si>
    <t>Размещение оборудования провайдерами</t>
  </si>
  <si>
    <t>9.0.</t>
  </si>
  <si>
    <t>час</t>
  </si>
  <si>
    <t>Остаток средств на проведение текущего ремонта по состоянию на 31.01.2024 г.</t>
  </si>
  <si>
    <t>Дополнительные услуги (уборка МОП )</t>
  </si>
  <si>
    <t>Допуслуги (Уборка МОП)</t>
  </si>
  <si>
    <t>6.1.</t>
  </si>
  <si>
    <t>6.2.</t>
  </si>
  <si>
    <t>6.3.</t>
  </si>
  <si>
    <t>6.4.</t>
  </si>
  <si>
    <t>\</t>
  </si>
  <si>
    <t xml:space="preserve">5. </t>
  </si>
  <si>
    <t>ООО УК "ЖРЭУ-6 г.Калуги"</t>
  </si>
  <si>
    <t xml:space="preserve">          4833,95кв.м          </t>
  </si>
  <si>
    <t>Допуслуги (Уборка мест общего пользования)</t>
  </si>
  <si>
    <t xml:space="preserve">      ул. В.Восстания д. 1</t>
  </si>
  <si>
    <r>
      <t xml:space="preserve">         </t>
    </r>
    <r>
      <rPr>
        <u/>
        <sz val="11"/>
        <color indexed="10"/>
        <rFont val="Times New Roman"/>
        <family val="1"/>
        <charset val="204"/>
      </rPr>
      <t xml:space="preserve">  2299,4 кв.м          </t>
    </r>
  </si>
  <si>
    <t xml:space="preserve">           900,8 кв.м          </t>
  </si>
  <si>
    <t xml:space="preserve">   ул. Воронина  д. 9  </t>
  </si>
  <si>
    <t xml:space="preserve">   ул. Герцена  д. 16а </t>
  </si>
  <si>
    <t xml:space="preserve">           299,2 кв.м          </t>
  </si>
  <si>
    <t xml:space="preserve">      ул. Герцена д. 17</t>
  </si>
  <si>
    <t xml:space="preserve">      ул. Баррикад  д. 2</t>
  </si>
  <si>
    <t xml:space="preserve">      ул. Герцена д. 3</t>
  </si>
  <si>
    <t xml:space="preserve">6542  кв.м          </t>
  </si>
  <si>
    <t>ул. Герцена  д. 6</t>
  </si>
  <si>
    <r>
      <t xml:space="preserve">          </t>
    </r>
    <r>
      <rPr>
        <u/>
        <sz val="11"/>
        <color indexed="10"/>
        <rFont val="Times New Roman"/>
        <family val="1"/>
        <charset val="204"/>
      </rPr>
      <t xml:space="preserve"> 3903,6 кв.м    </t>
    </r>
    <r>
      <rPr>
        <u/>
        <sz val="11"/>
        <rFont val="Times New Roman"/>
        <family val="1"/>
        <charset val="204"/>
      </rPr>
      <t xml:space="preserve">      </t>
    </r>
  </si>
  <si>
    <t>Содержание мусоропровода</t>
  </si>
  <si>
    <t xml:space="preserve">      ул. Герцена  д. 9а</t>
  </si>
  <si>
    <t xml:space="preserve">           486,3 кв.м          </t>
  </si>
  <si>
    <t xml:space="preserve">      2-ой пер. Интернациональный  д. 10</t>
  </si>
  <si>
    <t xml:space="preserve">          4009,5 кв.м          </t>
  </si>
  <si>
    <t xml:space="preserve">      ул. Огарева  д. 3</t>
  </si>
  <si>
    <t xml:space="preserve">        3467,1 кв.м          </t>
  </si>
  <si>
    <t xml:space="preserve">      ул. Огарева д. 34а</t>
  </si>
  <si>
    <t>не включена</t>
  </si>
  <si>
    <t xml:space="preserve">      ул. Огарева  д. 4</t>
  </si>
  <si>
    <t xml:space="preserve">           3500 кв.м          </t>
  </si>
  <si>
    <t xml:space="preserve">      ул. Огарева д. 40 корп.1</t>
  </si>
  <si>
    <t xml:space="preserve">          2655,9 кв.м          </t>
  </si>
  <si>
    <t xml:space="preserve">      ул. Огарева д. 40 корп.2   </t>
  </si>
  <si>
    <t xml:space="preserve">           3846,1 кв.м          </t>
  </si>
  <si>
    <t xml:space="preserve">      ул. Огарева  д. 6 </t>
  </si>
  <si>
    <t xml:space="preserve">           3963,6 кв.м          </t>
  </si>
  <si>
    <t xml:space="preserve">      ул. Пролетарская д. 21 </t>
  </si>
  <si>
    <t xml:space="preserve">         8480,5 кв.м          </t>
  </si>
  <si>
    <t>ул. Пролетарская д. 41</t>
  </si>
  <si>
    <t xml:space="preserve">         4351,6 кв.м          </t>
  </si>
  <si>
    <t xml:space="preserve">     ул.Пролетарская  д. 44  </t>
  </si>
  <si>
    <t xml:space="preserve">           5370,6 кв.м          </t>
  </si>
  <si>
    <t xml:space="preserve">      ул.Пролетарская д. 90 </t>
  </si>
  <si>
    <t xml:space="preserve">          1108,8 кв.м          </t>
  </si>
  <si>
    <t xml:space="preserve">      ул. Пухова д. 1</t>
  </si>
  <si>
    <t xml:space="preserve">          3348,8 кв.м          </t>
  </si>
  <si>
    <t>Дополнительные услуги (уборка мест общего пользования)</t>
  </si>
  <si>
    <t xml:space="preserve">      ул. Пухова д. 19  </t>
  </si>
  <si>
    <t xml:space="preserve">         4541,1 кв.м          </t>
  </si>
  <si>
    <t xml:space="preserve">      ул. Пухова д. 3</t>
  </si>
  <si>
    <t xml:space="preserve">          1796,2 кв.м          </t>
  </si>
  <si>
    <t xml:space="preserve">      ул. Рылеева д. 1/12</t>
  </si>
  <si>
    <t xml:space="preserve">          3342,7 кв.м          </t>
  </si>
  <si>
    <t xml:space="preserve">      ул. Рылеева  д. 18б</t>
  </si>
  <si>
    <t xml:space="preserve">           562,7 кв.м          </t>
  </si>
  <si>
    <t xml:space="preserve">      ул. Рылеева д. 19</t>
  </si>
  <si>
    <t xml:space="preserve">           3433,5 кв.м          </t>
  </si>
  <si>
    <t xml:space="preserve">      ул. Рылеева  д. 6</t>
  </si>
  <si>
    <t xml:space="preserve">          7072,3 кв.м          </t>
  </si>
  <si>
    <t xml:space="preserve">      ул. Суворова  д. 13 </t>
  </si>
  <si>
    <t xml:space="preserve">           3372,1 кв.м          </t>
  </si>
  <si>
    <t xml:space="preserve">      ул. Суворова  д. 15</t>
  </si>
  <si>
    <t xml:space="preserve">           3325,1 кв.м          </t>
  </si>
  <si>
    <t xml:space="preserve">      ул. Суворова  д. 17 </t>
  </si>
  <si>
    <t xml:space="preserve">          3378 кв.м          </t>
  </si>
  <si>
    <t xml:space="preserve">  ул. Суворова д. 63 корп. 1    </t>
  </si>
  <si>
    <t xml:space="preserve">          2329,9 кв.м          </t>
  </si>
  <si>
    <t>ул. Суворова д. 69</t>
  </si>
  <si>
    <t xml:space="preserve">          7686,7 кв.м          </t>
  </si>
  <si>
    <t xml:space="preserve">      ул. Суворова д. 9</t>
  </si>
  <si>
    <t>4793,1 кв.м.</t>
  </si>
  <si>
    <t>ул. Суворова д. 93/26</t>
  </si>
  <si>
    <t xml:space="preserve">           362,2 кв.м          </t>
  </si>
  <si>
    <t xml:space="preserve">      ул. Суворова д. 95   </t>
  </si>
  <si>
    <t xml:space="preserve">           3357,9 кв.м          </t>
  </si>
  <si>
    <t xml:space="preserve">      ул. Суворова д. 44</t>
  </si>
  <si>
    <t xml:space="preserve">          2021,2 кв.м          </t>
  </si>
  <si>
    <t xml:space="preserve">      ул. Суворова  д. 38</t>
  </si>
  <si>
    <t xml:space="preserve">          4155,7 кв.м          </t>
  </si>
  <si>
    <t xml:space="preserve">      ул. Большевиков д. 3 </t>
  </si>
  <si>
    <t xml:space="preserve">          4712,6 кв.м          </t>
  </si>
  <si>
    <t xml:space="preserve">      ул. Суворова  д. 58    </t>
  </si>
  <si>
    <t xml:space="preserve">      ул. Суворова д. 46</t>
  </si>
  <si>
    <t xml:space="preserve">          2156,4 кв.м          </t>
  </si>
  <si>
    <t xml:space="preserve">      пер. Труда  д. 4 корп.2</t>
  </si>
  <si>
    <t xml:space="preserve">         283,3 кв.м          </t>
  </si>
  <si>
    <t xml:space="preserve">      ул. Труда д. 16</t>
  </si>
  <si>
    <t xml:space="preserve">          3329,1 кв.м          </t>
  </si>
  <si>
    <t xml:space="preserve">      ул. Труда д. 24    </t>
  </si>
  <si>
    <t xml:space="preserve">          4268,2 кв.м          </t>
  </si>
  <si>
    <t xml:space="preserve">      ул. Труда  д. 26</t>
  </si>
  <si>
    <t xml:space="preserve">        4229,6   кв.м          </t>
  </si>
  <si>
    <t xml:space="preserve">      ул. Труда  д. 3а</t>
  </si>
  <si>
    <t xml:space="preserve">         370,8 кв.м          </t>
  </si>
  <si>
    <t xml:space="preserve">      ул. Труда д. 5а корп.1</t>
  </si>
  <si>
    <t xml:space="preserve">          724,7 кв.м          </t>
  </si>
  <si>
    <t>в том числе нежилые помещения</t>
  </si>
  <si>
    <t>72,2 кв.м.</t>
  </si>
  <si>
    <t>остаток  на 31.01.24 за минусом налога с дохода в размере 15%</t>
  </si>
  <si>
    <t>60,2 кв.м.</t>
  </si>
  <si>
    <t>857,1 кв.м.</t>
  </si>
  <si>
    <t>221,8 кв.м.</t>
  </si>
  <si>
    <t>113,5 кв.м.</t>
  </si>
  <si>
    <t>100,4 кв.м.</t>
  </si>
  <si>
    <t>в том числе площадь нежилых помещений</t>
  </si>
  <si>
    <t xml:space="preserve">          39,8 кв.м          </t>
  </si>
  <si>
    <t xml:space="preserve">           148,8 кв.м          </t>
  </si>
  <si>
    <t xml:space="preserve">          460,7 кв.м          </t>
  </si>
  <si>
    <t xml:space="preserve">           112,1 кв.м          </t>
  </si>
  <si>
    <t xml:space="preserve">          168,3 кв.м          </t>
  </si>
  <si>
    <t xml:space="preserve">         47,1 кв.м          </t>
  </si>
  <si>
    <t xml:space="preserve">          91,7 кв.м          </t>
  </si>
  <si>
    <t xml:space="preserve">           30,5 кв.м          </t>
  </si>
  <si>
    <t xml:space="preserve">          313,4 кв.м          </t>
  </si>
  <si>
    <t xml:space="preserve">          1128,5 кв.м          </t>
  </si>
  <si>
    <t xml:space="preserve">           181,4 кв.м          </t>
  </si>
  <si>
    <t xml:space="preserve">           3371,6 кв.м          </t>
  </si>
  <si>
    <t xml:space="preserve">          551,9 кв.м          </t>
  </si>
  <si>
    <t xml:space="preserve">         886,8 кв.м          </t>
  </si>
  <si>
    <t xml:space="preserve">         101,9 кв.м          </t>
  </si>
  <si>
    <t xml:space="preserve">      ул. Труда д. 5а корп.2</t>
  </si>
  <si>
    <t xml:space="preserve">      ул. Труда д. 6/1</t>
  </si>
  <si>
    <t>Доп.услуги (уборка мест общего пользования)</t>
  </si>
  <si>
    <t xml:space="preserve">      ул. Труда д. 9</t>
  </si>
  <si>
    <t xml:space="preserve">        722,6 кв.м          </t>
  </si>
  <si>
    <t xml:space="preserve">      ул. Воронина д. 16</t>
  </si>
  <si>
    <t xml:space="preserve">          440,9 кв.м          </t>
  </si>
  <si>
    <t xml:space="preserve">          150,7 кв.м          </t>
  </si>
  <si>
    <t xml:space="preserve">     пер. Яченский д.2</t>
  </si>
  <si>
    <t xml:space="preserve">           1600,1 кв.м          </t>
  </si>
  <si>
    <t xml:space="preserve">      ул. Рылеева д.3</t>
  </si>
  <si>
    <t>ООО  УК "ЖРЭУ-6 г.Калуги"</t>
  </si>
  <si>
    <t xml:space="preserve">           3070,1 кв.м          </t>
  </si>
  <si>
    <t xml:space="preserve">      ул.Ломоносова д. 1</t>
  </si>
  <si>
    <t xml:space="preserve">           4428 кв.м          </t>
  </si>
  <si>
    <t>Допуслуги (уборка мест общего пользования)</t>
  </si>
  <si>
    <t xml:space="preserve">           553 кв.м          </t>
  </si>
  <si>
    <t>ё</t>
  </si>
  <si>
    <t xml:space="preserve">      ул. Сворова д. 21</t>
  </si>
  <si>
    <t xml:space="preserve">           2277,3 кв.м          </t>
  </si>
  <si>
    <t xml:space="preserve">           67,5 кв.м          </t>
  </si>
  <si>
    <t xml:space="preserve">      ул.Суворова д. 21а</t>
  </si>
  <si>
    <t xml:space="preserve">          507,9 кв.м          </t>
  </si>
  <si>
    <t xml:space="preserve">      ул.Суворова д. 67</t>
  </si>
  <si>
    <t xml:space="preserve">           2648,6 кв.м          </t>
  </si>
  <si>
    <t xml:space="preserve">      ул.Труда д. 3</t>
  </si>
  <si>
    <t xml:space="preserve">           1253,4 кв.м          </t>
  </si>
  <si>
    <t xml:space="preserve">           189,8 кв.м          </t>
  </si>
  <si>
    <t xml:space="preserve">      ул. Труда д. 30</t>
  </si>
  <si>
    <t xml:space="preserve">           8417,3 кв.м          </t>
  </si>
  <si>
    <t xml:space="preserve">      ул.Труда д.32</t>
  </si>
  <si>
    <t xml:space="preserve">          7658,1 кв.м          </t>
  </si>
  <si>
    <t xml:space="preserve">      ул.Плеханова д. 3</t>
  </si>
  <si>
    <t xml:space="preserve">      ул.Труда д.14/2</t>
  </si>
  <si>
    <t xml:space="preserve"> 2759,6 кв.м          </t>
  </si>
  <si>
    <t xml:space="preserve"> 84,4 кв.м          </t>
  </si>
  <si>
    <t xml:space="preserve">      ул.Труда д.28</t>
  </si>
  <si>
    <t xml:space="preserve">6068,5 кв.м          </t>
  </si>
  <si>
    <t xml:space="preserve">      ул.Труда д.10</t>
  </si>
  <si>
    <t xml:space="preserve">          3164,3 кв.м          </t>
  </si>
  <si>
    <t xml:space="preserve">      ул.Пролетарская 39</t>
  </si>
  <si>
    <t xml:space="preserve">4406,5 кв.м          </t>
  </si>
  <si>
    <t xml:space="preserve">44,6 кв.м          </t>
  </si>
  <si>
    <t xml:space="preserve">      ул.Герцена д.2 дробь 8</t>
  </si>
  <si>
    <t xml:space="preserve">          1746,8 кв.м          </t>
  </si>
  <si>
    <t xml:space="preserve">      ул.Герцена д.4</t>
  </si>
  <si>
    <t xml:space="preserve">          108,4 кв.м          </t>
  </si>
  <si>
    <t xml:space="preserve">          3462 кв.м          </t>
  </si>
  <si>
    <t xml:space="preserve">      ул.Рылеева д.4</t>
  </si>
  <si>
    <t xml:space="preserve">          2684,6 кв.м          </t>
  </si>
  <si>
    <t xml:space="preserve">      ул.Плеханова д.5/1</t>
  </si>
  <si>
    <t xml:space="preserve">         3498,1 кв.м          </t>
  </si>
  <si>
    <t xml:space="preserve">         174,7 кв.м          </t>
  </si>
  <si>
    <t xml:space="preserve">      ул.Огарева д.9 / 7</t>
  </si>
  <si>
    <t xml:space="preserve">      пер.Труда д.4 корп.5</t>
  </si>
  <si>
    <t xml:space="preserve">          284,4 кв.м          </t>
  </si>
  <si>
    <t xml:space="preserve">      ул.Чичерина д.28</t>
  </si>
  <si>
    <t xml:space="preserve">         579,7 кв.м          </t>
  </si>
  <si>
    <t xml:space="preserve">      ул.Пухова д.7</t>
  </si>
  <si>
    <t xml:space="preserve">         4549,9 кв.м          </t>
  </si>
  <si>
    <t xml:space="preserve">      ул.Герцена д.17 корп.1</t>
  </si>
  <si>
    <t xml:space="preserve">   2888,9 кв.м          </t>
  </si>
  <si>
    <t xml:space="preserve">      ул.Огарева д.44</t>
  </si>
  <si>
    <t xml:space="preserve">   3832,9 кв.м          </t>
  </si>
  <si>
    <t xml:space="preserve">  16,8 кв.м          </t>
  </si>
  <si>
    <t xml:space="preserve">      ул.Плеханова д.11</t>
  </si>
  <si>
    <t xml:space="preserve">    4124,5 кв.м          </t>
  </si>
  <si>
    <t xml:space="preserve">   11,0 кв.м          </t>
  </si>
  <si>
    <t xml:space="preserve">      ул.Рылеева д.16</t>
  </si>
  <si>
    <t>2586,7 кв.м.</t>
  </si>
  <si>
    <t>184,4 кв.м.</t>
  </si>
  <si>
    <t>Уборка мест общегопользования</t>
  </si>
  <si>
    <t xml:space="preserve">      ул.Суворова д.11</t>
  </si>
  <si>
    <t xml:space="preserve">        3352,7 кв.м          </t>
  </si>
  <si>
    <t>ср.тариф</t>
  </si>
  <si>
    <t xml:space="preserve">      ул.Суворова д.19</t>
  </si>
  <si>
    <t xml:space="preserve">       3291,5 кв.м          </t>
  </si>
  <si>
    <t xml:space="preserve">       58,5 кв.м          </t>
  </si>
  <si>
    <t xml:space="preserve">      ул.Воронина д.23а</t>
  </si>
  <si>
    <t xml:space="preserve">       751,8 кв.м          </t>
  </si>
  <si>
    <t xml:space="preserve">       152 кв.м          </t>
  </si>
  <si>
    <t xml:space="preserve">      ул.Воронина д.13/52</t>
  </si>
  <si>
    <t xml:space="preserve">259,9 кв.м          </t>
  </si>
  <si>
    <t>Доп. Услуги (уборка моп )</t>
  </si>
  <si>
    <t xml:space="preserve">      ул.Рылеева д.14</t>
  </si>
  <si>
    <t xml:space="preserve">      ул.Воронина д.23</t>
  </si>
  <si>
    <t xml:space="preserve">460,3 кв.м          </t>
  </si>
  <si>
    <t>Доп. Услуги (уборка мест общего пользования)</t>
  </si>
  <si>
    <t xml:space="preserve">558,9 кв.м          </t>
  </si>
  <si>
    <t xml:space="preserve">      пер.Труда д. 4 корп.1</t>
  </si>
  <si>
    <t xml:space="preserve">      ул.Воронина д.21</t>
  </si>
  <si>
    <t xml:space="preserve">341,2 кв.м          </t>
  </si>
  <si>
    <t xml:space="preserve">60,3 кв.м          </t>
  </si>
  <si>
    <t xml:space="preserve">      ул.Плеханова д.12</t>
  </si>
  <si>
    <t xml:space="preserve">11390,26 кв.м          </t>
  </si>
  <si>
    <t xml:space="preserve">      ул.Труда д.18/1</t>
  </si>
  <si>
    <t xml:space="preserve">2770,8 кв.м          </t>
  </si>
  <si>
    <t xml:space="preserve">83,1 кв.м          </t>
  </si>
  <si>
    <t xml:space="preserve">      ул.Огарева д.42</t>
  </si>
  <si>
    <t xml:space="preserve">5679,3 кв.м          </t>
  </si>
  <si>
    <r>
      <t xml:space="preserve">          </t>
    </r>
    <r>
      <rPr>
        <u/>
        <sz val="11"/>
        <color indexed="10"/>
        <rFont val="Times New Roman"/>
        <family val="1"/>
        <charset val="204"/>
      </rPr>
      <t xml:space="preserve"> 419,6 кв.м       </t>
    </r>
    <r>
      <rPr>
        <u/>
        <sz val="11"/>
        <rFont val="Times New Roman"/>
        <family val="1"/>
        <charset val="204"/>
      </rPr>
      <t xml:space="preserve">   </t>
    </r>
  </si>
  <si>
    <t>125-140/квартира</t>
  </si>
  <si>
    <t>120-125/квартира</t>
  </si>
  <si>
    <t>Доп. Услуги (уборка МОП квартиры 4-45;77-90)</t>
  </si>
  <si>
    <t>Директор ООО  УК "ЖРЭУ-6 г.Калуги"</t>
  </si>
  <si>
    <t>п.м.</t>
  </si>
  <si>
    <t xml:space="preserve">      ул.Суворова д.119/38</t>
  </si>
  <si>
    <t xml:space="preserve">           4101,7 кв.м          </t>
  </si>
  <si>
    <t>изменено</t>
  </si>
  <si>
    <t>поверка прибора учета цо</t>
  </si>
  <si>
    <t>было</t>
  </si>
  <si>
    <t xml:space="preserve">Содержание общего имущества </t>
  </si>
  <si>
    <t>Начисление и оплата за обслуживание КПУ за 1 полугодие включена в содержание общего имущества</t>
  </si>
  <si>
    <t>Остаток средств на проведение текущего ремонта по состоянию на 31.01.2025 г.</t>
  </si>
  <si>
    <t>"      "                        2025 год</t>
  </si>
  <si>
    <t>"      "                   2025 год</t>
  </si>
  <si>
    <t>Остаток средств на проведение капитального ремонта по состоянию на 31.01.2025 г.</t>
  </si>
  <si>
    <t xml:space="preserve">       4814,69 кв.м          </t>
  </si>
  <si>
    <t xml:space="preserve">          1438 кв.м          </t>
  </si>
  <si>
    <t>результат</t>
  </si>
  <si>
    <t>Остаток средств на проведение текущего ремонта по состоянию на 31.01.2025г.</t>
  </si>
  <si>
    <t xml:space="preserve">   522,3 кв.м          </t>
  </si>
  <si>
    <t xml:space="preserve">   268,4 кв.м          </t>
  </si>
  <si>
    <t xml:space="preserve">742,3 кв.м          </t>
  </si>
  <si>
    <t xml:space="preserve">183,8 кв.м          </t>
  </si>
  <si>
    <t xml:space="preserve">121,2 кв.м          </t>
  </si>
  <si>
    <t>Вывоз тбо, ЖБО</t>
  </si>
  <si>
    <t xml:space="preserve">      ул.Суворова д.65</t>
  </si>
  <si>
    <t xml:space="preserve">7784,8 кв.м          </t>
  </si>
  <si>
    <t xml:space="preserve">8,6 кв.м          </t>
  </si>
  <si>
    <t xml:space="preserve">      ул.Труда д.22</t>
  </si>
  <si>
    <t xml:space="preserve">2842,4 кв.м          </t>
  </si>
  <si>
    <t xml:space="preserve">      ул.Кирова д.44а</t>
  </si>
  <si>
    <t xml:space="preserve">929,9 кв.м          </t>
  </si>
  <si>
    <t xml:space="preserve">      ул.Телевизионная д.20</t>
  </si>
  <si>
    <t xml:space="preserve">1311,9 кв.м          </t>
  </si>
  <si>
    <t xml:space="preserve">      ул.Телевизионная д.22</t>
  </si>
  <si>
    <t xml:space="preserve">1432,5 кв.м          </t>
  </si>
  <si>
    <t xml:space="preserve">      ул.М.Жукова д.46</t>
  </si>
  <si>
    <t xml:space="preserve">3497,8 кв.м          </t>
  </si>
  <si>
    <t>Поверка приборов учета на ЦО</t>
  </si>
  <si>
    <t>Устранение засоров, гидродинамическая промывка выпуска канализации</t>
  </si>
  <si>
    <t>Замена участка труб канализации в подвале</t>
  </si>
  <si>
    <t>Замена канализационного стояка</t>
  </si>
  <si>
    <t xml:space="preserve">Устранение засоров канализации, гидродинамическая промывка выпуска системы канализации </t>
  </si>
  <si>
    <t>Услуги автовышки 30 м.</t>
  </si>
  <si>
    <t>Замена задвижек на ГВС</t>
  </si>
  <si>
    <t>Ремонт ЦО</t>
  </si>
  <si>
    <t>Устранение засоров, гидродинамическая промывка выпуска канализации, п.5</t>
  </si>
  <si>
    <t>Санитарная обрезка деревьев на придомовой территории</t>
  </si>
  <si>
    <t>Замена задвижек ЦО в подвале</t>
  </si>
  <si>
    <t>нежилое помеение в квитанциях</t>
  </si>
  <si>
    <t>изменился остаток</t>
  </si>
  <si>
    <t xml:space="preserve">       было 317642,72</t>
  </si>
  <si>
    <t xml:space="preserve">        было 460832,20</t>
  </si>
  <si>
    <t>исправлена ошибка было 844343</t>
  </si>
  <si>
    <t>179,2 кв.м.</t>
  </si>
  <si>
    <t xml:space="preserve">          62,0 кв.м          </t>
  </si>
  <si>
    <t>перед собственниками помещений о выполнении договора управления многоквартирным домом за 2025 год</t>
  </si>
  <si>
    <t>Долг населения на 31.01.2026 г.</t>
  </si>
  <si>
    <t>Остаток средств на проведение текущего ремонта по состоянию на 31.01.2026 г.</t>
  </si>
  <si>
    <t>"      "                        2026 год</t>
  </si>
  <si>
    <t>Смена кранов на ЦО в подвале</t>
  </si>
  <si>
    <t>Смена задвижки на ГВС</t>
  </si>
  <si>
    <t>Начислено за 2025 г., руб.</t>
  </si>
  <si>
    <t>Поступило средств за 2025 г., руб.</t>
  </si>
  <si>
    <t>Выполнены работы за 2025 г., руб.</t>
  </si>
  <si>
    <t>Задолженность населения за 2025г.</t>
  </si>
  <si>
    <t>Замена вводной задвижки ГВС</t>
  </si>
  <si>
    <t xml:space="preserve">          12541,2 кв.м          </t>
  </si>
  <si>
    <t>"      "                   2026 год</t>
  </si>
  <si>
    <t>Замена запорной арматуры в системах ХВС и ГВС</t>
  </si>
  <si>
    <t>Замена трех металлических дверей в ВРУ</t>
  </si>
  <si>
    <t>Установка металлического козырька, п.5</t>
  </si>
  <si>
    <t>Ремонт бытовой комнаты, п.4</t>
  </si>
  <si>
    <t>Ремонт первого подъезда</t>
  </si>
  <si>
    <t>Замена фотобарьера на лифте, п.6</t>
  </si>
  <si>
    <t>Долг населения на 31.01.2026г.</t>
  </si>
  <si>
    <t>Смена канализационного стояка, кв.3</t>
  </si>
  <si>
    <t>Ремонт канализации в техподполье, подвал</t>
  </si>
  <si>
    <t>Смена задвижек и кранов на ЦО в техподполье, подвал</t>
  </si>
  <si>
    <t>Ремонт кровли магазина Магнит</t>
  </si>
  <si>
    <t>Ремонт кровли над машинным отделением, п.6</t>
  </si>
  <si>
    <t>Ремонт подъезда 5,6,7 этажей, п.1</t>
  </si>
  <si>
    <t>Ремонт станции управления с заменой пускателя на лифте, п.1</t>
  </si>
  <si>
    <t>Замена задвижек ЦО</t>
  </si>
  <si>
    <t>Ремонт асфальтового покрытия отмостки</t>
  </si>
  <si>
    <t>Замена участка труб ГВС в подвале</t>
  </si>
  <si>
    <t>Ремонт примыкания вентканала, кв.34</t>
  </si>
  <si>
    <t>Замена участка труб канализации  в подвале дома</t>
  </si>
  <si>
    <t>100м</t>
  </si>
  <si>
    <t>Установка почтовых ящиков</t>
  </si>
  <si>
    <t>"      "                   2026год</t>
  </si>
  <si>
    <t>Замена трубы на ГВС</t>
  </si>
  <si>
    <t>Замена стояка канализации в подвале дома</t>
  </si>
  <si>
    <t>Смена задвижки на ЦО</t>
  </si>
  <si>
    <t>Остаток средств на проведение капитального ремонта по состоянию на 31.01.2026 г.</t>
  </si>
  <si>
    <t>Замена вентилей на ГВС в техподполье</t>
  </si>
  <si>
    <t>Замена участка труб лежака и вентилей на ГВС в техподполье</t>
  </si>
  <si>
    <t>Сварочные работы по восстановлению ввода ХВС</t>
  </si>
  <si>
    <t>Ремонт ввода ХВС</t>
  </si>
  <si>
    <t>Замена участка труб на ГВС, кв.3, подвал</t>
  </si>
  <si>
    <t>Замена участка труб канализации, кв.3, подвал</t>
  </si>
  <si>
    <t>Замена задвижки ХВС</t>
  </si>
  <si>
    <t>Ремонт канализации, кв.64</t>
  </si>
  <si>
    <t>Смена задвижек на ЦО в подвале</t>
  </si>
  <si>
    <t>Ремонт ЦО, в подвале</t>
  </si>
  <si>
    <t>Смена канализационного стояка, кв.77</t>
  </si>
  <si>
    <t>Ремонт ГВС, подвал</t>
  </si>
  <si>
    <t>Изоляция труб ЦО, подвал</t>
  </si>
  <si>
    <t>Замена фанового стояка, кв.65</t>
  </si>
  <si>
    <t>Ремонт приборов учета</t>
  </si>
  <si>
    <t>Замена канализации, кв.4</t>
  </si>
  <si>
    <t>Замена канализационного стояка, кв.1</t>
  </si>
  <si>
    <t>Смена задвижек на ЦО, подполье</t>
  </si>
  <si>
    <t>Изготовление информационного стенда с карманами А4</t>
  </si>
  <si>
    <t>Смена задвижки на обратке ГВС, подполье</t>
  </si>
  <si>
    <t>Смена канализационного стояка, кв.32</t>
  </si>
  <si>
    <t>Смена задвижки на ЦО, подполье</t>
  </si>
  <si>
    <t>Смена задвижки и ремонт труб ГВС</t>
  </si>
  <si>
    <t>Смена кранов на ЦО в техподполье</t>
  </si>
  <si>
    <t>Ремонт ЦО в подвале</t>
  </si>
  <si>
    <t>Ремонт стояка ЦО, кв.36</t>
  </si>
  <si>
    <t xml:space="preserve">Замена задвижек ЦО </t>
  </si>
  <si>
    <t>Замена участка труб стояка канализации, кв.68</t>
  </si>
  <si>
    <t>Замена участка труб канализации , кв.16-20</t>
  </si>
  <si>
    <t>Смена задвижек на ГВС</t>
  </si>
  <si>
    <t>Ремонт кровли на козырьком под. №1</t>
  </si>
  <si>
    <t>Утепление торцевой стены кв. 33,35,39 (исправление ошибки прошлого отчетного периода)</t>
  </si>
  <si>
    <t>Замена участка труб канализации, кв.126,130</t>
  </si>
  <si>
    <t>Смена стекол на лестничной клетке</t>
  </si>
  <si>
    <t>Замена участка труб стояка канализации, кв.32,35</t>
  </si>
  <si>
    <t>Смена кранов в техподполье</t>
  </si>
  <si>
    <t>Ремонт межпанельных швов, кв.52</t>
  </si>
  <si>
    <t>Ремонт ввода в дом</t>
  </si>
  <si>
    <t>Смена задвижек на ЦО</t>
  </si>
  <si>
    <t>Ремонт межпанельных швов, кв.63</t>
  </si>
  <si>
    <t>Смена кранов на ЦО</t>
  </si>
  <si>
    <t>Смена задвижки ЦО, подполье</t>
  </si>
  <si>
    <t>Частичная смена труб канализационного стояка, кв.38,41</t>
  </si>
  <si>
    <t>Ремонт ЦО в техподполье</t>
  </si>
  <si>
    <t>Смена кранов, техподполье</t>
  </si>
  <si>
    <t>Ремонт канализации в техподполье</t>
  </si>
  <si>
    <t>Ремонт межпанельных швов, кв.39</t>
  </si>
  <si>
    <t>Санитарная обрезка 1 дерева (каштана) методом канатного доступа</t>
  </si>
  <si>
    <t>Изоляция труб ЦО в техподполье</t>
  </si>
  <si>
    <t>Санитарная обрезкатрех деревьев, удаление трех деревьев и вырубка поросли с вывозом порубочных остатков</t>
  </si>
  <si>
    <t>Проведение визуально-инструментального обследования системы канализации</t>
  </si>
  <si>
    <t>Смена участка труб на ГВС, кв.32</t>
  </si>
  <si>
    <t>Поверка прибора учета на ЦО</t>
  </si>
  <si>
    <t>Ремонт ГВС</t>
  </si>
  <si>
    <t>Смена труб ГВС, кв.31</t>
  </si>
  <si>
    <t>Ремонт ГВС, кв.76,32,35,техподполье</t>
  </si>
  <si>
    <t>Ремонт ГВС, кв.79,82,85,88</t>
  </si>
  <si>
    <t>Смена труб на подаче ГВС, кв.62,65,68,71,74, техподполье</t>
  </si>
  <si>
    <t>Смена труб на ГВС, техподполье</t>
  </si>
  <si>
    <t>"      "                   2026од</t>
  </si>
  <si>
    <t>Замена участка труб канализации, кв.2,4</t>
  </si>
  <si>
    <t>Замена канализационного стояка, кв.16</t>
  </si>
  <si>
    <t xml:space="preserve">Остаток средств на проведение текущего ремонта по состоянию на 31.01.2026 г. </t>
  </si>
  <si>
    <t>Ремонт фасада</t>
  </si>
  <si>
    <t>Смена задвижек на обратке ГВС, подполье</t>
  </si>
  <si>
    <t>Смена задвижек на ЦО в техподполье</t>
  </si>
  <si>
    <t>Смена задвижки на ГВС, техподполье</t>
  </si>
  <si>
    <t>Ремонт ЦО в техподполье, п.2</t>
  </si>
  <si>
    <t>Ремонт площадки входа в подъезд, п.2</t>
  </si>
  <si>
    <t>Ремонт кровли, кв.26</t>
  </si>
  <si>
    <t>Замена реле времени в станции управлении лифтом, п.4</t>
  </si>
  <si>
    <t>Ремонт привода дверей кабины лифта с заменой электродвигателя, п.2</t>
  </si>
  <si>
    <t>Замена канализационного выпуска</t>
  </si>
  <si>
    <t>Установка металлического отлива над окном</t>
  </si>
  <si>
    <t>Замена канализационного стояка в подвале</t>
  </si>
  <si>
    <t>100м2</t>
  </si>
  <si>
    <t>10м</t>
  </si>
  <si>
    <t>Замена труб канализации, кв.7</t>
  </si>
  <si>
    <t>Ремонт межпанельных швов, кв.22,24,43</t>
  </si>
  <si>
    <t>Остаток средств на проведение капитального  ремонта по состоянию на 31.01.2025 г.</t>
  </si>
  <si>
    <t xml:space="preserve">Замена участка труб ГВС </t>
  </si>
  <si>
    <t>Остаток средств на проведение текущего ремонта по состоянию на 31.01.20265 г.</t>
  </si>
  <si>
    <t>Сварочные работы по восстановлению ввода ГВС</t>
  </si>
  <si>
    <t>Остаток средств на проведение текущего ремонта по состоянию на 01.01.2025 г.</t>
  </si>
  <si>
    <t>Пробивка вентиляционных каналов в ванной и на кухне , кв.29</t>
  </si>
  <si>
    <t>усл</t>
  </si>
  <si>
    <t>Замена участка труб стояка канализации, кв.108</t>
  </si>
  <si>
    <t>Ремонт порогов, п.4</t>
  </si>
  <si>
    <t>Ремонт межпанельных швов, кв.103</t>
  </si>
  <si>
    <t>Замена задвижки на ГВС в техподполье</t>
  </si>
  <si>
    <t>Ремонт ЦО в подвале, п.1</t>
  </si>
  <si>
    <t>Ремонт межпанельных швов, кв.34,35</t>
  </si>
  <si>
    <t xml:space="preserve">         4167 кв.м          </t>
  </si>
  <si>
    <t>статок средств на проведение текущего ремонта по состоянию на 31.01.2026 г.</t>
  </si>
  <si>
    <t>Ремонт межпанельных швов, кв.141</t>
  </si>
  <si>
    <t>Ремонт станции управления, п.4</t>
  </si>
  <si>
    <t>Ремонт швов кирпичной кладки в районе кухни, кв.38</t>
  </si>
  <si>
    <t>Остаток средств на проведение капитального ремонта по состоянию на 31.01.25 г.</t>
  </si>
  <si>
    <t>Остаток средств на проведение текущего ремонта по состоянию на 31.01.2026г.</t>
  </si>
  <si>
    <t>Замена кранов на ЦО в подвале</t>
  </si>
  <si>
    <t>Замена задвижек на ЦО, техподполье</t>
  </si>
  <si>
    <t>Остаток средств на проведение капитального ремонта по состоянию на 31.07.2025 г.</t>
  </si>
  <si>
    <t>Установка металлической двери</t>
  </si>
  <si>
    <t>Смена задвижек на ГВС, техподполье</t>
  </si>
  <si>
    <t>Ремонт примыкания вентканала, кв.18</t>
  </si>
  <si>
    <t xml:space="preserve">          2608,8 кв.м          </t>
  </si>
  <si>
    <t>Ремонт стояка канализации</t>
  </si>
  <si>
    <t>1</t>
  </si>
  <si>
    <t>Работы по опиловке дерева породы клен, д. 50 см</t>
  </si>
  <si>
    <t>Замена канализационного стояка, кв.92-95</t>
  </si>
  <si>
    <t>Проведение инструментального обследования фасада</t>
  </si>
  <si>
    <t>Замена трубы ХВС, кв.62</t>
  </si>
  <si>
    <t>Смена канализации, кв.86</t>
  </si>
  <si>
    <t>Смена канализации в техподполье, п.4</t>
  </si>
  <si>
    <t>Ремонт кровли в подвал</t>
  </si>
  <si>
    <t>Остаток средств на проведение текущего ремонта по состоянию на 31.01.25 г.</t>
  </si>
  <si>
    <t>Замена стояка ХВС, кв.37</t>
  </si>
  <si>
    <t>Работы по врезки замка</t>
  </si>
  <si>
    <t>Замена стояка ГВС</t>
  </si>
  <si>
    <t>Замена труб канализации в подвале, п.2</t>
  </si>
  <si>
    <t>Установка почтовых ящиков на 90 квартир</t>
  </si>
  <si>
    <t>Смена стояка канализации</t>
  </si>
  <si>
    <t>Работы по демонтажу и монтажу покрытия пола кабины пассажирского лифта № К-546Л</t>
  </si>
  <si>
    <t>Ремонт станции управления в лифте, п.1</t>
  </si>
  <si>
    <t>Смена канализационныцх труб</t>
  </si>
  <si>
    <t>Вывоз порубочных остатков</t>
  </si>
  <si>
    <t>Замена участка стояка канализации, кв.49</t>
  </si>
  <si>
    <t>Замена почтовых ящиков</t>
  </si>
  <si>
    <t>Замена труб канализации в техподполье</t>
  </si>
  <si>
    <t>Снос аварийных деревьев</t>
  </si>
  <si>
    <t>Устранение засоров, гидродинамическая промывка выпуска канализации, п.3</t>
  </si>
  <si>
    <t>Ремонт подъезда, п.2</t>
  </si>
  <si>
    <t>Замена участка труб стояка ГВС и ХВС, кв.191-186</t>
  </si>
  <si>
    <t>Прокладка труб на системе ГВС в подвале дома</t>
  </si>
  <si>
    <t>Установка задвижек на системе ГВС в подвале</t>
  </si>
  <si>
    <t>Замена участка труб , кв.104,109,114</t>
  </si>
  <si>
    <t>Замена участка труб ГВС и ХВС, кв.2,7,12</t>
  </si>
  <si>
    <t>Ремонт поста приказов, п.1</t>
  </si>
  <si>
    <t>Ремонт участка труб на ГВС, кв.4,9,14,подвал</t>
  </si>
  <si>
    <t>Замена участка труб внутреннего водостока, п.4</t>
  </si>
  <si>
    <t>1.14.</t>
  </si>
  <si>
    <t>Установка противоскользящих резинок на алюминиевом каркасе 1 и 2 подъездах</t>
  </si>
  <si>
    <t>Остаток средств на проведение текущего ремонта по состоянию на 01.07.25 г.</t>
  </si>
  <si>
    <t>Ремонт канализационнго стояка, кв..58</t>
  </si>
  <si>
    <t>Ремонт привода дверей кабины лифта с заменой УПДКЛ, п.1</t>
  </si>
  <si>
    <t>Остаток средств на проведение текущего ремонта по состоянию на 01.04.25 г.</t>
  </si>
  <si>
    <t>Ремонт межпанельных швов</t>
  </si>
  <si>
    <t>Остаток средств на проведение текущего ремонта по состоянию на 01.06.25 г.</t>
  </si>
  <si>
    <t>Ремонт кровли над кв. 12</t>
  </si>
  <si>
    <t>Ремонт водостока в районе 3 подъезда, п.3</t>
  </si>
  <si>
    <t>Установка кранов на ЦО в подвале</t>
  </si>
  <si>
    <t>Смена труб на ГВС, кв.33</t>
  </si>
  <si>
    <t>Работы по ремонту асфальтобетонного покрытия</t>
  </si>
  <si>
    <t>Ремонт межпанельных швов, кв.83,87</t>
  </si>
  <si>
    <t>Ремонт участка труб канализации, кв.87,91</t>
  </si>
  <si>
    <t>1.15.</t>
  </si>
  <si>
    <t>Ремонт примыканий плиты</t>
  </si>
  <si>
    <t>Ремонт надболконной плиты, кв.68</t>
  </si>
  <si>
    <t>Ремонт стен на 1 этаже</t>
  </si>
  <si>
    <t>Ремонт 2-х подъездов</t>
  </si>
  <si>
    <t>Ремонт станции управления, п.1</t>
  </si>
  <si>
    <t>Удаление 5-ти деревьевс вывозом порубочных остатков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</si>
</sst>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5" formatCode="_-* #,##0.00\ _₽_-;\-* #,##0.00\ _₽_-;_-* &quot;-&quot;??\ _₽_-;_-@_-"/>
    <numFmt numFmtId="174" formatCode="#,##0.00_р_."/>
    <numFmt numFmtId="176" formatCode="#,##0.000"/>
    <numFmt numFmtId="177" formatCode="#,##0.00000"/>
    <numFmt numFmtId="178" formatCode="#,##0.0000"/>
    <numFmt numFmtId="179" formatCode="0.000"/>
    <numFmt numFmtId="180" formatCode="#,##0.000_р_."/>
    <numFmt numFmtId="181" formatCode="0.0"/>
    <numFmt numFmtId="182" formatCode="#,##0.0000_р_."/>
  </numFmts>
  <fonts count="48" x14ac:knownFonts="1">
    <font>
      <sz val="11"/>
      <color theme="1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u/>
      <sz val="11"/>
      <color indexed="8"/>
      <name val="Times New Roman"/>
      <family val="1"/>
      <charset val="204"/>
    </font>
    <font>
      <u/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i/>
      <sz val="10"/>
      <color indexed="8"/>
      <name val="Times New Roman"/>
      <family val="1"/>
      <charset val="204"/>
    </font>
    <font>
      <sz val="10"/>
      <color indexed="8"/>
      <name val="Calibri"/>
      <family val="2"/>
      <charset val="204"/>
    </font>
    <font>
      <b/>
      <i/>
      <sz val="9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Calibri"/>
      <family val="2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u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i/>
      <sz val="9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name val="Calibri"/>
      <family val="2"/>
      <charset val="204"/>
    </font>
    <font>
      <b/>
      <i/>
      <sz val="11"/>
      <name val="Times New Roman"/>
      <family val="1"/>
      <charset val="204"/>
    </font>
    <font>
      <u/>
      <sz val="11"/>
      <name val="Times New Roman"/>
      <family val="1"/>
      <charset val="204"/>
    </font>
    <font>
      <u/>
      <sz val="11"/>
      <color indexed="10"/>
      <name val="Times New Roman"/>
      <family val="1"/>
      <charset val="204"/>
    </font>
    <font>
      <b/>
      <u/>
      <sz val="10"/>
      <name val="Times New Roman"/>
      <family val="1"/>
      <charset val="204"/>
    </font>
    <font>
      <u/>
      <sz val="11"/>
      <color indexed="10"/>
      <name val="Times New Roman"/>
      <family val="1"/>
      <charset val="204"/>
    </font>
    <font>
      <u/>
      <sz val="9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sz val="10"/>
      <color rgb="FFFF000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u/>
      <sz val="11"/>
      <color rgb="FFFF0000"/>
      <name val="Times New Roman"/>
      <family val="1"/>
      <charset val="204"/>
    </font>
    <font>
      <u/>
      <sz val="10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i/>
      <sz val="10"/>
      <color rgb="FFFF000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sz val="10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9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0" fontId="32" fillId="0" borderId="0"/>
    <xf numFmtId="165" fontId="31" fillId="0" borderId="0" applyFont="0" applyFill="0" applyBorder="0" applyAlignment="0" applyProtection="0"/>
  </cellStyleXfs>
  <cellXfs count="573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/>
    <xf numFmtId="0" fontId="2" fillId="0" borderId="0" xfId="0" applyFont="1" applyAlignment="1"/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/>
    <xf numFmtId="0" fontId="1" fillId="0" borderId="1" xfId="0" applyFont="1" applyBorder="1" applyAlignment="1">
      <alignment wrapText="1"/>
    </xf>
    <xf numFmtId="2" fontId="1" fillId="0" borderId="1" xfId="0" applyNumberFormat="1" applyFont="1" applyBorder="1" applyAlignment="1"/>
    <xf numFmtId="0" fontId="5" fillId="0" borderId="0" xfId="0" applyFont="1" applyAlignment="1">
      <alignment horizontal="left" wrapText="1"/>
    </xf>
    <xf numFmtId="0" fontId="6" fillId="0" borderId="0" xfId="0" applyFont="1" applyAlignment="1">
      <alignment vertical="top"/>
    </xf>
    <xf numFmtId="0" fontId="7" fillId="0" borderId="0" xfId="0" applyFont="1" applyAlignment="1"/>
    <xf numFmtId="0" fontId="8" fillId="0" borderId="1" xfId="0" applyFont="1" applyBorder="1" applyAlignment="1">
      <alignment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2" fontId="9" fillId="0" borderId="1" xfId="0" applyNumberFormat="1" applyFont="1" applyBorder="1" applyAlignment="1">
      <alignment wrapText="1"/>
    </xf>
    <xf numFmtId="0" fontId="9" fillId="0" borderId="0" xfId="0" applyFont="1" applyAlignment="1">
      <alignment wrapText="1"/>
    </xf>
    <xf numFmtId="0" fontId="9" fillId="0" borderId="0" xfId="0" applyFont="1" applyBorder="1" applyAlignment="1">
      <alignment horizontal="center" wrapText="1"/>
    </xf>
    <xf numFmtId="2" fontId="9" fillId="0" borderId="0" xfId="0" applyNumberFormat="1" applyFont="1" applyBorder="1" applyAlignment="1">
      <alignment wrapText="1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center" wrapText="1"/>
    </xf>
    <xf numFmtId="0" fontId="5" fillId="0" borderId="0" xfId="0" applyFont="1" applyAlignment="1"/>
    <xf numFmtId="0" fontId="3" fillId="0" borderId="0" xfId="0" applyFont="1" applyAlignment="1"/>
    <xf numFmtId="0" fontId="5" fillId="0" borderId="1" xfId="0" applyFont="1" applyBorder="1" applyAlignment="1"/>
    <xf numFmtId="0" fontId="5" fillId="0" borderId="1" xfId="0" applyFont="1" applyBorder="1" applyAlignment="1">
      <alignment wrapText="1"/>
    </xf>
    <xf numFmtId="174" fontId="8" fillId="0" borderId="1" xfId="0" applyNumberFormat="1" applyFont="1" applyBorder="1" applyAlignment="1">
      <alignment wrapText="1"/>
    </xf>
    <xf numFmtId="2" fontId="5" fillId="0" borderId="1" xfId="0" applyNumberFormat="1" applyFont="1" applyBorder="1" applyAlignment="1"/>
    <xf numFmtId="2" fontId="5" fillId="0" borderId="1" xfId="0" applyNumberFormat="1" applyFont="1" applyBorder="1" applyAlignment="1">
      <alignment wrapText="1"/>
    </xf>
    <xf numFmtId="0" fontId="8" fillId="0" borderId="0" xfId="0" applyFont="1" applyAlignment="1"/>
    <xf numFmtId="0" fontId="9" fillId="0" borderId="1" xfId="0" applyFont="1" applyBorder="1" applyAlignment="1">
      <alignment wrapText="1"/>
    </xf>
    <xf numFmtId="0" fontId="5" fillId="0" borderId="0" xfId="0" applyFont="1" applyAlignment="1">
      <alignment vertical="top"/>
    </xf>
    <xf numFmtId="174" fontId="12" fillId="0" borderId="1" xfId="0" applyNumberFormat="1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4" fillId="0" borderId="0" xfId="0" applyFont="1" applyAlignment="1">
      <alignment wrapText="1"/>
    </xf>
    <xf numFmtId="0" fontId="15" fillId="0" borderId="1" xfId="0" applyFont="1" applyBorder="1" applyAlignment="1">
      <alignment wrapText="1"/>
    </xf>
    <xf numFmtId="0" fontId="15" fillId="0" borderId="0" xfId="0" applyFont="1" applyAlignment="1">
      <alignment wrapText="1"/>
    </xf>
    <xf numFmtId="0" fontId="15" fillId="0" borderId="0" xfId="0" applyFont="1" applyFill="1" applyAlignment="1">
      <alignment wrapText="1"/>
    </xf>
    <xf numFmtId="0" fontId="16" fillId="0" borderId="0" xfId="0" applyFont="1" applyAlignment="1">
      <alignment wrapText="1"/>
    </xf>
    <xf numFmtId="174" fontId="13" fillId="0" borderId="0" xfId="0" applyNumberFormat="1" applyFont="1" applyBorder="1" applyAlignment="1"/>
    <xf numFmtId="0" fontId="16" fillId="0" borderId="1" xfId="0" applyFont="1" applyBorder="1" applyAlignment="1">
      <alignment wrapText="1"/>
    </xf>
    <xf numFmtId="0" fontId="13" fillId="3" borderId="1" xfId="0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center" vertical="center"/>
    </xf>
    <xf numFmtId="174" fontId="13" fillId="3" borderId="1" xfId="0" applyNumberFormat="1" applyFont="1" applyFill="1" applyBorder="1" applyAlignment="1">
      <alignment horizontal="center" vertical="center"/>
    </xf>
    <xf numFmtId="4" fontId="17" fillId="3" borderId="1" xfId="0" applyNumberFormat="1" applyFont="1" applyFill="1" applyBorder="1" applyAlignment="1">
      <alignment wrapText="1"/>
    </xf>
    <xf numFmtId="174" fontId="34" fillId="2" borderId="2" xfId="0" applyNumberFormat="1" applyFont="1" applyFill="1" applyBorder="1" applyAlignment="1"/>
    <xf numFmtId="0" fontId="15" fillId="0" borderId="1" xfId="0" applyFont="1" applyFill="1" applyBorder="1" applyAlignment="1">
      <alignment wrapText="1"/>
    </xf>
    <xf numFmtId="4" fontId="17" fillId="0" borderId="1" xfId="0" applyNumberFormat="1" applyFont="1" applyFill="1" applyBorder="1" applyAlignment="1">
      <alignment wrapText="1"/>
    </xf>
    <xf numFmtId="0" fontId="17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wrapText="1"/>
    </xf>
    <xf numFmtId="0" fontId="13" fillId="0" borderId="0" xfId="0" applyFont="1" applyAlignment="1">
      <alignment wrapText="1"/>
    </xf>
    <xf numFmtId="0" fontId="18" fillId="0" borderId="0" xfId="0" applyFont="1" applyAlignment="1">
      <alignment horizontal="center" wrapText="1"/>
    </xf>
    <xf numFmtId="0" fontId="13" fillId="0" borderId="0" xfId="0" applyFont="1" applyAlignment="1"/>
    <xf numFmtId="0" fontId="18" fillId="0" borderId="0" xfId="0" applyFont="1" applyAlignment="1"/>
    <xf numFmtId="0" fontId="13" fillId="4" borderId="0" xfId="0" applyFont="1" applyFill="1" applyAlignment="1"/>
    <xf numFmtId="0" fontId="18" fillId="0" borderId="0" xfId="0" applyFont="1" applyAlignment="1">
      <alignment horizontal="center"/>
    </xf>
    <xf numFmtId="0" fontId="17" fillId="0" borderId="3" xfId="0" applyFont="1" applyBorder="1" applyAlignment="1">
      <alignment horizontal="left"/>
    </xf>
    <xf numFmtId="0" fontId="17" fillId="0" borderId="4" xfId="0" applyFont="1" applyBorder="1" applyAlignment="1">
      <alignment horizontal="left"/>
    </xf>
    <xf numFmtId="174" fontId="13" fillId="2" borderId="2" xfId="0" applyNumberFormat="1" applyFont="1" applyFill="1" applyBorder="1" applyAlignment="1"/>
    <xf numFmtId="0" fontId="13" fillId="0" borderId="0" xfId="0" applyFont="1" applyBorder="1" applyAlignment="1"/>
    <xf numFmtId="0" fontId="15" fillId="0" borderId="0" xfId="0" applyFont="1" applyAlignment="1"/>
    <xf numFmtId="0" fontId="17" fillId="0" borderId="0" xfId="0" applyFont="1" applyBorder="1" applyAlignment="1">
      <alignment horizontal="left"/>
    </xf>
    <xf numFmtId="174" fontId="13" fillId="0" borderId="4" xfId="0" applyNumberFormat="1" applyFont="1" applyBorder="1" applyAlignment="1"/>
    <xf numFmtId="0" fontId="13" fillId="0" borderId="4" xfId="0" applyFont="1" applyBorder="1" applyAlignment="1"/>
    <xf numFmtId="174" fontId="17" fillId="0" borderId="2" xfId="0" applyNumberFormat="1" applyFont="1" applyFill="1" applyBorder="1" applyAlignment="1"/>
    <xf numFmtId="0" fontId="17" fillId="0" borderId="1" xfId="0" applyFont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6" fillId="0" borderId="1" xfId="0" applyFont="1" applyBorder="1" applyAlignment="1"/>
    <xf numFmtId="4" fontId="16" fillId="0" borderId="1" xfId="0" applyNumberFormat="1" applyFont="1" applyBorder="1" applyAlignment="1"/>
    <xf numFmtId="4" fontId="16" fillId="0" borderId="1" xfId="0" applyNumberFormat="1" applyFont="1" applyBorder="1" applyAlignment="1">
      <alignment wrapText="1"/>
    </xf>
    <xf numFmtId="4" fontId="13" fillId="0" borderId="0" xfId="0" applyNumberFormat="1" applyFont="1" applyAlignment="1"/>
    <xf numFmtId="0" fontId="17" fillId="0" borderId="0" xfId="0" applyFont="1" applyAlignment="1"/>
    <xf numFmtId="2" fontId="13" fillId="0" borderId="0" xfId="0" applyNumberFormat="1" applyFont="1" applyAlignment="1"/>
    <xf numFmtId="0" fontId="15" fillId="0" borderId="1" xfId="0" applyFont="1" applyBorder="1" applyAlignment="1"/>
    <xf numFmtId="4" fontId="13" fillId="0" borderId="1" xfId="0" applyNumberFormat="1" applyFont="1" applyBorder="1" applyAlignment="1">
      <alignment wrapText="1"/>
    </xf>
    <xf numFmtId="4" fontId="15" fillId="0" borderId="1" xfId="0" applyNumberFormat="1" applyFont="1" applyBorder="1" applyAlignment="1"/>
    <xf numFmtId="4" fontId="15" fillId="0" borderId="1" xfId="0" applyNumberFormat="1" applyFont="1" applyBorder="1" applyAlignment="1">
      <alignment wrapText="1"/>
    </xf>
    <xf numFmtId="4" fontId="13" fillId="3" borderId="1" xfId="0" applyNumberFormat="1" applyFont="1" applyFill="1" applyBorder="1" applyAlignment="1">
      <alignment wrapText="1"/>
    </xf>
    <xf numFmtId="0" fontId="16" fillId="2" borderId="1" xfId="0" applyFont="1" applyFill="1" applyBorder="1" applyAlignment="1">
      <alignment wrapText="1"/>
    </xf>
    <xf numFmtId="4" fontId="16" fillId="2" borderId="1" xfId="0" applyNumberFormat="1" applyFont="1" applyFill="1" applyBorder="1" applyAlignment="1">
      <alignment wrapText="1"/>
    </xf>
    <xf numFmtId="0" fontId="17" fillId="2" borderId="0" xfId="0" applyFont="1" applyFill="1" applyAlignment="1">
      <alignment wrapText="1"/>
    </xf>
    <xf numFmtId="0" fontId="13" fillId="2" borderId="0" xfId="0" applyFont="1" applyFill="1" applyAlignment="1">
      <alignment wrapText="1"/>
    </xf>
    <xf numFmtId="4" fontId="16" fillId="0" borderId="1" xfId="0" applyNumberFormat="1" applyFont="1" applyFill="1" applyBorder="1" applyAlignment="1">
      <alignment wrapText="1"/>
    </xf>
    <xf numFmtId="0" fontId="13" fillId="0" borderId="0" xfId="0" applyFont="1" applyFill="1" applyBorder="1" applyAlignment="1">
      <alignment wrapText="1"/>
    </xf>
    <xf numFmtId="174" fontId="13" fillId="0" borderId="0" xfId="0" applyNumberFormat="1" applyFont="1" applyFill="1" applyBorder="1" applyAlignment="1">
      <alignment horizontal="left" wrapText="1"/>
    </xf>
    <xf numFmtId="174" fontId="13" fillId="0" borderId="0" xfId="0" applyNumberFormat="1" applyFont="1" applyFill="1" applyBorder="1" applyAlignment="1">
      <alignment horizontal="center" wrapText="1"/>
    </xf>
    <xf numFmtId="4" fontId="17" fillId="2" borderId="1" xfId="0" applyNumberFormat="1" applyFont="1" applyFill="1" applyBorder="1" applyAlignment="1">
      <alignment horizontal="right" wrapText="1"/>
    </xf>
    <xf numFmtId="4" fontId="17" fillId="0" borderId="1" xfId="0" applyNumberFormat="1" applyFont="1" applyBorder="1" applyAlignment="1">
      <alignment wrapText="1"/>
    </xf>
    <xf numFmtId="0" fontId="17" fillId="0" borderId="0" xfId="0" applyFont="1" applyAlignment="1">
      <alignment wrapText="1"/>
    </xf>
    <xf numFmtId="4" fontId="13" fillId="0" borderId="1" xfId="0" applyNumberFormat="1" applyFont="1" applyBorder="1" applyAlignment="1">
      <alignment horizontal="right" vertical="center" wrapText="1"/>
    </xf>
    <xf numFmtId="0" fontId="20" fillId="0" borderId="0" xfId="0" applyFont="1" applyBorder="1" applyAlignment="1">
      <alignment horizontal="center" wrapText="1"/>
    </xf>
    <xf numFmtId="2" fontId="21" fillId="0" borderId="0" xfId="0" applyNumberFormat="1" applyFont="1" applyBorder="1" applyAlignment="1">
      <alignment wrapText="1"/>
    </xf>
    <xf numFmtId="0" fontId="21" fillId="0" borderId="0" xfId="0" applyFont="1" applyAlignment="1">
      <alignment wrapText="1"/>
    </xf>
    <xf numFmtId="0" fontId="21" fillId="0" borderId="0" xfId="0" applyFont="1" applyBorder="1" applyAlignment="1">
      <alignment horizontal="center" wrapText="1"/>
    </xf>
    <xf numFmtId="0" fontId="16" fillId="0" borderId="1" xfId="0" applyFont="1" applyBorder="1" applyAlignment="1">
      <alignment horizontal="center" vertical="center" wrapText="1"/>
    </xf>
    <xf numFmtId="0" fontId="17" fillId="0" borderId="0" xfId="0" applyFont="1" applyBorder="1" applyAlignment="1">
      <alignment vertical="center" wrapText="1"/>
    </xf>
    <xf numFmtId="0" fontId="22" fillId="0" borderId="0" xfId="0" applyFont="1" applyBorder="1" applyAlignment="1"/>
    <xf numFmtId="0" fontId="17" fillId="0" borderId="0" xfId="0" applyFont="1" applyBorder="1" applyAlignment="1">
      <alignment horizontal="center" vertical="center" wrapText="1"/>
    </xf>
    <xf numFmtId="0" fontId="23" fillId="0" borderId="1" xfId="0" applyFont="1" applyBorder="1" applyAlignment="1">
      <alignment wrapText="1"/>
    </xf>
    <xf numFmtId="0" fontId="23" fillId="0" borderId="1" xfId="0" applyFont="1" applyBorder="1" applyAlignment="1">
      <alignment horizontal="center" wrapText="1"/>
    </xf>
    <xf numFmtId="174" fontId="23" fillId="0" borderId="1" xfId="0" applyNumberFormat="1" applyFont="1" applyBorder="1" applyAlignment="1">
      <alignment horizontal="center" wrapText="1"/>
    </xf>
    <xf numFmtId="174" fontId="23" fillId="0" borderId="0" xfId="0" applyNumberFormat="1" applyFont="1" applyBorder="1" applyAlignment="1">
      <alignment wrapText="1"/>
    </xf>
    <xf numFmtId="0" fontId="35" fillId="0" borderId="0" xfId="0" applyFont="1" applyBorder="1" applyAlignment="1"/>
    <xf numFmtId="0" fontId="23" fillId="0" borderId="0" xfId="0" applyFont="1" applyAlignment="1">
      <alignment wrapText="1"/>
    </xf>
    <xf numFmtId="0" fontId="23" fillId="0" borderId="0" xfId="0" applyFont="1" applyBorder="1" applyAlignment="1">
      <alignment wrapText="1"/>
    </xf>
    <xf numFmtId="174" fontId="13" fillId="0" borderId="1" xfId="0" applyNumberFormat="1" applyFont="1" applyBorder="1" applyAlignment="1">
      <alignment horizontal="center" wrapText="1"/>
    </xf>
    <xf numFmtId="0" fontId="13" fillId="0" borderId="0" xfId="0" applyFont="1" applyBorder="1" applyAlignment="1">
      <alignment wrapText="1"/>
    </xf>
    <xf numFmtId="180" fontId="13" fillId="0" borderId="1" xfId="0" applyNumberFormat="1" applyFont="1" applyBorder="1" applyAlignment="1">
      <alignment horizontal="center" wrapText="1"/>
    </xf>
    <xf numFmtId="174" fontId="13" fillId="0" borderId="1" xfId="0" applyNumberFormat="1" applyFont="1" applyFill="1" applyBorder="1" applyAlignment="1">
      <alignment wrapText="1"/>
    </xf>
    <xf numFmtId="174" fontId="13" fillId="0" borderId="1" xfId="0" applyNumberFormat="1" applyFont="1" applyFill="1" applyBorder="1" applyAlignment="1">
      <alignment horizontal="center" wrapText="1"/>
    </xf>
    <xf numFmtId="0" fontId="15" fillId="0" borderId="0" xfId="0" applyFont="1" applyFill="1" applyAlignment="1"/>
    <xf numFmtId="0" fontId="24" fillId="0" borderId="0" xfId="0" applyFont="1" applyAlignment="1"/>
    <xf numFmtId="0" fontId="19" fillId="0" borderId="0" xfId="0" applyFont="1" applyFill="1" applyAlignment="1">
      <alignment vertical="top"/>
    </xf>
    <xf numFmtId="0" fontId="19" fillId="0" borderId="0" xfId="0" applyFont="1" applyAlignment="1">
      <alignment vertical="top"/>
    </xf>
    <xf numFmtId="0" fontId="13" fillId="0" borderId="0" xfId="0" applyFont="1" applyAlignment="1">
      <alignment horizontal="right" vertical="center" wrapText="1"/>
    </xf>
    <xf numFmtId="0" fontId="13" fillId="0" borderId="0" xfId="0" applyFont="1" applyAlignment="1">
      <alignment horizontal="right" vertical="center"/>
    </xf>
    <xf numFmtId="0" fontId="17" fillId="0" borderId="0" xfId="0" applyFont="1" applyBorder="1" applyAlignment="1">
      <alignment horizontal="right" vertical="center"/>
    </xf>
    <xf numFmtId="0" fontId="17" fillId="0" borderId="4" xfId="0" applyFont="1" applyBorder="1" applyAlignment="1">
      <alignment horizontal="right" vertical="center"/>
    </xf>
    <xf numFmtId="0" fontId="17" fillId="0" borderId="1" xfId="0" applyFont="1" applyBorder="1" applyAlignment="1"/>
    <xf numFmtId="0" fontId="17" fillId="0" borderId="1" xfId="0" applyFont="1" applyBorder="1" applyAlignment="1">
      <alignment wrapText="1"/>
    </xf>
    <xf numFmtId="4" fontId="17" fillId="0" borderId="1" xfId="0" applyNumberFormat="1" applyFont="1" applyBorder="1" applyAlignment="1">
      <alignment horizontal="right" vertical="center" wrapText="1"/>
    </xf>
    <xf numFmtId="4" fontId="17" fillId="0" borderId="0" xfId="0" applyNumberFormat="1" applyFont="1" applyAlignment="1"/>
    <xf numFmtId="2" fontId="17" fillId="0" borderId="0" xfId="0" applyNumberFormat="1" applyFont="1" applyAlignment="1"/>
    <xf numFmtId="0" fontId="13" fillId="0" borderId="1" xfId="0" applyFont="1" applyBorder="1" applyAlignment="1"/>
    <xf numFmtId="0" fontId="13" fillId="0" borderId="1" xfId="0" applyFont="1" applyBorder="1" applyAlignment="1">
      <alignment wrapText="1"/>
    </xf>
    <xf numFmtId="0" fontId="17" fillId="2" borderId="1" xfId="0" applyFont="1" applyFill="1" applyBorder="1" applyAlignment="1">
      <alignment wrapText="1"/>
    </xf>
    <xf numFmtId="4" fontId="17" fillId="2" borderId="1" xfId="0" applyNumberFormat="1" applyFont="1" applyFill="1" applyBorder="1" applyAlignment="1">
      <alignment horizontal="right" vertical="center" wrapText="1"/>
    </xf>
    <xf numFmtId="4" fontId="17" fillId="3" borderId="1" xfId="0" applyNumberFormat="1" applyFont="1" applyFill="1" applyBorder="1" applyAlignment="1">
      <alignment horizontal="right" vertical="center" wrapText="1"/>
    </xf>
    <xf numFmtId="4" fontId="13" fillId="3" borderId="1" xfId="0" applyNumberFormat="1" applyFont="1" applyFill="1" applyBorder="1" applyAlignment="1">
      <alignment horizontal="right" vertical="center" wrapText="1"/>
    </xf>
    <xf numFmtId="174" fontId="13" fillId="0" borderId="2" xfId="0" applyNumberFormat="1" applyFont="1" applyBorder="1" applyAlignment="1"/>
    <xf numFmtId="4" fontId="15" fillId="0" borderId="0" xfId="0" applyNumberFormat="1" applyFont="1" applyAlignment="1"/>
    <xf numFmtId="0" fontId="21" fillId="0" borderId="0" xfId="0" applyFont="1" applyBorder="1" applyAlignment="1">
      <alignment horizontal="right" vertical="center" wrapText="1"/>
    </xf>
    <xf numFmtId="0" fontId="18" fillId="0" borderId="0" xfId="0" applyFont="1" applyAlignment="1">
      <alignment wrapText="1"/>
    </xf>
    <xf numFmtId="174" fontId="13" fillId="0" borderId="5" xfId="0" applyNumberFormat="1" applyFont="1" applyBorder="1" applyAlignment="1">
      <alignment wrapText="1"/>
    </xf>
    <xf numFmtId="174" fontId="13" fillId="0" borderId="6" xfId="0" applyNumberFormat="1" applyFont="1" applyBorder="1" applyAlignment="1">
      <alignment wrapText="1"/>
    </xf>
    <xf numFmtId="174" fontId="13" fillId="0" borderId="7" xfId="0" applyNumberFormat="1" applyFont="1" applyBorder="1" applyAlignment="1">
      <alignment wrapText="1"/>
    </xf>
    <xf numFmtId="174" fontId="13" fillId="0" borderId="1" xfId="0" applyNumberFormat="1" applyFont="1" applyBorder="1" applyAlignment="1">
      <alignment horizontal="center" vertical="center" wrapText="1"/>
    </xf>
    <xf numFmtId="176" fontId="13" fillId="0" borderId="1" xfId="0" applyNumberFormat="1" applyFont="1" applyBorder="1" applyAlignment="1">
      <alignment horizontal="center" vertical="center" wrapText="1"/>
    </xf>
    <xf numFmtId="174" fontId="13" fillId="0" borderId="1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horizontal="left" wrapText="1"/>
    </xf>
    <xf numFmtId="0" fontId="15" fillId="0" borderId="0" xfId="0" applyFont="1" applyAlignment="1">
      <alignment horizontal="right" vertical="center"/>
    </xf>
    <xf numFmtId="0" fontId="13" fillId="0" borderId="0" xfId="0" applyFont="1" applyAlignment="1">
      <alignment vertical="top"/>
    </xf>
    <xf numFmtId="0" fontId="15" fillId="0" borderId="0" xfId="0" applyFont="1" applyAlignment="1">
      <alignment horizontal="center" wrapText="1"/>
    </xf>
    <xf numFmtId="4" fontId="15" fillId="0" borderId="0" xfId="0" applyNumberFormat="1" applyFont="1" applyAlignment="1">
      <alignment horizontal="center" wrapText="1"/>
    </xf>
    <xf numFmtId="4" fontId="15" fillId="0" borderId="0" xfId="0" applyNumberFormat="1" applyFont="1" applyAlignment="1">
      <alignment wrapText="1"/>
    </xf>
    <xf numFmtId="4" fontId="24" fillId="0" borderId="0" xfId="0" applyNumberFormat="1" applyFont="1" applyAlignment="1"/>
    <xf numFmtId="4" fontId="13" fillId="0" borderId="2" xfId="0" applyNumberFormat="1" applyFont="1" applyBorder="1" applyAlignment="1"/>
    <xf numFmtId="4" fontId="13" fillId="0" borderId="0" xfId="0" applyNumberFormat="1" applyFont="1" applyBorder="1" applyAlignment="1"/>
    <xf numFmtId="4" fontId="17" fillId="0" borderId="0" xfId="0" applyNumberFormat="1" applyFont="1" applyBorder="1" applyAlignment="1">
      <alignment horizontal="left"/>
    </xf>
    <xf numFmtId="4" fontId="17" fillId="0" borderId="4" xfId="0" applyNumberFormat="1" applyFont="1" applyBorder="1" applyAlignment="1">
      <alignment horizontal="left"/>
    </xf>
    <xf numFmtId="4" fontId="13" fillId="0" borderId="4" xfId="0" applyNumberFormat="1" applyFont="1" applyBorder="1" applyAlignment="1"/>
    <xf numFmtId="4" fontId="16" fillId="0" borderId="0" xfId="0" applyNumberFormat="1" applyFont="1" applyAlignment="1"/>
    <xf numFmtId="0" fontId="16" fillId="0" borderId="0" xfId="0" applyFont="1" applyAlignment="1"/>
    <xf numFmtId="0" fontId="15" fillId="0" borderId="0" xfId="0" applyFont="1" applyBorder="1" applyAlignment="1">
      <alignment wrapText="1"/>
    </xf>
    <xf numFmtId="4" fontId="13" fillId="0" borderId="0" xfId="0" applyNumberFormat="1" applyFont="1" applyBorder="1" applyAlignment="1">
      <alignment wrapText="1"/>
    </xf>
    <xf numFmtId="4" fontId="15" fillId="0" borderId="0" xfId="0" applyNumberFormat="1" applyFont="1" applyBorder="1" applyAlignment="1">
      <alignment wrapText="1"/>
    </xf>
    <xf numFmtId="0" fontId="16" fillId="0" borderId="0" xfId="0" applyFont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4" fontId="19" fillId="0" borderId="0" xfId="0" applyNumberFormat="1" applyFont="1" applyAlignment="1">
      <alignment vertical="top"/>
    </xf>
    <xf numFmtId="0" fontId="16" fillId="0" borderId="5" xfId="0" applyFont="1" applyBorder="1" applyAlignment="1">
      <alignment vertical="center" wrapText="1"/>
    </xf>
    <xf numFmtId="0" fontId="16" fillId="0" borderId="6" xfId="0" applyFont="1" applyBorder="1" applyAlignment="1">
      <alignment vertical="center" wrapText="1"/>
    </xf>
    <xf numFmtId="174" fontId="13" fillId="0" borderId="1" xfId="0" applyNumberFormat="1" applyFont="1" applyBorder="1" applyAlignment="1">
      <alignment horizontal="right" wrapText="1"/>
    </xf>
    <xf numFmtId="174" fontId="13" fillId="0" borderId="0" xfId="0" applyNumberFormat="1" applyFont="1" applyBorder="1" applyAlignment="1">
      <alignment horizontal="left" wrapText="1"/>
    </xf>
    <xf numFmtId="174" fontId="19" fillId="0" borderId="0" xfId="0" applyNumberFormat="1" applyFont="1" applyBorder="1" applyAlignment="1">
      <alignment horizontal="center"/>
    </xf>
    <xf numFmtId="4" fontId="16" fillId="0" borderId="0" xfId="0" applyNumberFormat="1" applyFont="1" applyAlignment="1">
      <alignment wrapText="1"/>
    </xf>
    <xf numFmtId="174" fontId="13" fillId="0" borderId="5" xfId="0" applyNumberFormat="1" applyFont="1" applyFill="1" applyBorder="1" applyAlignment="1">
      <alignment wrapText="1"/>
    </xf>
    <xf numFmtId="174" fontId="13" fillId="0" borderId="6" xfId="0" applyNumberFormat="1" applyFont="1" applyFill="1" applyBorder="1" applyAlignment="1">
      <alignment wrapText="1"/>
    </xf>
    <xf numFmtId="4" fontId="13" fillId="0" borderId="1" xfId="0" applyNumberFormat="1" applyFont="1" applyBorder="1" applyAlignment="1">
      <alignment horizontal="center" vertical="center" wrapText="1"/>
    </xf>
    <xf numFmtId="174" fontId="13" fillId="0" borderId="0" xfId="0" applyNumberFormat="1" applyFont="1" applyBorder="1" applyAlignment="1">
      <alignment horizontal="left" vertical="center" wrapText="1"/>
    </xf>
    <xf numFmtId="174" fontId="13" fillId="0" borderId="0" xfId="0" applyNumberFormat="1" applyFont="1" applyBorder="1" applyAlignment="1">
      <alignment horizontal="center" vertical="center" wrapText="1"/>
    </xf>
    <xf numFmtId="4" fontId="13" fillId="0" borderId="0" xfId="0" applyNumberFormat="1" applyFont="1" applyBorder="1" applyAlignment="1">
      <alignment horizontal="center" vertical="center" wrapText="1"/>
    </xf>
    <xf numFmtId="174" fontId="19" fillId="0" borderId="0" xfId="0" applyNumberFormat="1" applyFont="1" applyBorder="1" applyAlignment="1">
      <alignment horizontal="center" vertical="center"/>
    </xf>
    <xf numFmtId="174" fontId="13" fillId="0" borderId="1" xfId="0" applyNumberFormat="1" applyFont="1" applyFill="1" applyBorder="1" applyAlignment="1">
      <alignment horizontal="center" vertical="center" wrapText="1"/>
    </xf>
    <xf numFmtId="16" fontId="17" fillId="0" borderId="0" xfId="0" applyNumberFormat="1" applyFont="1" applyBorder="1" applyAlignment="1">
      <alignment wrapText="1"/>
    </xf>
    <xf numFmtId="0" fontId="17" fillId="0" borderId="1" xfId="0" applyFont="1" applyFill="1" applyBorder="1" applyAlignment="1">
      <alignment wrapText="1"/>
    </xf>
    <xf numFmtId="0" fontId="15" fillId="0" borderId="1" xfId="0" applyFont="1" applyBorder="1" applyAlignment="1">
      <alignment horizontal="center" wrapText="1"/>
    </xf>
    <xf numFmtId="0" fontId="18" fillId="0" borderId="0" xfId="0" applyFont="1" applyBorder="1" applyAlignment="1">
      <alignment horizontal="center"/>
    </xf>
    <xf numFmtId="0" fontId="18" fillId="0" borderId="0" xfId="0" applyFont="1" applyBorder="1" applyAlignment="1">
      <alignment horizontal="center" wrapText="1"/>
    </xf>
    <xf numFmtId="4" fontId="16" fillId="3" borderId="1" xfId="0" applyNumberFormat="1" applyFont="1" applyFill="1" applyBorder="1" applyAlignment="1">
      <alignment wrapText="1"/>
    </xf>
    <xf numFmtId="0" fontId="15" fillId="4" borderId="0" xfId="0" applyFont="1" applyFill="1" applyAlignment="1"/>
    <xf numFmtId="0" fontId="13" fillId="0" borderId="1" xfId="0" applyFont="1" applyBorder="1" applyAlignment="1">
      <alignment horizontal="left" wrapText="1"/>
    </xf>
    <xf numFmtId="0" fontId="13" fillId="0" borderId="1" xfId="0" applyFont="1" applyBorder="1" applyAlignment="1">
      <alignment horizontal="center" wrapText="1"/>
    </xf>
    <xf numFmtId="0" fontId="15" fillId="0" borderId="0" xfId="0" applyFont="1" applyAlignment="1">
      <alignment horizontal="left" wrapText="1"/>
    </xf>
    <xf numFmtId="0" fontId="15" fillId="0" borderId="0" xfId="0" applyFont="1" applyAlignment="1">
      <alignment horizontal="left" vertical="center" wrapText="1"/>
    </xf>
    <xf numFmtId="0" fontId="15" fillId="0" borderId="0" xfId="0" applyFont="1" applyAlignment="1">
      <alignment horizontal="center" vertical="center" wrapText="1"/>
    </xf>
    <xf numFmtId="4" fontId="15" fillId="0" borderId="1" xfId="0" applyNumberFormat="1" applyFont="1" applyFill="1" applyBorder="1" applyAlignment="1">
      <alignment wrapText="1"/>
    </xf>
    <xf numFmtId="2" fontId="15" fillId="0" borderId="0" xfId="0" applyNumberFormat="1" applyFont="1" applyAlignment="1"/>
    <xf numFmtId="4" fontId="15" fillId="3" borderId="1" xfId="0" applyNumberFormat="1" applyFont="1" applyFill="1" applyBorder="1" applyAlignment="1">
      <alignment wrapText="1"/>
    </xf>
    <xf numFmtId="0" fontId="16" fillId="0" borderId="1" xfId="0" applyFont="1" applyBorder="1" applyAlignment="1">
      <alignment horizontal="left" wrapText="1"/>
    </xf>
    <xf numFmtId="0" fontId="15" fillId="0" borderId="1" xfId="0" applyFont="1" applyBorder="1" applyAlignment="1">
      <alignment horizontal="left" wrapText="1"/>
    </xf>
    <xf numFmtId="174" fontId="13" fillId="0" borderId="0" xfId="0" applyNumberFormat="1" applyFont="1" applyBorder="1" applyAlignment="1">
      <alignment horizontal="center" wrapText="1"/>
    </xf>
    <xf numFmtId="4" fontId="17" fillId="0" borderId="1" xfId="0" applyNumberFormat="1" applyFont="1" applyBorder="1" applyAlignment="1">
      <alignment horizontal="right" wrapText="1"/>
    </xf>
    <xf numFmtId="4" fontId="13" fillId="0" borderId="0" xfId="0" applyNumberFormat="1" applyFont="1" applyAlignment="1">
      <alignment wrapText="1"/>
    </xf>
    <xf numFmtId="0" fontId="15" fillId="0" borderId="1" xfId="0" applyFont="1" applyBorder="1" applyAlignment="1">
      <alignment horizontal="center" vertical="center" wrapText="1"/>
    </xf>
    <xf numFmtId="174" fontId="13" fillId="2" borderId="0" xfId="0" applyNumberFormat="1" applyFont="1" applyFill="1" applyBorder="1" applyAlignment="1"/>
    <xf numFmtId="4" fontId="16" fillId="0" borderId="0" xfId="0" applyNumberFormat="1" applyFont="1" applyBorder="1" applyAlignment="1">
      <alignment wrapText="1"/>
    </xf>
    <xf numFmtId="4" fontId="16" fillId="0" borderId="0" xfId="0" applyNumberFormat="1" applyFont="1" applyFill="1" applyBorder="1" applyAlignment="1">
      <alignment wrapText="1"/>
    </xf>
    <xf numFmtId="179" fontId="15" fillId="0" borderId="0" xfId="0" applyNumberFormat="1" applyFont="1" applyAlignment="1">
      <alignment wrapText="1"/>
    </xf>
    <xf numFmtId="174" fontId="13" fillId="0" borderId="0" xfId="0" applyNumberFormat="1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174" fontId="13" fillId="0" borderId="8" xfId="0" applyNumberFormat="1" applyFont="1" applyFill="1" applyBorder="1" applyAlignment="1">
      <alignment horizontal="center" vertical="center"/>
    </xf>
    <xf numFmtId="0" fontId="15" fillId="0" borderId="8" xfId="0" applyFont="1" applyBorder="1" applyAlignment="1"/>
    <xf numFmtId="0" fontId="35" fillId="0" borderId="0" xfId="0" applyFont="1" applyBorder="1" applyAlignment="1">
      <alignment horizontal="center" wrapText="1"/>
    </xf>
    <xf numFmtId="0" fontId="35" fillId="0" borderId="0" xfId="0" applyFont="1" applyBorder="1"/>
    <xf numFmtId="4" fontId="16" fillId="0" borderId="1" xfId="0" applyNumberFormat="1" applyFont="1" applyFill="1" applyBorder="1" applyAlignment="1"/>
    <xf numFmtId="0" fontId="18" fillId="0" borderId="0" xfId="0" applyFont="1" applyFill="1" applyAlignment="1"/>
    <xf numFmtId="0" fontId="17" fillId="0" borderId="6" xfId="0" applyFont="1" applyBorder="1" applyAlignment="1">
      <alignment vertical="center" wrapText="1"/>
    </xf>
    <xf numFmtId="0" fontId="22" fillId="0" borderId="7" xfId="0" applyFont="1" applyBorder="1" applyAlignment="1"/>
    <xf numFmtId="174" fontId="23" fillId="0" borderId="6" xfId="0" applyNumberFormat="1" applyFont="1" applyBorder="1" applyAlignment="1">
      <alignment wrapText="1"/>
    </xf>
    <xf numFmtId="0" fontId="35" fillId="0" borderId="7" xfId="0" applyFont="1" applyBorder="1" applyAlignment="1"/>
    <xf numFmtId="174" fontId="13" fillId="0" borderId="6" xfId="0" applyNumberFormat="1" applyFont="1" applyBorder="1" applyAlignment="1"/>
    <xf numFmtId="174" fontId="13" fillId="0" borderId="7" xfId="0" applyNumberFormat="1" applyFont="1" applyBorder="1" applyAlignment="1"/>
    <xf numFmtId="0" fontId="13" fillId="0" borderId="0" xfId="0" applyFont="1" applyFill="1" applyAlignment="1">
      <alignment wrapText="1"/>
    </xf>
    <xf numFmtId="0" fontId="13" fillId="0" borderId="0" xfId="0" applyFont="1" applyFill="1" applyAlignment="1"/>
    <xf numFmtId="16" fontId="15" fillId="0" borderId="1" xfId="0" applyNumberFormat="1" applyFont="1" applyBorder="1" applyAlignment="1">
      <alignment wrapText="1"/>
    </xf>
    <xf numFmtId="0" fontId="17" fillId="3" borderId="0" xfId="0" applyFont="1" applyFill="1" applyBorder="1" applyAlignment="1">
      <alignment horizontal="left"/>
    </xf>
    <xf numFmtId="0" fontId="17" fillId="3" borderId="3" xfId="0" applyFont="1" applyFill="1" applyBorder="1" applyAlignment="1">
      <alignment horizontal="left"/>
    </xf>
    <xf numFmtId="0" fontId="17" fillId="3" borderId="4" xfId="0" applyFont="1" applyFill="1" applyBorder="1" applyAlignment="1">
      <alignment horizontal="left"/>
    </xf>
    <xf numFmtId="174" fontId="13" fillId="3" borderId="4" xfId="0" applyNumberFormat="1" applyFont="1" applyFill="1" applyBorder="1" applyAlignment="1"/>
    <xf numFmtId="4" fontId="13" fillId="2" borderId="0" xfId="0" applyNumberFormat="1" applyFont="1" applyFill="1" applyAlignment="1">
      <alignment wrapText="1"/>
    </xf>
    <xf numFmtId="179" fontId="13" fillId="0" borderId="0" xfId="0" applyNumberFormat="1" applyFont="1" applyAlignment="1"/>
    <xf numFmtId="174" fontId="13" fillId="0" borderId="0" xfId="0" applyNumberFormat="1" applyFont="1" applyFill="1" applyBorder="1" applyAlignment="1">
      <alignment wrapText="1"/>
    </xf>
    <xf numFmtId="4" fontId="16" fillId="2" borderId="1" xfId="0" applyNumberFormat="1" applyFont="1" applyFill="1" applyBorder="1" applyAlignment="1">
      <alignment horizontal="right" wrapText="1"/>
    </xf>
    <xf numFmtId="4" fontId="17" fillId="2" borderId="0" xfId="0" applyNumberFormat="1" applyFont="1" applyFill="1" applyAlignment="1">
      <alignment wrapText="1"/>
    </xf>
    <xf numFmtId="0" fontId="17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/>
    <xf numFmtId="0" fontId="15" fillId="3" borderId="1" xfId="0" applyFont="1" applyFill="1" applyBorder="1" applyAlignment="1">
      <alignment wrapText="1"/>
    </xf>
    <xf numFmtId="174" fontId="13" fillId="2" borderId="9" xfId="0" applyNumberFormat="1" applyFont="1" applyFill="1" applyBorder="1" applyAlignment="1"/>
    <xf numFmtId="0" fontId="13" fillId="3" borderId="0" xfId="0" applyFont="1" applyFill="1" applyAlignment="1">
      <alignment wrapText="1"/>
    </xf>
    <xf numFmtId="0" fontId="18" fillId="4" borderId="0" xfId="0" applyFont="1" applyFill="1" applyAlignment="1"/>
    <xf numFmtId="174" fontId="13" fillId="0" borderId="2" xfId="0" applyNumberFormat="1" applyFont="1" applyFill="1" applyBorder="1" applyAlignment="1"/>
    <xf numFmtId="0" fontId="23" fillId="0" borderId="1" xfId="0" applyFont="1" applyBorder="1" applyAlignment="1">
      <alignment horizontal="right" wrapText="1"/>
    </xf>
    <xf numFmtId="0" fontId="13" fillId="0" borderId="1" xfId="0" applyFont="1" applyBorder="1" applyAlignment="1">
      <alignment horizontal="right" wrapText="1"/>
    </xf>
    <xf numFmtId="4" fontId="34" fillId="0" borderId="1" xfId="0" applyNumberFormat="1" applyFont="1" applyBorder="1" applyAlignment="1">
      <alignment horizontal="right" vertical="center" wrapText="1"/>
    </xf>
    <xf numFmtId="4" fontId="36" fillId="0" borderId="1" xfId="0" applyNumberFormat="1" applyFont="1" applyBorder="1" applyAlignment="1">
      <alignment wrapText="1"/>
    </xf>
    <xf numFmtId="4" fontId="17" fillId="0" borderId="0" xfId="0" applyNumberFormat="1" applyFont="1" applyAlignment="1">
      <alignment wrapText="1"/>
    </xf>
    <xf numFmtId="4" fontId="36" fillId="0" borderId="0" xfId="0" applyNumberFormat="1" applyFont="1" applyBorder="1" applyAlignment="1">
      <alignment wrapText="1"/>
    </xf>
    <xf numFmtId="0" fontId="37" fillId="0" borderId="0" xfId="0" applyFont="1" applyAlignment="1"/>
    <xf numFmtId="16" fontId="17" fillId="0" borderId="7" xfId="0" applyNumberFormat="1" applyFont="1" applyBorder="1" applyAlignment="1">
      <alignment wrapText="1"/>
    </xf>
    <xf numFmtId="0" fontId="38" fillId="0" borderId="0" xfId="0" applyFont="1" applyFill="1" applyAlignment="1"/>
    <xf numFmtId="0" fontId="38" fillId="0" borderId="0" xfId="0" applyFont="1" applyAlignment="1"/>
    <xf numFmtId="0" fontId="34" fillId="4" borderId="0" xfId="0" applyFont="1" applyFill="1" applyAlignment="1"/>
    <xf numFmtId="0" fontId="26" fillId="4" borderId="0" xfId="0" applyFont="1" applyFill="1" applyAlignment="1"/>
    <xf numFmtId="0" fontId="17" fillId="4" borderId="0" xfId="0" applyFont="1" applyFill="1" applyAlignment="1"/>
    <xf numFmtId="174" fontId="17" fillId="0" borderId="2" xfId="0" applyNumberFormat="1" applyFont="1" applyBorder="1" applyAlignment="1"/>
    <xf numFmtId="0" fontId="16" fillId="4" borderId="0" xfId="0" applyFont="1" applyFill="1" applyAlignment="1"/>
    <xf numFmtId="4" fontId="39" fillId="0" borderId="1" xfId="0" applyNumberFormat="1" applyFont="1" applyBorder="1" applyAlignment="1">
      <alignment wrapText="1"/>
    </xf>
    <xf numFmtId="174" fontId="34" fillId="3" borderId="1" xfId="0" applyNumberFormat="1" applyFont="1" applyFill="1" applyBorder="1" applyAlignment="1">
      <alignment horizontal="center" vertical="center"/>
    </xf>
    <xf numFmtId="0" fontId="34" fillId="3" borderId="1" xfId="0" applyFont="1" applyFill="1" applyBorder="1" applyAlignment="1">
      <alignment horizontal="center" vertical="center"/>
    </xf>
    <xf numFmtId="174" fontId="34" fillId="0" borderId="1" xfId="0" applyNumberFormat="1" applyFont="1" applyFill="1" applyBorder="1" applyAlignment="1">
      <alignment horizontal="center" vertical="center"/>
    </xf>
    <xf numFmtId="4" fontId="36" fillId="0" borderId="1" xfId="0" applyNumberFormat="1" applyFont="1" applyBorder="1" applyAlignment="1"/>
    <xf numFmtId="0" fontId="36" fillId="0" borderId="1" xfId="0" applyFont="1" applyFill="1" applyBorder="1" applyAlignment="1"/>
    <xf numFmtId="0" fontId="35" fillId="0" borderId="0" xfId="0" applyFont="1" applyBorder="1" applyAlignment="1">
      <alignment horizontal="center" wrapText="1"/>
    </xf>
    <xf numFmtId="0" fontId="17" fillId="0" borderId="0" xfId="0" applyFont="1" applyFill="1" applyAlignment="1">
      <alignment horizontal="center"/>
    </xf>
    <xf numFmtId="2" fontId="40" fillId="0" borderId="0" xfId="0" applyNumberFormat="1" applyFont="1" applyBorder="1" applyAlignment="1">
      <alignment wrapText="1"/>
    </xf>
    <xf numFmtId="0" fontId="41" fillId="0" borderId="1" xfId="0" applyFont="1" applyFill="1" applyBorder="1" applyAlignment="1">
      <alignment wrapText="1"/>
    </xf>
    <xf numFmtId="174" fontId="34" fillId="0" borderId="1" xfId="0" applyNumberFormat="1" applyFont="1" applyBorder="1" applyAlignment="1">
      <alignment horizontal="center" wrapText="1"/>
    </xf>
    <xf numFmtId="174" fontId="34" fillId="0" borderId="1" xfId="0" applyNumberFormat="1" applyFont="1" applyFill="1" applyBorder="1" applyAlignment="1">
      <alignment horizontal="center" wrapText="1"/>
    </xf>
    <xf numFmtId="0" fontId="36" fillId="0" borderId="1" xfId="0" applyFont="1" applyBorder="1" applyAlignment="1">
      <alignment horizontal="center" wrapText="1"/>
    </xf>
    <xf numFmtId="180" fontId="34" fillId="0" borderId="1" xfId="0" applyNumberFormat="1" applyFont="1" applyFill="1" applyBorder="1" applyAlignment="1">
      <alignment horizontal="center" wrapText="1"/>
    </xf>
    <xf numFmtId="180" fontId="34" fillId="0" borderId="1" xfId="0" applyNumberFormat="1" applyFont="1" applyBorder="1" applyAlignment="1">
      <alignment horizontal="center" wrapText="1"/>
    </xf>
    <xf numFmtId="176" fontId="34" fillId="0" borderId="1" xfId="0" applyNumberFormat="1" applyFont="1" applyBorder="1" applyAlignment="1">
      <alignment horizontal="center" vertical="center" wrapText="1"/>
    </xf>
    <xf numFmtId="174" fontId="34" fillId="0" borderId="1" xfId="0" applyNumberFormat="1" applyFont="1" applyBorder="1" applyAlignment="1">
      <alignment horizontal="center" vertical="center" wrapText="1"/>
    </xf>
    <xf numFmtId="182" fontId="34" fillId="0" borderId="1" xfId="0" applyNumberFormat="1" applyFont="1" applyBorder="1" applyAlignment="1">
      <alignment horizontal="center" wrapText="1"/>
    </xf>
    <xf numFmtId="174" fontId="34" fillId="0" borderId="1" xfId="0" applyNumberFormat="1" applyFont="1" applyBorder="1" applyAlignment="1">
      <alignment horizontal="center" vertical="center" wrapText="1"/>
    </xf>
    <xf numFmtId="0" fontId="36" fillId="0" borderId="1" xfId="0" applyFont="1" applyBorder="1" applyAlignment="1">
      <alignment horizontal="center" vertical="center" wrapText="1"/>
    </xf>
    <xf numFmtId="174" fontId="34" fillId="0" borderId="1" xfId="0" applyNumberFormat="1" applyFont="1" applyFill="1" applyBorder="1" applyAlignment="1">
      <alignment horizontal="center" vertical="center" wrapText="1"/>
    </xf>
    <xf numFmtId="0" fontId="34" fillId="0" borderId="1" xfId="0" applyFont="1" applyBorder="1" applyAlignment="1">
      <alignment horizontal="center" wrapText="1"/>
    </xf>
    <xf numFmtId="4" fontId="34" fillId="0" borderId="1" xfId="0" applyNumberFormat="1" applyFont="1" applyBorder="1" applyAlignment="1">
      <alignment horizontal="center" wrapText="1"/>
    </xf>
    <xf numFmtId="174" fontId="34" fillId="0" borderId="1" xfId="0" applyNumberFormat="1" applyFont="1" applyBorder="1" applyAlignment="1">
      <alignment horizontal="center" vertical="center" wrapText="1"/>
    </xf>
    <xf numFmtId="2" fontId="16" fillId="0" borderId="0" xfId="0" applyNumberFormat="1" applyFont="1" applyAlignment="1">
      <alignment wrapText="1"/>
    </xf>
    <xf numFmtId="181" fontId="16" fillId="0" borderId="0" xfId="0" applyNumberFormat="1" applyFont="1" applyAlignment="1">
      <alignment wrapText="1"/>
    </xf>
    <xf numFmtId="2" fontId="15" fillId="0" borderId="0" xfId="0" applyNumberFormat="1" applyFont="1" applyAlignment="1">
      <alignment wrapText="1"/>
    </xf>
    <xf numFmtId="181" fontId="17" fillId="2" borderId="0" xfId="0" applyNumberFormat="1" applyFont="1" applyFill="1" applyAlignment="1">
      <alignment wrapText="1"/>
    </xf>
    <xf numFmtId="0" fontId="34" fillId="0" borderId="0" xfId="0" applyFont="1" applyAlignment="1"/>
    <xf numFmtId="16" fontId="13" fillId="0" borderId="1" xfId="0" applyNumberFormat="1" applyFont="1" applyBorder="1" applyAlignment="1">
      <alignment wrapText="1"/>
    </xf>
    <xf numFmtId="174" fontId="13" fillId="0" borderId="10" xfId="0" applyNumberFormat="1" applyFont="1" applyBorder="1" applyAlignment="1"/>
    <xf numFmtId="0" fontId="13" fillId="0" borderId="10" xfId="0" applyFont="1" applyBorder="1" applyAlignment="1"/>
    <xf numFmtId="174" fontId="13" fillId="0" borderId="9" xfId="0" applyNumberFormat="1" applyFont="1" applyBorder="1" applyAlignment="1"/>
    <xf numFmtId="0" fontId="36" fillId="0" borderId="0" xfId="0" applyFont="1" applyAlignment="1"/>
    <xf numFmtId="0" fontId="17" fillId="0" borderId="0" xfId="0" applyFont="1" applyFill="1" applyBorder="1" applyAlignment="1">
      <alignment horizontal="center"/>
    </xf>
    <xf numFmtId="0" fontId="36" fillId="0" borderId="0" xfId="0" applyFont="1" applyFill="1" applyAlignment="1"/>
    <xf numFmtId="0" fontId="15" fillId="0" borderId="0" xfId="0" applyFont="1" applyBorder="1" applyAlignment="1"/>
    <xf numFmtId="0" fontId="38" fillId="0" borderId="0" xfId="0" applyFont="1" applyAlignment="1">
      <alignment horizontal="right"/>
    </xf>
    <xf numFmtId="0" fontId="16" fillId="0" borderId="0" xfId="0" applyFont="1" applyBorder="1" applyAlignment="1">
      <alignment wrapText="1"/>
    </xf>
    <xf numFmtId="0" fontId="36" fillId="0" borderId="0" xfId="0" applyFont="1" applyBorder="1" applyAlignment="1">
      <alignment wrapText="1"/>
    </xf>
    <xf numFmtId="4" fontId="34" fillId="0" borderId="1" xfId="0" applyNumberFormat="1" applyFont="1" applyFill="1" applyBorder="1" applyAlignment="1">
      <alignment horizontal="right" vertical="center" wrapText="1"/>
    </xf>
    <xf numFmtId="4" fontId="13" fillId="0" borderId="2" xfId="0" applyNumberFormat="1" applyFont="1" applyFill="1" applyBorder="1" applyAlignment="1"/>
    <xf numFmtId="0" fontId="38" fillId="0" borderId="0" xfId="0" applyFont="1" applyAlignment="1">
      <alignment horizontal="left"/>
    </xf>
    <xf numFmtId="4" fontId="41" fillId="0" borderId="1" xfId="0" applyNumberFormat="1" applyFont="1" applyFill="1" applyBorder="1" applyAlignment="1">
      <alignment horizontal="right" vertical="center" wrapText="1"/>
    </xf>
    <xf numFmtId="0" fontId="41" fillId="2" borderId="1" xfId="0" applyFont="1" applyFill="1" applyBorder="1" applyAlignment="1">
      <alignment wrapText="1"/>
    </xf>
    <xf numFmtId="4" fontId="41" fillId="2" borderId="1" xfId="0" applyNumberFormat="1" applyFont="1" applyFill="1" applyBorder="1" applyAlignment="1">
      <alignment horizontal="right" vertical="center" wrapText="1"/>
    </xf>
    <xf numFmtId="4" fontId="39" fillId="2" borderId="1" xfId="0" applyNumberFormat="1" applyFont="1" applyFill="1" applyBorder="1" applyAlignment="1">
      <alignment wrapText="1"/>
    </xf>
    <xf numFmtId="0" fontId="41" fillId="0" borderId="0" xfId="0" applyFont="1" applyFill="1" applyBorder="1" applyAlignment="1">
      <alignment wrapText="1"/>
    </xf>
    <xf numFmtId="4" fontId="39" fillId="0" borderId="1" xfId="0" applyNumberFormat="1" applyFont="1" applyBorder="1" applyAlignment="1"/>
    <xf numFmtId="0" fontId="15" fillId="0" borderId="0" xfId="0" applyFont="1" applyAlignment="1">
      <alignment horizontal="right"/>
    </xf>
    <xf numFmtId="4" fontId="41" fillId="0" borderId="1" xfId="0" applyNumberFormat="1" applyFont="1" applyBorder="1" applyAlignment="1">
      <alignment horizontal="right" vertical="center" wrapText="1"/>
    </xf>
    <xf numFmtId="0" fontId="15" fillId="0" borderId="0" xfId="0" applyFont="1" applyBorder="1" applyAlignment="1">
      <alignment horizontal="left" wrapText="1"/>
    </xf>
    <xf numFmtId="0" fontId="39" fillId="0" borderId="1" xfId="0" applyFont="1" applyBorder="1" applyAlignment="1">
      <alignment wrapText="1"/>
    </xf>
    <xf numFmtId="0" fontId="39" fillId="0" borderId="0" xfId="0" applyFont="1" applyBorder="1" applyAlignment="1">
      <alignment wrapText="1"/>
    </xf>
    <xf numFmtId="2" fontId="34" fillId="0" borderId="0" xfId="0" applyNumberFormat="1" applyFont="1" applyFill="1" applyAlignment="1"/>
    <xf numFmtId="0" fontId="17" fillId="0" borderId="11" xfId="0" applyFont="1" applyBorder="1" applyAlignment="1">
      <alignment horizontal="left"/>
    </xf>
    <xf numFmtId="0" fontId="34" fillId="0" borderId="0" xfId="0" applyFont="1" applyFill="1" applyAlignment="1"/>
    <xf numFmtId="0" fontId="17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38" fillId="4" borderId="0" xfId="0" applyFont="1" applyFill="1" applyAlignment="1"/>
    <xf numFmtId="0" fontId="17" fillId="4" borderId="0" xfId="0" applyFont="1" applyFill="1" applyAlignment="1">
      <alignment horizontal="center" vertical="center" wrapText="1"/>
    </xf>
    <xf numFmtId="2" fontId="16" fillId="0" borderId="0" xfId="0" applyNumberFormat="1" applyFont="1" applyAlignment="1"/>
    <xf numFmtId="0" fontId="41" fillId="0" borderId="0" xfId="0" applyFont="1" applyFill="1" applyAlignment="1"/>
    <xf numFmtId="0" fontId="26" fillId="0" borderId="0" xfId="0" applyFont="1" applyFill="1" applyAlignment="1"/>
    <xf numFmtId="0" fontId="17" fillId="0" borderId="0" xfId="0" applyFont="1" applyFill="1" applyAlignment="1"/>
    <xf numFmtId="4" fontId="41" fillId="0" borderId="0" xfId="0" applyNumberFormat="1" applyFont="1" applyBorder="1" applyAlignment="1">
      <alignment horizontal="right" vertical="center" wrapText="1"/>
    </xf>
    <xf numFmtId="4" fontId="39" fillId="0" borderId="0" xfId="0" applyNumberFormat="1" applyFont="1" applyBorder="1" applyAlignment="1">
      <alignment wrapText="1"/>
    </xf>
    <xf numFmtId="0" fontId="21" fillId="0" borderId="0" xfId="0" applyFont="1" applyBorder="1" applyAlignment="1">
      <alignment wrapText="1"/>
    </xf>
    <xf numFmtId="0" fontId="16" fillId="0" borderId="1" xfId="0" applyFont="1" applyFill="1" applyBorder="1" applyAlignment="1">
      <alignment wrapText="1"/>
    </xf>
    <xf numFmtId="176" fontId="13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wrapText="1"/>
    </xf>
    <xf numFmtId="174" fontId="15" fillId="0" borderId="1" xfId="0" applyNumberFormat="1" applyFont="1" applyFill="1" applyBorder="1" applyAlignment="1">
      <alignment wrapText="1"/>
    </xf>
    <xf numFmtId="0" fontId="19" fillId="0" borderId="0" xfId="0" applyFont="1" applyAlignment="1">
      <alignment wrapText="1"/>
    </xf>
    <xf numFmtId="0" fontId="18" fillId="4" borderId="0" xfId="0" applyFont="1" applyFill="1" applyAlignment="1">
      <alignment horizontal="center"/>
    </xf>
    <xf numFmtId="179" fontId="16" fillId="0" borderId="0" xfId="0" applyNumberFormat="1" applyFont="1" applyAlignment="1">
      <alignment wrapText="1"/>
    </xf>
    <xf numFmtId="2" fontId="17" fillId="0" borderId="0" xfId="0" applyNumberFormat="1" applyFont="1" applyAlignment="1">
      <alignment wrapText="1"/>
    </xf>
    <xf numFmtId="2" fontId="13" fillId="0" borderId="0" xfId="0" applyNumberFormat="1" applyFont="1" applyAlignment="1">
      <alignment wrapText="1"/>
    </xf>
    <xf numFmtId="165" fontId="13" fillId="0" borderId="0" xfId="2" applyFont="1" applyAlignment="1">
      <alignment wrapText="1"/>
    </xf>
    <xf numFmtId="0" fontId="17" fillId="0" borderId="1" xfId="0" applyFont="1" applyBorder="1" applyAlignment="1">
      <alignment horizontal="left"/>
    </xf>
    <xf numFmtId="174" fontId="13" fillId="0" borderId="1" xfId="0" applyNumberFormat="1" applyFont="1" applyBorder="1" applyAlignment="1"/>
    <xf numFmtId="0" fontId="17" fillId="0" borderId="12" xfId="0" applyFont="1" applyBorder="1" applyAlignment="1">
      <alignment horizontal="left"/>
    </xf>
    <xf numFmtId="0" fontId="17" fillId="0" borderId="13" xfId="0" applyFont="1" applyBorder="1" applyAlignment="1">
      <alignment horizontal="left"/>
    </xf>
    <xf numFmtId="174" fontId="13" fillId="0" borderId="13" xfId="0" applyNumberFormat="1" applyFont="1" applyBorder="1" applyAlignment="1"/>
    <xf numFmtId="174" fontId="13" fillId="2" borderId="1" xfId="0" applyNumberFormat="1" applyFont="1" applyFill="1" applyBorder="1" applyAlignment="1"/>
    <xf numFmtId="0" fontId="29" fillId="0" borderId="1" xfId="0" applyFont="1" applyBorder="1" applyAlignment="1">
      <alignment horizontal="center" vertical="center" wrapText="1"/>
    </xf>
    <xf numFmtId="178" fontId="34" fillId="0" borderId="1" xfId="0" applyNumberFormat="1" applyFont="1" applyBorder="1" applyAlignment="1">
      <alignment horizontal="center" vertical="center" wrapText="1"/>
    </xf>
    <xf numFmtId="0" fontId="42" fillId="0" borderId="0" xfId="0" applyFont="1" applyBorder="1" applyAlignment="1">
      <alignment horizontal="left" vertical="center" wrapText="1"/>
    </xf>
    <xf numFmtId="4" fontId="18" fillId="0" borderId="0" xfId="0" applyNumberFormat="1" applyFont="1" applyAlignment="1">
      <alignment horizontal="center"/>
    </xf>
    <xf numFmtId="4" fontId="39" fillId="0" borderId="1" xfId="0" applyNumberFormat="1" applyFont="1" applyFill="1" applyBorder="1" applyAlignment="1">
      <alignment wrapText="1"/>
    </xf>
    <xf numFmtId="4" fontId="18" fillId="0" borderId="0" xfId="0" applyNumberFormat="1" applyFont="1" applyBorder="1" applyAlignment="1">
      <alignment horizontal="center"/>
    </xf>
    <xf numFmtId="2" fontId="15" fillId="4" borderId="0" xfId="0" applyNumberFormat="1" applyFont="1" applyFill="1" applyAlignment="1"/>
    <xf numFmtId="0" fontId="13" fillId="0" borderId="0" xfId="0" applyFont="1" applyAlignment="1">
      <alignment horizontal="center"/>
    </xf>
    <xf numFmtId="2" fontId="18" fillId="0" borderId="0" xfId="0" applyNumberFormat="1" applyFont="1" applyAlignment="1">
      <alignment horizontal="center"/>
    </xf>
    <xf numFmtId="174" fontId="34" fillId="0" borderId="0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/>
    <xf numFmtId="180" fontId="13" fillId="0" borderId="1" xfId="0" applyNumberFormat="1" applyFont="1" applyFill="1" applyBorder="1" applyAlignment="1">
      <alignment horizontal="center" wrapText="1"/>
    </xf>
    <xf numFmtId="178" fontId="13" fillId="0" borderId="1" xfId="0" applyNumberFormat="1" applyFont="1" applyBorder="1" applyAlignment="1">
      <alignment horizontal="center" vertical="center" wrapText="1"/>
    </xf>
    <xf numFmtId="177" fontId="13" fillId="0" borderId="1" xfId="0" applyNumberFormat="1" applyFont="1" applyBorder="1" applyAlignment="1">
      <alignment horizontal="center" vertical="center" wrapText="1"/>
    </xf>
    <xf numFmtId="178" fontId="13" fillId="0" borderId="1" xfId="0" applyNumberFormat="1" applyFont="1" applyFill="1" applyBorder="1" applyAlignment="1">
      <alignment horizontal="center" wrapText="1"/>
    </xf>
    <xf numFmtId="176" fontId="13" fillId="0" borderId="1" xfId="0" applyNumberFormat="1" applyFont="1" applyBorder="1" applyAlignment="1">
      <alignment horizontal="center" wrapText="1"/>
    </xf>
    <xf numFmtId="182" fontId="13" fillId="0" borderId="1" xfId="0" applyNumberFormat="1" applyFont="1" applyBorder="1" applyAlignment="1">
      <alignment horizontal="center" wrapText="1"/>
    </xf>
    <xf numFmtId="174" fontId="15" fillId="0" borderId="1" xfId="0" applyNumberFormat="1" applyFont="1" applyBorder="1" applyAlignment="1">
      <alignment horizontal="center" wrapText="1"/>
    </xf>
    <xf numFmtId="3" fontId="13" fillId="0" borderId="1" xfId="0" applyNumberFormat="1" applyFont="1" applyBorder="1" applyAlignment="1">
      <alignment horizontal="center" wrapText="1"/>
    </xf>
    <xf numFmtId="174" fontId="19" fillId="0" borderId="1" xfId="0" applyNumberFormat="1" applyFont="1" applyBorder="1" applyAlignment="1">
      <alignment horizontal="center" wrapText="1"/>
    </xf>
    <xf numFmtId="176" fontId="19" fillId="0" borderId="1" xfId="0" applyNumberFormat="1" applyFont="1" applyFill="1" applyBorder="1" applyAlignment="1">
      <alignment horizontal="center" wrapText="1"/>
    </xf>
    <xf numFmtId="0" fontId="29" fillId="0" borderId="0" xfId="0" applyFont="1" applyFill="1" applyBorder="1" applyAlignment="1">
      <alignment horizontal="left" vertical="center" wrapText="1"/>
    </xf>
    <xf numFmtId="180" fontId="13" fillId="0" borderId="1" xfId="0" applyNumberFormat="1" applyFont="1" applyFill="1" applyBorder="1" applyAlignment="1">
      <alignment horizontal="center" vertical="center" wrapText="1"/>
    </xf>
    <xf numFmtId="49" fontId="15" fillId="0" borderId="1" xfId="0" applyNumberFormat="1" applyFont="1" applyBorder="1" applyAlignment="1">
      <alignment horizontal="center" wrapText="1"/>
    </xf>
    <xf numFmtId="0" fontId="13" fillId="0" borderId="0" xfId="0" applyFont="1" applyBorder="1" applyAlignment="1">
      <alignment horizontal="center" vertical="center" wrapText="1"/>
    </xf>
    <xf numFmtId="4" fontId="17" fillId="0" borderId="1" xfId="0" applyNumberFormat="1" applyFont="1" applyFill="1" applyBorder="1" applyAlignment="1">
      <alignment horizontal="right" vertical="center" wrapText="1"/>
    </xf>
    <xf numFmtId="0" fontId="15" fillId="0" borderId="1" xfId="0" applyFont="1" applyFill="1" applyBorder="1" applyAlignment="1"/>
    <xf numFmtId="4" fontId="15" fillId="0" borderId="1" xfId="0" applyNumberFormat="1" applyFont="1" applyFill="1" applyBorder="1" applyAlignment="1"/>
    <xf numFmtId="2" fontId="15" fillId="0" borderId="1" xfId="0" applyNumberFormat="1" applyFont="1" applyFill="1" applyBorder="1" applyAlignment="1"/>
    <xf numFmtId="0" fontId="21" fillId="0" borderId="13" xfId="0" applyFont="1" applyBorder="1" applyAlignment="1">
      <alignment horizontal="center" wrapText="1"/>
    </xf>
    <xf numFmtId="2" fontId="21" fillId="0" borderId="13" xfId="0" applyNumberFormat="1" applyFont="1" applyBorder="1" applyAlignment="1">
      <alignment wrapText="1"/>
    </xf>
    <xf numFmtId="0" fontId="21" fillId="0" borderId="1" xfId="0" applyFont="1" applyBorder="1" applyAlignment="1">
      <alignment horizontal="center" wrapText="1"/>
    </xf>
    <xf numFmtId="2" fontId="21" fillId="0" borderId="1" xfId="0" applyNumberFormat="1" applyFont="1" applyBorder="1" applyAlignment="1">
      <alignment wrapText="1"/>
    </xf>
    <xf numFmtId="4" fontId="13" fillId="3" borderId="1" xfId="0" applyNumberFormat="1" applyFont="1" applyFill="1" applyBorder="1" applyAlignment="1">
      <alignment horizontal="right" wrapText="1"/>
    </xf>
    <xf numFmtId="0" fontId="19" fillId="0" borderId="1" xfId="0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right" vertical="center" wrapText="1"/>
    </xf>
    <xf numFmtId="4" fontId="13" fillId="0" borderId="1" xfId="0" applyNumberFormat="1" applyFont="1" applyFill="1" applyBorder="1" applyAlignment="1">
      <alignment horizontal="right" vertical="center" wrapText="1"/>
    </xf>
    <xf numFmtId="178" fontId="13" fillId="0" borderId="1" xfId="0" applyNumberFormat="1" applyFont="1" applyBorder="1" applyAlignment="1">
      <alignment horizontal="center" wrapText="1"/>
    </xf>
    <xf numFmtId="0" fontId="13" fillId="0" borderId="0" xfId="0" applyFont="1" applyAlignment="1">
      <alignment horizontal="center" wrapText="1"/>
    </xf>
    <xf numFmtId="0" fontId="18" fillId="0" borderId="0" xfId="0" applyFont="1" applyAlignment="1">
      <alignment horizontal="center" wrapText="1"/>
    </xf>
    <xf numFmtId="0" fontId="18" fillId="0" borderId="0" xfId="0" applyFont="1" applyAlignment="1">
      <alignment horizontal="center"/>
    </xf>
    <xf numFmtId="0" fontId="17" fillId="0" borderId="12" xfId="0" applyFont="1" applyBorder="1" applyAlignment="1">
      <alignment horizontal="left" wrapText="1"/>
    </xf>
    <xf numFmtId="0" fontId="17" fillId="0" borderId="0" xfId="0" applyFont="1" applyBorder="1" applyAlignment="1">
      <alignment horizontal="left" wrapText="1"/>
    </xf>
    <xf numFmtId="0" fontId="0" fillId="0" borderId="0" xfId="0" applyAlignment="1">
      <alignment horizontal="left" wrapText="1"/>
    </xf>
    <xf numFmtId="4" fontId="34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174" fontId="13" fillId="0" borderId="5" xfId="0" applyNumberFormat="1" applyFont="1" applyBorder="1" applyAlignment="1">
      <alignment wrapText="1"/>
    </xf>
    <xf numFmtId="174" fontId="13" fillId="0" borderId="6" xfId="0" applyNumberFormat="1" applyFont="1" applyBorder="1" applyAlignment="1">
      <alignment wrapText="1"/>
    </xf>
    <xf numFmtId="174" fontId="13" fillId="0" borderId="7" xfId="0" applyNumberFormat="1" applyFont="1" applyBorder="1" applyAlignment="1">
      <alignment wrapText="1"/>
    </xf>
    <xf numFmtId="0" fontId="23" fillId="0" borderId="5" xfId="0" applyFont="1" applyBorder="1" applyAlignment="1">
      <alignment wrapText="1"/>
    </xf>
    <xf numFmtId="0" fontId="23" fillId="0" borderId="6" xfId="0" applyFont="1" applyBorder="1" applyAlignment="1">
      <alignment wrapText="1"/>
    </xf>
    <xf numFmtId="0" fontId="23" fillId="0" borderId="7" xfId="0" applyFont="1" applyBorder="1" applyAlignment="1">
      <alignment wrapText="1"/>
    </xf>
    <xf numFmtId="174" fontId="13" fillId="0" borderId="5" xfId="0" applyNumberFormat="1" applyFont="1" applyFill="1" applyBorder="1" applyAlignment="1">
      <alignment wrapText="1"/>
    </xf>
    <xf numFmtId="174" fontId="13" fillId="0" borderId="6" xfId="0" applyNumberFormat="1" applyFont="1" applyFill="1" applyBorder="1" applyAlignment="1">
      <alignment wrapText="1"/>
    </xf>
    <xf numFmtId="174" fontId="13" fillId="0" borderId="7" xfId="0" applyNumberFormat="1" applyFont="1" applyFill="1" applyBorder="1" applyAlignment="1">
      <alignment wrapText="1"/>
    </xf>
    <xf numFmtId="0" fontId="17" fillId="0" borderId="3" xfId="0" applyFont="1" applyBorder="1" applyAlignment="1">
      <alignment horizontal="left"/>
    </xf>
    <xf numFmtId="0" fontId="17" fillId="0" borderId="4" xfId="0" applyFont="1" applyBorder="1" applyAlignment="1">
      <alignment horizontal="left"/>
    </xf>
    <xf numFmtId="0" fontId="17" fillId="0" borderId="5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left"/>
    </xf>
    <xf numFmtId="0" fontId="17" fillId="0" borderId="14" xfId="0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0" fontId="17" fillId="0" borderId="16" xfId="0" applyFont="1" applyBorder="1" applyAlignment="1">
      <alignment horizontal="center" vertical="center"/>
    </xf>
    <xf numFmtId="0" fontId="17" fillId="0" borderId="17" xfId="0" applyFont="1" applyBorder="1" applyAlignment="1">
      <alignment horizontal="center" vertical="center"/>
    </xf>
    <xf numFmtId="0" fontId="15" fillId="0" borderId="0" xfId="0" applyFont="1" applyAlignment="1">
      <alignment horizontal="center" wrapText="1"/>
    </xf>
    <xf numFmtId="0" fontId="24" fillId="0" borderId="0" xfId="0" applyFont="1" applyAlignment="1">
      <alignment horizontal="center" wrapText="1"/>
    </xf>
    <xf numFmtId="4" fontId="16" fillId="0" borderId="1" xfId="0" applyNumberFormat="1" applyFont="1" applyBorder="1" applyAlignment="1">
      <alignment horizontal="center" vertical="center" wrapText="1"/>
    </xf>
    <xf numFmtId="4" fontId="35" fillId="0" borderId="1" xfId="0" applyNumberFormat="1" applyFont="1" applyBorder="1" applyAlignment="1">
      <alignment horizontal="center"/>
    </xf>
    <xf numFmtId="0" fontId="13" fillId="0" borderId="5" xfId="0" applyFont="1" applyBorder="1" applyAlignment="1">
      <alignment horizontal="left" wrapText="1"/>
    </xf>
    <xf numFmtId="0" fontId="13" fillId="0" borderId="6" xfId="0" applyFont="1" applyBorder="1" applyAlignment="1">
      <alignment horizontal="left" wrapText="1"/>
    </xf>
    <xf numFmtId="4" fontId="13" fillId="0" borderId="5" xfId="0" applyNumberFormat="1" applyFont="1" applyBorder="1" applyAlignment="1">
      <alignment horizontal="center"/>
    </xf>
    <xf numFmtId="4" fontId="13" fillId="0" borderId="7" xfId="0" applyNumberFormat="1" applyFont="1" applyBorder="1" applyAlignment="1">
      <alignment horizontal="center"/>
    </xf>
    <xf numFmtId="0" fontId="35" fillId="0" borderId="6" xfId="0" applyFont="1" applyBorder="1" applyAlignment="1">
      <alignment wrapText="1"/>
    </xf>
    <xf numFmtId="174" fontId="13" fillId="0" borderId="5" xfId="0" applyNumberFormat="1" applyFont="1" applyBorder="1" applyAlignment="1">
      <alignment horizontal="left" wrapText="1"/>
    </xf>
    <xf numFmtId="174" fontId="13" fillId="0" borderId="6" xfId="0" applyNumberFormat="1" applyFont="1" applyBorder="1" applyAlignment="1">
      <alignment horizontal="left" wrapText="1"/>
    </xf>
    <xf numFmtId="4" fontId="23" fillId="0" borderId="1" xfId="0" applyNumberFormat="1" applyFont="1" applyBorder="1" applyAlignment="1">
      <alignment horizontal="center" wrapText="1"/>
    </xf>
    <xf numFmtId="4" fontId="35" fillId="0" borderId="1" xfId="0" applyNumberFormat="1" applyFont="1" applyBorder="1"/>
    <xf numFmtId="4" fontId="34" fillId="0" borderId="5" xfId="0" applyNumberFormat="1" applyFont="1" applyBorder="1" applyAlignment="1">
      <alignment horizontal="center"/>
    </xf>
    <xf numFmtId="4" fontId="34" fillId="0" borderId="7" xfId="0" applyNumberFormat="1" applyFont="1" applyBorder="1" applyAlignment="1">
      <alignment horizontal="center"/>
    </xf>
    <xf numFmtId="174" fontId="34" fillId="0" borderId="5" xfId="0" applyNumberFormat="1" applyFont="1" applyBorder="1" applyAlignment="1">
      <alignment horizontal="left" wrapText="1"/>
    </xf>
    <xf numFmtId="174" fontId="34" fillId="0" borderId="6" xfId="0" applyNumberFormat="1" applyFont="1" applyBorder="1" applyAlignment="1">
      <alignment horizontal="left" wrapText="1"/>
    </xf>
    <xf numFmtId="174" fontId="34" fillId="0" borderId="5" xfId="0" applyNumberFormat="1" applyFont="1" applyBorder="1" applyAlignment="1">
      <alignment wrapText="1"/>
    </xf>
    <xf numFmtId="0" fontId="0" fillId="0" borderId="7" xfId="0" applyBorder="1" applyAlignment="1">
      <alignment wrapText="1"/>
    </xf>
    <xf numFmtId="0" fontId="16" fillId="0" borderId="5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left" wrapText="1"/>
    </xf>
    <xf numFmtId="0" fontId="23" fillId="0" borderId="6" xfId="0" applyFont="1" applyBorder="1" applyAlignment="1">
      <alignment horizontal="left" wrapText="1"/>
    </xf>
    <xf numFmtId="0" fontId="17" fillId="0" borderId="18" xfId="0" applyFont="1" applyBorder="1" applyAlignment="1">
      <alignment horizontal="left"/>
    </xf>
    <xf numFmtId="0" fontId="17" fillId="0" borderId="10" xfId="0" applyFont="1" applyBorder="1" applyAlignment="1">
      <alignment horizontal="left"/>
    </xf>
    <xf numFmtId="0" fontId="35" fillId="0" borderId="0" xfId="0" applyFont="1" applyAlignment="1">
      <alignment horizontal="center" wrapText="1"/>
    </xf>
    <xf numFmtId="4" fontId="19" fillId="0" borderId="1" xfId="0" applyNumberFormat="1" applyFont="1" applyFill="1" applyBorder="1" applyAlignment="1">
      <alignment horizontal="center"/>
    </xf>
    <xf numFmtId="0" fontId="35" fillId="0" borderId="7" xfId="0" applyFont="1" applyBorder="1"/>
    <xf numFmtId="0" fontId="16" fillId="0" borderId="7" xfId="0" applyFont="1" applyBorder="1" applyAlignment="1">
      <alignment horizontal="center" vertical="center" wrapText="1"/>
    </xf>
    <xf numFmtId="4" fontId="23" fillId="0" borderId="5" xfId="0" applyNumberFormat="1" applyFont="1" applyBorder="1" applyAlignment="1">
      <alignment horizontal="center" wrapText="1"/>
    </xf>
    <xf numFmtId="4" fontId="35" fillId="0" borderId="7" xfId="0" applyNumberFormat="1" applyFont="1" applyBorder="1"/>
    <xf numFmtId="174" fontId="34" fillId="0" borderId="7" xfId="0" applyNumberFormat="1" applyFont="1" applyBorder="1" applyAlignment="1">
      <alignment horizontal="left" wrapText="1"/>
    </xf>
    <xf numFmtId="4" fontId="43" fillId="0" borderId="1" xfId="0" applyNumberFormat="1" applyFont="1" applyFill="1" applyBorder="1" applyAlignment="1">
      <alignment horizontal="center"/>
    </xf>
    <xf numFmtId="0" fontId="23" fillId="0" borderId="7" xfId="0" applyFont="1" applyBorder="1" applyAlignment="1">
      <alignment horizontal="left" wrapText="1"/>
    </xf>
    <xf numFmtId="174" fontId="13" fillId="0" borderId="7" xfId="0" applyNumberFormat="1" applyFont="1" applyBorder="1" applyAlignment="1">
      <alignment horizontal="left" wrapText="1"/>
    </xf>
    <xf numFmtId="0" fontId="13" fillId="0" borderId="7" xfId="0" applyFont="1" applyBorder="1" applyAlignment="1">
      <alignment horizontal="left" wrapText="1"/>
    </xf>
    <xf numFmtId="174" fontId="34" fillId="0" borderId="5" xfId="0" applyNumberFormat="1" applyFont="1" applyFill="1" applyBorder="1" applyAlignment="1">
      <alignment horizontal="left" wrapText="1"/>
    </xf>
    <xf numFmtId="174" fontId="34" fillId="0" borderId="7" xfId="0" applyNumberFormat="1" applyFont="1" applyFill="1" applyBorder="1" applyAlignment="1">
      <alignment horizontal="left" wrapText="1"/>
    </xf>
    <xf numFmtId="174" fontId="19" fillId="0" borderId="1" xfId="0" applyNumberFormat="1" applyFont="1" applyBorder="1" applyAlignment="1">
      <alignment horizontal="center"/>
    </xf>
    <xf numFmtId="174" fontId="23" fillId="0" borderId="5" xfId="0" applyNumberFormat="1" applyFont="1" applyBorder="1" applyAlignment="1">
      <alignment horizontal="center" wrapText="1"/>
    </xf>
    <xf numFmtId="174" fontId="13" fillId="0" borderId="5" xfId="0" applyNumberFormat="1" applyFont="1" applyBorder="1" applyAlignment="1">
      <alignment horizontal="center"/>
    </xf>
    <xf numFmtId="174" fontId="13" fillId="0" borderId="7" xfId="0" applyNumberFormat="1" applyFont="1" applyBorder="1" applyAlignment="1">
      <alignment horizontal="center"/>
    </xf>
    <xf numFmtId="174" fontId="13" fillId="0" borderId="1" xfId="0" applyNumberFormat="1" applyFont="1" applyBorder="1" applyAlignment="1">
      <alignment horizontal="center"/>
    </xf>
    <xf numFmtId="0" fontId="13" fillId="0" borderId="5" xfId="0" applyFont="1" applyBorder="1" applyAlignment="1">
      <alignment horizontal="left" vertical="center" wrapText="1"/>
    </xf>
    <xf numFmtId="0" fontId="44" fillId="0" borderId="7" xfId="0" applyFont="1" applyBorder="1" applyAlignment="1">
      <alignment wrapText="1"/>
    </xf>
    <xf numFmtId="0" fontId="13" fillId="0" borderId="7" xfId="0" applyFont="1" applyBorder="1" applyAlignment="1">
      <alignment horizontal="left" vertical="center" wrapText="1"/>
    </xf>
    <xf numFmtId="0" fontId="29" fillId="0" borderId="5" xfId="0" applyFont="1" applyFill="1" applyBorder="1" applyAlignment="1">
      <alignment horizontal="left" vertical="center" wrapText="1"/>
    </xf>
    <xf numFmtId="0" fontId="17" fillId="0" borderId="14" xfId="0" applyFont="1" applyFill="1" applyBorder="1" applyAlignment="1">
      <alignment horizontal="center" vertical="center"/>
    </xf>
    <xf numFmtId="0" fontId="17" fillId="0" borderId="15" xfId="0" applyFont="1" applyFill="1" applyBorder="1" applyAlignment="1">
      <alignment horizontal="center" vertical="center"/>
    </xf>
    <xf numFmtId="0" fontId="17" fillId="0" borderId="16" xfId="0" applyFont="1" applyFill="1" applyBorder="1" applyAlignment="1">
      <alignment horizontal="center" vertical="center"/>
    </xf>
    <xf numFmtId="0" fontId="17" fillId="0" borderId="17" xfId="0" applyFont="1" applyFill="1" applyBorder="1" applyAlignment="1">
      <alignment horizontal="center" vertical="center"/>
    </xf>
    <xf numFmtId="174" fontId="23" fillId="0" borderId="5" xfId="0" applyNumberFormat="1" applyFont="1" applyBorder="1" applyAlignment="1">
      <alignment horizontal="center" vertical="center" wrapText="1"/>
    </xf>
    <xf numFmtId="0" fontId="35" fillId="0" borderId="7" xfId="0" applyFont="1" applyBorder="1" applyAlignment="1">
      <alignment vertical="center"/>
    </xf>
    <xf numFmtId="174" fontId="19" fillId="0" borderId="1" xfId="0" applyNumberFormat="1" applyFont="1" applyBorder="1" applyAlignment="1">
      <alignment horizontal="center" vertical="center"/>
    </xf>
    <xf numFmtId="174" fontId="13" fillId="0" borderId="5" xfId="0" applyNumberFormat="1" applyFont="1" applyBorder="1" applyAlignment="1">
      <alignment horizontal="left" vertical="center" wrapText="1"/>
    </xf>
    <xf numFmtId="174" fontId="13" fillId="0" borderId="7" xfId="0" applyNumberFormat="1" applyFont="1" applyBorder="1" applyAlignment="1">
      <alignment horizontal="left" vertical="center" wrapText="1"/>
    </xf>
    <xf numFmtId="174" fontId="43" fillId="0" borderId="1" xfId="0" applyNumberFormat="1" applyFont="1" applyBorder="1" applyAlignment="1">
      <alignment horizontal="center" vertical="center"/>
    </xf>
    <xf numFmtId="0" fontId="35" fillId="0" borderId="7" xfId="0" applyFont="1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17" fillId="0" borderId="3" xfId="0" applyFont="1" applyBorder="1" applyAlignment="1"/>
    <xf numFmtId="0" fontId="17" fillId="0" borderId="4" xfId="0" applyFont="1" applyBorder="1" applyAlignment="1"/>
    <xf numFmtId="174" fontId="13" fillId="0" borderId="5" xfId="0" applyNumberFormat="1" applyFont="1" applyFill="1" applyBorder="1" applyAlignment="1">
      <alignment horizontal="left" wrapText="1"/>
    </xf>
    <xf numFmtId="174" fontId="13" fillId="0" borderId="7" xfId="0" applyNumberFormat="1" applyFont="1" applyFill="1" applyBorder="1" applyAlignment="1">
      <alignment horizontal="left" wrapText="1"/>
    </xf>
    <xf numFmtId="174" fontId="19" fillId="0" borderId="1" xfId="0" applyNumberFormat="1" applyFont="1" applyFill="1" applyBorder="1" applyAlignment="1">
      <alignment horizontal="center"/>
    </xf>
    <xf numFmtId="0" fontId="34" fillId="0" borderId="5" xfId="0" applyFont="1" applyBorder="1" applyAlignment="1">
      <alignment horizontal="left" wrapText="1"/>
    </xf>
    <xf numFmtId="0" fontId="34" fillId="0" borderId="7" xfId="0" applyFont="1" applyBorder="1" applyAlignment="1">
      <alignment horizontal="left" wrapText="1"/>
    </xf>
    <xf numFmtId="174" fontId="43" fillId="0" borderId="1" xfId="0" applyNumberFormat="1" applyFont="1" applyBorder="1" applyAlignment="1">
      <alignment horizontal="center"/>
    </xf>
    <xf numFmtId="174" fontId="43" fillId="0" borderId="1" xfId="0" applyNumberFormat="1" applyFont="1" applyFill="1" applyBorder="1" applyAlignment="1">
      <alignment horizontal="center"/>
    </xf>
    <xf numFmtId="0" fontId="17" fillId="0" borderId="1" xfId="0" applyFont="1" applyBorder="1" applyAlignment="1">
      <alignment horizontal="center" vertical="center"/>
    </xf>
    <xf numFmtId="174" fontId="19" fillId="0" borderId="5" xfId="0" applyNumberFormat="1" applyFont="1" applyBorder="1" applyAlignment="1">
      <alignment horizontal="center"/>
    </xf>
    <xf numFmtId="174" fontId="19" fillId="0" borderId="7" xfId="0" applyNumberFormat="1" applyFont="1" applyBorder="1" applyAlignment="1">
      <alignment horizontal="center"/>
    </xf>
    <xf numFmtId="174" fontId="43" fillId="0" borderId="5" xfId="0" applyNumberFormat="1" applyFont="1" applyBorder="1" applyAlignment="1">
      <alignment horizontal="center"/>
    </xf>
    <xf numFmtId="174" fontId="43" fillId="0" borderId="7" xfId="0" applyNumberFormat="1" applyFont="1" applyBorder="1" applyAlignment="1">
      <alignment horizontal="center"/>
    </xf>
    <xf numFmtId="174" fontId="34" fillId="0" borderId="5" xfId="0" applyNumberFormat="1" applyFont="1" applyFill="1" applyBorder="1" applyAlignment="1">
      <alignment wrapText="1"/>
    </xf>
    <xf numFmtId="174" fontId="34" fillId="0" borderId="7" xfId="0" applyNumberFormat="1" applyFont="1" applyFill="1" applyBorder="1" applyAlignment="1">
      <alignment wrapText="1"/>
    </xf>
    <xf numFmtId="0" fontId="42" fillId="0" borderId="5" xfId="0" applyFont="1" applyBorder="1" applyAlignment="1">
      <alignment horizontal="left" vertical="center" wrapText="1"/>
    </xf>
    <xf numFmtId="174" fontId="13" fillId="0" borderId="5" xfId="0" applyNumberFormat="1" applyFont="1" applyBorder="1" applyAlignment="1">
      <alignment horizontal="center" vertical="center"/>
    </xf>
    <xf numFmtId="174" fontId="13" fillId="0" borderId="7" xfId="0" applyNumberFormat="1" applyFont="1" applyBorder="1" applyAlignment="1">
      <alignment horizontal="center" vertical="center"/>
    </xf>
    <xf numFmtId="174" fontId="15" fillId="0" borderId="5" xfId="0" applyNumberFormat="1" applyFont="1" applyBorder="1" applyAlignment="1">
      <alignment horizontal="left" wrapText="1"/>
    </xf>
    <xf numFmtId="174" fontId="15" fillId="0" borderId="7" xfId="0" applyNumberFormat="1" applyFont="1" applyBorder="1" applyAlignment="1">
      <alignment horizontal="left" wrapText="1"/>
    </xf>
    <xf numFmtId="174" fontId="15" fillId="0" borderId="5" xfId="0" applyNumberFormat="1" applyFont="1" applyBorder="1" applyAlignment="1">
      <alignment horizontal="center" vertical="center"/>
    </xf>
    <xf numFmtId="174" fontId="15" fillId="0" borderId="7" xfId="0" applyNumberFormat="1" applyFont="1" applyBorder="1" applyAlignment="1">
      <alignment horizontal="center" vertical="center"/>
    </xf>
    <xf numFmtId="0" fontId="15" fillId="0" borderId="5" xfId="0" applyFont="1" applyBorder="1" applyAlignment="1">
      <alignment horizontal="left" vertical="center" wrapText="1"/>
    </xf>
    <xf numFmtId="0" fontId="35" fillId="0" borderId="7" xfId="0" applyFont="1" applyBorder="1" applyAlignment="1">
      <alignment horizontal="left" vertical="center" wrapText="1"/>
    </xf>
    <xf numFmtId="174" fontId="15" fillId="0" borderId="5" xfId="0" applyNumberFormat="1" applyFont="1" applyFill="1" applyBorder="1" applyAlignment="1">
      <alignment horizontal="center" vertical="center"/>
    </xf>
    <xf numFmtId="174" fontId="15" fillId="0" borderId="7" xfId="0" applyNumberFormat="1" applyFont="1" applyFill="1" applyBorder="1" applyAlignment="1">
      <alignment horizontal="center" vertical="center"/>
    </xf>
    <xf numFmtId="174" fontId="19" fillId="0" borderId="5" xfId="0" applyNumberFormat="1" applyFont="1" applyFill="1" applyBorder="1" applyAlignment="1">
      <alignment horizontal="center"/>
    </xf>
    <xf numFmtId="174" fontId="19" fillId="0" borderId="7" xfId="0" applyNumberFormat="1" applyFont="1" applyFill="1" applyBorder="1" applyAlignment="1">
      <alignment horizontal="center"/>
    </xf>
    <xf numFmtId="0" fontId="18" fillId="0" borderId="8" xfId="0" applyFont="1" applyBorder="1" applyAlignment="1">
      <alignment horizontal="center" wrapText="1"/>
    </xf>
    <xf numFmtId="0" fontId="42" fillId="0" borderId="5" xfId="0" applyFont="1" applyFill="1" applyBorder="1" applyAlignment="1">
      <alignment horizontal="left" vertical="center" wrapText="1"/>
    </xf>
    <xf numFmtId="0" fontId="36" fillId="0" borderId="5" xfId="0" applyFont="1" applyFill="1" applyBorder="1" applyAlignment="1">
      <alignment horizontal="left" vertical="center" wrapText="1"/>
    </xf>
    <xf numFmtId="0" fontId="35" fillId="0" borderId="7" xfId="0" applyFont="1" applyFill="1" applyBorder="1" applyAlignment="1">
      <alignment horizontal="left" wrapText="1"/>
    </xf>
    <xf numFmtId="0" fontId="18" fillId="0" borderId="0" xfId="0" applyFont="1" applyBorder="1" applyAlignment="1">
      <alignment horizontal="center" wrapText="1"/>
    </xf>
    <xf numFmtId="0" fontId="35" fillId="0" borderId="0" xfId="0" applyFont="1" applyBorder="1" applyAlignment="1">
      <alignment horizontal="center" wrapText="1"/>
    </xf>
    <xf numFmtId="0" fontId="15" fillId="0" borderId="0" xfId="0" applyFont="1" applyFill="1" applyAlignment="1">
      <alignment horizontal="center" vertical="center" wrapText="1"/>
    </xf>
    <xf numFmtId="0" fontId="35" fillId="0" borderId="0" xfId="0" applyFont="1" applyFill="1" applyAlignment="1">
      <alignment horizontal="center" vertical="center" wrapText="1"/>
    </xf>
    <xf numFmtId="0" fontId="15" fillId="4" borderId="0" xfId="0" applyFont="1" applyFill="1" applyAlignment="1">
      <alignment horizontal="center" vertical="center" wrapText="1"/>
    </xf>
    <xf numFmtId="0" fontId="35" fillId="4" borderId="0" xfId="0" applyFont="1" applyFill="1" applyAlignment="1">
      <alignment horizontal="center" vertical="center" wrapText="1"/>
    </xf>
    <xf numFmtId="0" fontId="0" fillId="0" borderId="7" xfId="0" applyBorder="1" applyAlignment="1">
      <alignment horizontal="left" vertical="center" wrapText="1"/>
    </xf>
    <xf numFmtId="174" fontId="15" fillId="0" borderId="1" xfId="0" applyNumberFormat="1" applyFont="1" applyBorder="1" applyAlignment="1">
      <alignment horizontal="center"/>
    </xf>
    <xf numFmtId="174" fontId="34" fillId="0" borderId="5" xfId="0" applyNumberFormat="1" applyFont="1" applyBorder="1" applyAlignment="1">
      <alignment horizontal="left" vertical="center" wrapText="1"/>
    </xf>
    <xf numFmtId="0" fontId="33" fillId="0" borderId="7" xfId="0" applyFont="1" applyBorder="1" applyAlignment="1">
      <alignment horizontal="left" vertical="center" wrapText="1"/>
    </xf>
    <xf numFmtId="174" fontId="13" fillId="0" borderId="5" xfId="0" applyNumberFormat="1" applyFont="1" applyBorder="1" applyAlignment="1">
      <alignment horizontal="center" wrapText="1"/>
    </xf>
    <xf numFmtId="174" fontId="13" fillId="0" borderId="7" xfId="0" applyNumberFormat="1" applyFont="1" applyBorder="1" applyAlignment="1">
      <alignment horizontal="center" wrapText="1"/>
    </xf>
    <xf numFmtId="174" fontId="34" fillId="0" borderId="5" xfId="0" applyNumberFormat="1" applyFont="1" applyBorder="1" applyAlignment="1">
      <alignment horizontal="center" wrapText="1"/>
    </xf>
    <xf numFmtId="0" fontId="45" fillId="0" borderId="7" xfId="0" applyFont="1" applyBorder="1"/>
    <xf numFmtId="0" fontId="5" fillId="0" borderId="5" xfId="0" applyFont="1" applyFill="1" applyBorder="1" applyAlignment="1">
      <alignment horizontal="left" vertical="center" wrapText="1"/>
    </xf>
    <xf numFmtId="0" fontId="46" fillId="0" borderId="7" xfId="0" applyFont="1" applyBorder="1" applyAlignment="1">
      <alignment horizontal="left" wrapText="1"/>
    </xf>
    <xf numFmtId="0" fontId="15" fillId="0" borderId="0" xfId="0" applyFont="1" applyFill="1" applyAlignment="1">
      <alignment wrapText="1"/>
    </xf>
    <xf numFmtId="0" fontId="35" fillId="0" borderId="0" xfId="0" applyFont="1" applyFill="1" applyAlignment="1">
      <alignment wrapText="1"/>
    </xf>
    <xf numFmtId="0" fontId="0" fillId="0" borderId="7" xfId="0" applyBorder="1" applyAlignment="1">
      <alignment horizontal="center"/>
    </xf>
    <xf numFmtId="0" fontId="33" fillId="0" borderId="7" xfId="0" applyFont="1" applyFill="1" applyBorder="1" applyAlignment="1">
      <alignment horizontal="left" wrapText="1"/>
    </xf>
    <xf numFmtId="0" fontId="30" fillId="0" borderId="5" xfId="0" applyFont="1" applyFill="1" applyBorder="1" applyAlignment="1">
      <alignment horizontal="left" vertical="center" wrapText="1"/>
    </xf>
    <xf numFmtId="0" fontId="19" fillId="0" borderId="5" xfId="0" applyFont="1" applyFill="1" applyBorder="1" applyAlignment="1">
      <alignment horizontal="left" vertical="center" wrapText="1"/>
    </xf>
    <xf numFmtId="0" fontId="47" fillId="0" borderId="7" xfId="0" applyFont="1" applyFill="1" applyBorder="1" applyAlignment="1">
      <alignment horizontal="left" vertical="center" wrapText="1"/>
    </xf>
    <xf numFmtId="0" fontId="47" fillId="0" borderId="7" xfId="0" applyFont="1" applyBorder="1" applyAlignment="1">
      <alignment horizontal="left" vertical="center" wrapText="1"/>
    </xf>
    <xf numFmtId="174" fontId="34" fillId="0" borderId="7" xfId="0" applyNumberFormat="1" applyFont="1" applyBorder="1" applyAlignment="1">
      <alignment horizontal="center" wrapText="1"/>
    </xf>
    <xf numFmtId="0" fontId="13" fillId="0" borderId="19" xfId="0" applyFont="1" applyBorder="1" applyAlignment="1">
      <alignment horizontal="left" wrapText="1"/>
    </xf>
    <xf numFmtId="0" fontId="35" fillId="0" borderId="19" xfId="0" applyFont="1" applyBorder="1" applyAlignment="1">
      <alignment horizontal="left" wrapText="1"/>
    </xf>
    <xf numFmtId="174" fontId="34" fillId="0" borderId="1" xfId="0" applyNumberFormat="1" applyFont="1" applyBorder="1" applyAlignment="1">
      <alignment horizontal="center"/>
    </xf>
    <xf numFmtId="0" fontId="33" fillId="0" borderId="7" xfId="0" applyFont="1" applyBorder="1" applyAlignment="1">
      <alignment horizontal="left" wrapText="1"/>
    </xf>
    <xf numFmtId="174" fontId="36" fillId="0" borderId="5" xfId="0" applyNumberFormat="1" applyFont="1" applyBorder="1" applyAlignment="1">
      <alignment horizontal="center" wrapText="1"/>
    </xf>
    <xf numFmtId="0" fontId="33" fillId="0" borderId="7" xfId="0" applyFont="1" applyBorder="1"/>
    <xf numFmtId="174" fontId="15" fillId="0" borderId="5" xfId="0" applyNumberFormat="1" applyFont="1" applyBorder="1" applyAlignment="1">
      <alignment horizontal="center" wrapText="1"/>
    </xf>
    <xf numFmtId="174" fontId="5" fillId="0" borderId="5" xfId="0" applyNumberFormat="1" applyFont="1" applyBorder="1" applyAlignment="1">
      <alignment horizontal="left" wrapText="1"/>
    </xf>
    <xf numFmtId="174" fontId="5" fillId="0" borderId="6" xfId="0" applyNumberFormat="1" applyFont="1" applyBorder="1" applyAlignment="1">
      <alignment horizontal="left" wrapText="1"/>
    </xf>
    <xf numFmtId="174" fontId="5" fillId="0" borderId="7" xfId="0" applyNumberFormat="1" applyFont="1" applyBorder="1" applyAlignment="1">
      <alignment horizontal="left" wrapText="1"/>
    </xf>
    <xf numFmtId="174" fontId="5" fillId="0" borderId="1" xfId="0" applyNumberFormat="1" applyFont="1" applyBorder="1" applyAlignment="1">
      <alignment horizontal="center"/>
    </xf>
    <xf numFmtId="0" fontId="9" fillId="0" borderId="5" xfId="0" applyFont="1" applyBorder="1" applyAlignment="1">
      <alignment horizontal="left" wrapText="1"/>
    </xf>
    <xf numFmtId="0" fontId="9" fillId="0" borderId="6" xfId="0" applyFont="1" applyBorder="1" applyAlignment="1">
      <alignment horizontal="left" wrapText="1"/>
    </xf>
    <xf numFmtId="0" fontId="9" fillId="0" borderId="7" xfId="0" applyFont="1" applyBorder="1" applyAlignment="1">
      <alignment horizontal="left" wrapText="1"/>
    </xf>
    <xf numFmtId="174" fontId="9" fillId="0" borderId="5" xfId="0" applyNumberFormat="1" applyFont="1" applyBorder="1" applyAlignment="1">
      <alignment horizontal="center" wrapText="1"/>
    </xf>
    <xf numFmtId="0" fontId="10" fillId="0" borderId="7" xfId="0" applyFont="1" applyBorder="1"/>
    <xf numFmtId="0" fontId="3" fillId="0" borderId="0" xfId="0" applyFont="1" applyAlignment="1">
      <alignment horizontal="center"/>
    </xf>
    <xf numFmtId="0" fontId="11" fillId="0" borderId="5" xfId="0" applyFont="1" applyBorder="1" applyAlignment="1">
      <alignment horizontal="center" wrapText="1"/>
    </xf>
    <xf numFmtId="0" fontId="11" fillId="0" borderId="6" xfId="0" applyFont="1" applyBorder="1" applyAlignment="1">
      <alignment horizontal="center" wrapText="1"/>
    </xf>
    <xf numFmtId="0" fontId="11" fillId="0" borderId="7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9" fillId="0" borderId="5" xfId="0" applyFont="1" applyBorder="1" applyAlignment="1">
      <alignment horizontal="center" wrapText="1"/>
    </xf>
    <xf numFmtId="0" fontId="9" fillId="0" borderId="6" xfId="0" applyFont="1" applyBorder="1" applyAlignment="1">
      <alignment horizontal="center" wrapText="1"/>
    </xf>
    <xf numFmtId="0" fontId="9" fillId="0" borderId="7" xfId="0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174" fontId="13" fillId="0" borderId="6" xfId="0" applyNumberFormat="1" applyFont="1" applyFill="1" applyBorder="1" applyAlignment="1">
      <alignment horizontal="left" wrapText="1"/>
    </xf>
    <xf numFmtId="0" fontId="35" fillId="0" borderId="8" xfId="0" applyFont="1" applyBorder="1" applyAlignment="1">
      <alignment horizontal="center" wrapText="1"/>
    </xf>
    <xf numFmtId="174" fontId="23" fillId="0" borderId="1" xfId="0" applyNumberFormat="1" applyFont="1" applyBorder="1" applyAlignment="1">
      <alignment horizontal="center" wrapText="1"/>
    </xf>
    <xf numFmtId="0" fontId="35" fillId="0" borderId="1" xfId="0" applyFont="1" applyBorder="1"/>
    <xf numFmtId="0" fontId="16" fillId="0" borderId="1" xfId="0" applyFont="1" applyBorder="1" applyAlignment="1">
      <alignment horizontal="center" vertical="center" wrapText="1"/>
    </xf>
    <xf numFmtId="0" fontId="28" fillId="0" borderId="0" xfId="0" applyFont="1" applyAlignment="1">
      <alignment horizontal="left" wrapText="1"/>
    </xf>
    <xf numFmtId="174" fontId="15" fillId="0" borderId="5" xfId="0" applyNumberFormat="1" applyFont="1" applyFill="1" applyBorder="1" applyAlignment="1">
      <alignment horizontal="left" wrapText="1"/>
    </xf>
    <xf numFmtId="174" fontId="15" fillId="0" borderId="7" xfId="0" applyNumberFormat="1" applyFont="1" applyFill="1" applyBorder="1" applyAlignment="1">
      <alignment horizontal="left" wrapText="1"/>
    </xf>
    <xf numFmtId="0" fontId="17" fillId="0" borderId="1" xfId="0" applyFont="1" applyBorder="1" applyAlignment="1">
      <alignment horizontal="left"/>
    </xf>
    <xf numFmtId="0" fontId="13" fillId="0" borderId="1" xfId="0" applyFont="1" applyBorder="1" applyAlignment="1">
      <alignment horizontal="left" wrapText="1"/>
    </xf>
    <xf numFmtId="0" fontId="35" fillId="0" borderId="13" xfId="0" applyFont="1" applyBorder="1" applyAlignment="1">
      <alignment horizontal="left" wrapText="1"/>
    </xf>
    <xf numFmtId="174" fontId="23" fillId="0" borderId="7" xfId="0" applyNumberFormat="1" applyFont="1" applyBorder="1" applyAlignment="1">
      <alignment horizontal="center" wrapText="1"/>
    </xf>
    <xf numFmtId="0" fontId="35" fillId="0" borderId="1" xfId="0" applyFont="1" applyBorder="1" applyAlignment="1">
      <alignment horizontal="left" wrapText="1"/>
    </xf>
    <xf numFmtId="0" fontId="23" fillId="0" borderId="1" xfId="0" applyFont="1" applyBorder="1" applyAlignment="1">
      <alignment horizontal="left" wrapText="1"/>
    </xf>
    <xf numFmtId="174" fontId="13" fillId="0" borderId="1" xfId="0" applyNumberFormat="1" applyFont="1" applyFill="1" applyBorder="1" applyAlignment="1">
      <alignment horizontal="left" wrapText="1"/>
    </xf>
    <xf numFmtId="174" fontId="34" fillId="0" borderId="1" xfId="0" applyNumberFormat="1" applyFont="1" applyBorder="1" applyAlignment="1">
      <alignment horizontal="left" wrapText="1"/>
    </xf>
    <xf numFmtId="174" fontId="43" fillId="0" borderId="14" xfId="0" applyNumberFormat="1" applyFont="1" applyBorder="1" applyAlignment="1">
      <alignment horizontal="center"/>
    </xf>
    <xf numFmtId="174" fontId="43" fillId="0" borderId="15" xfId="0" applyNumberFormat="1" applyFont="1" applyBorder="1" applyAlignment="1">
      <alignment horizontal="center"/>
    </xf>
    <xf numFmtId="174" fontId="19" fillId="0" borderId="14" xfId="0" applyNumberFormat="1" applyFont="1" applyBorder="1" applyAlignment="1">
      <alignment horizontal="center"/>
    </xf>
    <xf numFmtId="174" fontId="19" fillId="0" borderId="15" xfId="0" applyNumberFormat="1" applyFont="1" applyBorder="1" applyAlignment="1">
      <alignment horizontal="center"/>
    </xf>
    <xf numFmtId="0" fontId="17" fillId="0" borderId="0" xfId="0" applyFont="1" applyFill="1" applyBorder="1" applyAlignment="1">
      <alignment horizontal="center" vertical="center"/>
    </xf>
    <xf numFmtId="0" fontId="35" fillId="0" borderId="0" xfId="0" applyFont="1" applyAlignment="1">
      <alignment wrapText="1"/>
    </xf>
    <xf numFmtId="0" fontId="35" fillId="0" borderId="20" xfId="0" applyFont="1" applyBorder="1" applyAlignment="1">
      <alignment wrapText="1"/>
    </xf>
    <xf numFmtId="4" fontId="34" fillId="0" borderId="0" xfId="0" applyNumberFormat="1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18" fillId="0" borderId="21" xfId="0" applyFont="1" applyBorder="1" applyAlignment="1">
      <alignment horizontal="center" wrapText="1"/>
    </xf>
    <xf numFmtId="0" fontId="35" fillId="0" borderId="21" xfId="0" applyFont="1" applyBorder="1" applyAlignment="1">
      <alignment horizontal="center" wrapText="1"/>
    </xf>
  </cellXfs>
  <cellStyles count="3">
    <cellStyle name="Обычный" xfId="0" builtinId="0"/>
    <cellStyle name="Обычный 2" xfId="1" xr:uid="{4EF86CF6-3091-4123-BFB5-9A2BFC78F4B3}"/>
    <cellStyle name="Финансовый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styles" Target="styles.xml"/><Relationship Id="rId10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theme" Target="theme/theme1.xml"/><Relationship Id="rId3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39</xdr:row>
      <xdr:rowOff>0</xdr:rowOff>
    </xdr:from>
    <xdr:to>
      <xdr:col>1</xdr:col>
      <xdr:colOff>9525</xdr:colOff>
      <xdr:row>47</xdr:row>
      <xdr:rowOff>0</xdr:rowOff>
    </xdr:to>
    <xdr:sp macro="" textlink="">
      <xdr:nvSpPr>
        <xdr:cNvPr id="427339" name="Line 12">
          <a:extLst>
            <a:ext uri="{FF2B5EF4-FFF2-40B4-BE49-F238E27FC236}">
              <a16:creationId xmlns:a16="http://schemas.microsoft.com/office/drawing/2014/main" id="{2D51DC73-82A5-5166-30D9-277446E0FDD0}"/>
            </a:ext>
          </a:extLst>
        </xdr:cNvPr>
        <xdr:cNvSpPr>
          <a:spLocks noChangeShapeType="1"/>
        </xdr:cNvSpPr>
      </xdr:nvSpPr>
      <xdr:spPr bwMode="auto">
        <a:xfrm>
          <a:off x="314325" y="6219825"/>
          <a:ext cx="9525" cy="1676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39</xdr:row>
      <xdr:rowOff>0</xdr:rowOff>
    </xdr:from>
    <xdr:to>
      <xdr:col>1</xdr:col>
      <xdr:colOff>9525</xdr:colOff>
      <xdr:row>47</xdr:row>
      <xdr:rowOff>0</xdr:rowOff>
    </xdr:to>
    <xdr:sp macro="" textlink="">
      <xdr:nvSpPr>
        <xdr:cNvPr id="427340" name="Line 12">
          <a:extLst>
            <a:ext uri="{FF2B5EF4-FFF2-40B4-BE49-F238E27FC236}">
              <a16:creationId xmlns:a16="http://schemas.microsoft.com/office/drawing/2014/main" id="{F1B05C0C-DA4B-2C16-5CF5-1F356490452E}"/>
            </a:ext>
          </a:extLst>
        </xdr:cNvPr>
        <xdr:cNvSpPr>
          <a:spLocks noChangeShapeType="1"/>
        </xdr:cNvSpPr>
      </xdr:nvSpPr>
      <xdr:spPr bwMode="auto">
        <a:xfrm>
          <a:off x="314325" y="6219825"/>
          <a:ext cx="9525" cy="1676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39</xdr:row>
      <xdr:rowOff>0</xdr:rowOff>
    </xdr:from>
    <xdr:to>
      <xdr:col>1</xdr:col>
      <xdr:colOff>9525</xdr:colOff>
      <xdr:row>47</xdr:row>
      <xdr:rowOff>0</xdr:rowOff>
    </xdr:to>
    <xdr:sp macro="" textlink="">
      <xdr:nvSpPr>
        <xdr:cNvPr id="427341" name="Line 12">
          <a:extLst>
            <a:ext uri="{FF2B5EF4-FFF2-40B4-BE49-F238E27FC236}">
              <a16:creationId xmlns:a16="http://schemas.microsoft.com/office/drawing/2014/main" id="{D5B5B8FB-C63C-0F8F-0041-760AE0B5B575}"/>
            </a:ext>
          </a:extLst>
        </xdr:cNvPr>
        <xdr:cNvSpPr>
          <a:spLocks noChangeShapeType="1"/>
        </xdr:cNvSpPr>
      </xdr:nvSpPr>
      <xdr:spPr bwMode="auto">
        <a:xfrm>
          <a:off x="314325" y="6219825"/>
          <a:ext cx="9525" cy="1676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39</xdr:row>
      <xdr:rowOff>0</xdr:rowOff>
    </xdr:from>
    <xdr:to>
      <xdr:col>1</xdr:col>
      <xdr:colOff>9525</xdr:colOff>
      <xdr:row>47</xdr:row>
      <xdr:rowOff>0</xdr:rowOff>
    </xdr:to>
    <xdr:sp macro="" textlink="">
      <xdr:nvSpPr>
        <xdr:cNvPr id="427342" name="Line 12">
          <a:extLst>
            <a:ext uri="{FF2B5EF4-FFF2-40B4-BE49-F238E27FC236}">
              <a16:creationId xmlns:a16="http://schemas.microsoft.com/office/drawing/2014/main" id="{45326FE0-408C-F258-6389-7D98FA951360}"/>
            </a:ext>
          </a:extLst>
        </xdr:cNvPr>
        <xdr:cNvSpPr>
          <a:spLocks noChangeShapeType="1"/>
        </xdr:cNvSpPr>
      </xdr:nvSpPr>
      <xdr:spPr bwMode="auto">
        <a:xfrm>
          <a:off x="314325" y="6219825"/>
          <a:ext cx="9525" cy="1676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39</xdr:row>
      <xdr:rowOff>0</xdr:rowOff>
    </xdr:from>
    <xdr:to>
      <xdr:col>1</xdr:col>
      <xdr:colOff>9525</xdr:colOff>
      <xdr:row>47</xdr:row>
      <xdr:rowOff>0</xdr:rowOff>
    </xdr:to>
    <xdr:sp macro="" textlink="">
      <xdr:nvSpPr>
        <xdr:cNvPr id="427343" name="Line 12">
          <a:extLst>
            <a:ext uri="{FF2B5EF4-FFF2-40B4-BE49-F238E27FC236}">
              <a16:creationId xmlns:a16="http://schemas.microsoft.com/office/drawing/2014/main" id="{82665C10-6BC5-5260-6C8F-A500F9225693}"/>
            </a:ext>
          </a:extLst>
        </xdr:cNvPr>
        <xdr:cNvSpPr>
          <a:spLocks noChangeShapeType="1"/>
        </xdr:cNvSpPr>
      </xdr:nvSpPr>
      <xdr:spPr bwMode="auto">
        <a:xfrm>
          <a:off x="314325" y="6219825"/>
          <a:ext cx="9525" cy="1676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39</xdr:row>
      <xdr:rowOff>0</xdr:rowOff>
    </xdr:from>
    <xdr:to>
      <xdr:col>1</xdr:col>
      <xdr:colOff>9525</xdr:colOff>
      <xdr:row>47</xdr:row>
      <xdr:rowOff>0</xdr:rowOff>
    </xdr:to>
    <xdr:sp macro="" textlink="">
      <xdr:nvSpPr>
        <xdr:cNvPr id="427344" name="Line 12">
          <a:extLst>
            <a:ext uri="{FF2B5EF4-FFF2-40B4-BE49-F238E27FC236}">
              <a16:creationId xmlns:a16="http://schemas.microsoft.com/office/drawing/2014/main" id="{2C10A4B3-1821-5801-F460-C1FD3BF074BF}"/>
            </a:ext>
          </a:extLst>
        </xdr:cNvPr>
        <xdr:cNvSpPr>
          <a:spLocks noChangeShapeType="1"/>
        </xdr:cNvSpPr>
      </xdr:nvSpPr>
      <xdr:spPr bwMode="auto">
        <a:xfrm>
          <a:off x="314325" y="6219825"/>
          <a:ext cx="9525" cy="1676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39</xdr:row>
      <xdr:rowOff>0</xdr:rowOff>
    </xdr:from>
    <xdr:to>
      <xdr:col>1</xdr:col>
      <xdr:colOff>9525</xdr:colOff>
      <xdr:row>47</xdr:row>
      <xdr:rowOff>0</xdr:rowOff>
    </xdr:to>
    <xdr:sp macro="" textlink="">
      <xdr:nvSpPr>
        <xdr:cNvPr id="427345" name="Line 12">
          <a:extLst>
            <a:ext uri="{FF2B5EF4-FFF2-40B4-BE49-F238E27FC236}">
              <a16:creationId xmlns:a16="http://schemas.microsoft.com/office/drawing/2014/main" id="{C452CB84-3DFB-BDC6-D78F-7230D146A2A5}"/>
            </a:ext>
          </a:extLst>
        </xdr:cNvPr>
        <xdr:cNvSpPr>
          <a:spLocks noChangeShapeType="1"/>
        </xdr:cNvSpPr>
      </xdr:nvSpPr>
      <xdr:spPr bwMode="auto">
        <a:xfrm>
          <a:off x="314325" y="6219825"/>
          <a:ext cx="9525" cy="1676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39</xdr:row>
      <xdr:rowOff>0</xdr:rowOff>
    </xdr:from>
    <xdr:to>
      <xdr:col>1</xdr:col>
      <xdr:colOff>9525</xdr:colOff>
      <xdr:row>47</xdr:row>
      <xdr:rowOff>0</xdr:rowOff>
    </xdr:to>
    <xdr:sp macro="" textlink="">
      <xdr:nvSpPr>
        <xdr:cNvPr id="427346" name="Line 12">
          <a:extLst>
            <a:ext uri="{FF2B5EF4-FFF2-40B4-BE49-F238E27FC236}">
              <a16:creationId xmlns:a16="http://schemas.microsoft.com/office/drawing/2014/main" id="{891D327A-542D-DB81-DFB6-50258B425C6D}"/>
            </a:ext>
          </a:extLst>
        </xdr:cNvPr>
        <xdr:cNvSpPr>
          <a:spLocks noChangeShapeType="1"/>
        </xdr:cNvSpPr>
      </xdr:nvSpPr>
      <xdr:spPr bwMode="auto">
        <a:xfrm>
          <a:off x="314325" y="6219825"/>
          <a:ext cx="9525" cy="1676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39</xdr:row>
      <xdr:rowOff>0</xdr:rowOff>
    </xdr:from>
    <xdr:to>
      <xdr:col>1</xdr:col>
      <xdr:colOff>9525</xdr:colOff>
      <xdr:row>47</xdr:row>
      <xdr:rowOff>0</xdr:rowOff>
    </xdr:to>
    <xdr:sp macro="" textlink="">
      <xdr:nvSpPr>
        <xdr:cNvPr id="427347" name="Line 12">
          <a:extLst>
            <a:ext uri="{FF2B5EF4-FFF2-40B4-BE49-F238E27FC236}">
              <a16:creationId xmlns:a16="http://schemas.microsoft.com/office/drawing/2014/main" id="{E4FB6202-FAD5-5556-C4CD-C962FD2F4275}"/>
            </a:ext>
          </a:extLst>
        </xdr:cNvPr>
        <xdr:cNvSpPr>
          <a:spLocks noChangeShapeType="1"/>
        </xdr:cNvSpPr>
      </xdr:nvSpPr>
      <xdr:spPr bwMode="auto">
        <a:xfrm>
          <a:off x="314325" y="6219825"/>
          <a:ext cx="9525" cy="1676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39</xdr:row>
      <xdr:rowOff>0</xdr:rowOff>
    </xdr:from>
    <xdr:to>
      <xdr:col>1</xdr:col>
      <xdr:colOff>9525</xdr:colOff>
      <xdr:row>47</xdr:row>
      <xdr:rowOff>0</xdr:rowOff>
    </xdr:to>
    <xdr:sp macro="" textlink="">
      <xdr:nvSpPr>
        <xdr:cNvPr id="427348" name="Line 12">
          <a:extLst>
            <a:ext uri="{FF2B5EF4-FFF2-40B4-BE49-F238E27FC236}">
              <a16:creationId xmlns:a16="http://schemas.microsoft.com/office/drawing/2014/main" id="{1E54F16F-43DA-C8BE-C1FE-B298DD6C7A83}"/>
            </a:ext>
          </a:extLst>
        </xdr:cNvPr>
        <xdr:cNvSpPr>
          <a:spLocks noChangeShapeType="1"/>
        </xdr:cNvSpPr>
      </xdr:nvSpPr>
      <xdr:spPr bwMode="auto">
        <a:xfrm>
          <a:off x="314325" y="6219825"/>
          <a:ext cx="9525" cy="1676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39</xdr:row>
      <xdr:rowOff>0</xdr:rowOff>
    </xdr:from>
    <xdr:to>
      <xdr:col>1</xdr:col>
      <xdr:colOff>9525</xdr:colOff>
      <xdr:row>47</xdr:row>
      <xdr:rowOff>0</xdr:rowOff>
    </xdr:to>
    <xdr:sp macro="" textlink="">
      <xdr:nvSpPr>
        <xdr:cNvPr id="427349" name="Line 12">
          <a:extLst>
            <a:ext uri="{FF2B5EF4-FFF2-40B4-BE49-F238E27FC236}">
              <a16:creationId xmlns:a16="http://schemas.microsoft.com/office/drawing/2014/main" id="{6332EDF7-79F8-3D65-228E-8E587C1B57AB}"/>
            </a:ext>
          </a:extLst>
        </xdr:cNvPr>
        <xdr:cNvSpPr>
          <a:spLocks noChangeShapeType="1"/>
        </xdr:cNvSpPr>
      </xdr:nvSpPr>
      <xdr:spPr bwMode="auto">
        <a:xfrm>
          <a:off x="314325" y="6219825"/>
          <a:ext cx="9525" cy="1676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39</xdr:row>
      <xdr:rowOff>0</xdr:rowOff>
    </xdr:from>
    <xdr:to>
      <xdr:col>1</xdr:col>
      <xdr:colOff>9525</xdr:colOff>
      <xdr:row>47</xdr:row>
      <xdr:rowOff>0</xdr:rowOff>
    </xdr:to>
    <xdr:sp macro="" textlink="">
      <xdr:nvSpPr>
        <xdr:cNvPr id="427350" name="Line 12">
          <a:extLst>
            <a:ext uri="{FF2B5EF4-FFF2-40B4-BE49-F238E27FC236}">
              <a16:creationId xmlns:a16="http://schemas.microsoft.com/office/drawing/2014/main" id="{72DBA2E7-5949-CA95-2C61-6487D65EEEAF}"/>
            </a:ext>
          </a:extLst>
        </xdr:cNvPr>
        <xdr:cNvSpPr>
          <a:spLocks noChangeShapeType="1"/>
        </xdr:cNvSpPr>
      </xdr:nvSpPr>
      <xdr:spPr bwMode="auto">
        <a:xfrm>
          <a:off x="314325" y="6219825"/>
          <a:ext cx="9525" cy="1676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39</xdr:row>
      <xdr:rowOff>0</xdr:rowOff>
    </xdr:from>
    <xdr:to>
      <xdr:col>1</xdr:col>
      <xdr:colOff>9525</xdr:colOff>
      <xdr:row>47</xdr:row>
      <xdr:rowOff>0</xdr:rowOff>
    </xdr:to>
    <xdr:sp macro="" textlink="">
      <xdr:nvSpPr>
        <xdr:cNvPr id="427351" name="Line 12">
          <a:extLst>
            <a:ext uri="{FF2B5EF4-FFF2-40B4-BE49-F238E27FC236}">
              <a16:creationId xmlns:a16="http://schemas.microsoft.com/office/drawing/2014/main" id="{0243C6BF-CB6D-3E50-7EAB-FF14F363EFD0}"/>
            </a:ext>
          </a:extLst>
        </xdr:cNvPr>
        <xdr:cNvSpPr>
          <a:spLocks noChangeShapeType="1"/>
        </xdr:cNvSpPr>
      </xdr:nvSpPr>
      <xdr:spPr bwMode="auto">
        <a:xfrm>
          <a:off x="314325" y="6219825"/>
          <a:ext cx="9525" cy="1676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39</xdr:row>
      <xdr:rowOff>0</xdr:rowOff>
    </xdr:from>
    <xdr:to>
      <xdr:col>1</xdr:col>
      <xdr:colOff>9525</xdr:colOff>
      <xdr:row>47</xdr:row>
      <xdr:rowOff>0</xdr:rowOff>
    </xdr:to>
    <xdr:sp macro="" textlink="">
      <xdr:nvSpPr>
        <xdr:cNvPr id="427352" name="Line 12">
          <a:extLst>
            <a:ext uri="{FF2B5EF4-FFF2-40B4-BE49-F238E27FC236}">
              <a16:creationId xmlns:a16="http://schemas.microsoft.com/office/drawing/2014/main" id="{D1FD6650-FA86-32A2-E519-E851887EEB6C}"/>
            </a:ext>
          </a:extLst>
        </xdr:cNvPr>
        <xdr:cNvSpPr>
          <a:spLocks noChangeShapeType="1"/>
        </xdr:cNvSpPr>
      </xdr:nvSpPr>
      <xdr:spPr bwMode="auto">
        <a:xfrm>
          <a:off x="314325" y="6219825"/>
          <a:ext cx="9525" cy="1676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36</xdr:row>
      <xdr:rowOff>0</xdr:rowOff>
    </xdr:from>
    <xdr:to>
      <xdr:col>1</xdr:col>
      <xdr:colOff>9525</xdr:colOff>
      <xdr:row>44</xdr:row>
      <xdr:rowOff>0</xdr:rowOff>
    </xdr:to>
    <xdr:sp macro="" textlink="">
      <xdr:nvSpPr>
        <xdr:cNvPr id="438379" name="Line 12">
          <a:extLst>
            <a:ext uri="{FF2B5EF4-FFF2-40B4-BE49-F238E27FC236}">
              <a16:creationId xmlns:a16="http://schemas.microsoft.com/office/drawing/2014/main" id="{87DE7DE8-673E-E89F-42EC-A2A8ED197039}"/>
            </a:ext>
          </a:extLst>
        </xdr:cNvPr>
        <xdr:cNvSpPr>
          <a:spLocks noChangeShapeType="1"/>
        </xdr:cNvSpPr>
      </xdr:nvSpPr>
      <xdr:spPr bwMode="auto">
        <a:xfrm>
          <a:off x="314325" y="6305550"/>
          <a:ext cx="9525" cy="2095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36</xdr:row>
      <xdr:rowOff>0</xdr:rowOff>
    </xdr:from>
    <xdr:to>
      <xdr:col>1</xdr:col>
      <xdr:colOff>9525</xdr:colOff>
      <xdr:row>44</xdr:row>
      <xdr:rowOff>0</xdr:rowOff>
    </xdr:to>
    <xdr:sp macro="" textlink="">
      <xdr:nvSpPr>
        <xdr:cNvPr id="438380" name="Line 12">
          <a:extLst>
            <a:ext uri="{FF2B5EF4-FFF2-40B4-BE49-F238E27FC236}">
              <a16:creationId xmlns:a16="http://schemas.microsoft.com/office/drawing/2014/main" id="{5E80AF27-C892-ED75-B168-1B3464D97067}"/>
            </a:ext>
          </a:extLst>
        </xdr:cNvPr>
        <xdr:cNvSpPr>
          <a:spLocks noChangeShapeType="1"/>
        </xdr:cNvSpPr>
      </xdr:nvSpPr>
      <xdr:spPr bwMode="auto">
        <a:xfrm>
          <a:off x="314325" y="6305550"/>
          <a:ext cx="9525" cy="2095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36</xdr:row>
      <xdr:rowOff>0</xdr:rowOff>
    </xdr:from>
    <xdr:to>
      <xdr:col>1</xdr:col>
      <xdr:colOff>9525</xdr:colOff>
      <xdr:row>44</xdr:row>
      <xdr:rowOff>0</xdr:rowOff>
    </xdr:to>
    <xdr:sp macro="" textlink="">
      <xdr:nvSpPr>
        <xdr:cNvPr id="438381" name="Line 12">
          <a:extLst>
            <a:ext uri="{FF2B5EF4-FFF2-40B4-BE49-F238E27FC236}">
              <a16:creationId xmlns:a16="http://schemas.microsoft.com/office/drawing/2014/main" id="{E0624F5F-6C2C-A1F1-0702-EF1580CF1E2F}"/>
            </a:ext>
          </a:extLst>
        </xdr:cNvPr>
        <xdr:cNvSpPr>
          <a:spLocks noChangeShapeType="1"/>
        </xdr:cNvSpPr>
      </xdr:nvSpPr>
      <xdr:spPr bwMode="auto">
        <a:xfrm>
          <a:off x="314325" y="6305550"/>
          <a:ext cx="9525" cy="2095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36</xdr:row>
      <xdr:rowOff>0</xdr:rowOff>
    </xdr:from>
    <xdr:to>
      <xdr:col>1</xdr:col>
      <xdr:colOff>9525</xdr:colOff>
      <xdr:row>44</xdr:row>
      <xdr:rowOff>0</xdr:rowOff>
    </xdr:to>
    <xdr:sp macro="" textlink="">
      <xdr:nvSpPr>
        <xdr:cNvPr id="438382" name="Line 12">
          <a:extLst>
            <a:ext uri="{FF2B5EF4-FFF2-40B4-BE49-F238E27FC236}">
              <a16:creationId xmlns:a16="http://schemas.microsoft.com/office/drawing/2014/main" id="{D5D36C1E-5C30-3491-4A52-ED153C66AF9B}"/>
            </a:ext>
          </a:extLst>
        </xdr:cNvPr>
        <xdr:cNvSpPr>
          <a:spLocks noChangeShapeType="1"/>
        </xdr:cNvSpPr>
      </xdr:nvSpPr>
      <xdr:spPr bwMode="auto">
        <a:xfrm>
          <a:off x="314325" y="6305550"/>
          <a:ext cx="9525" cy="2095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36</xdr:row>
      <xdr:rowOff>0</xdr:rowOff>
    </xdr:from>
    <xdr:to>
      <xdr:col>1</xdr:col>
      <xdr:colOff>9525</xdr:colOff>
      <xdr:row>44</xdr:row>
      <xdr:rowOff>0</xdr:rowOff>
    </xdr:to>
    <xdr:sp macro="" textlink="">
      <xdr:nvSpPr>
        <xdr:cNvPr id="438383" name="Line 12">
          <a:extLst>
            <a:ext uri="{FF2B5EF4-FFF2-40B4-BE49-F238E27FC236}">
              <a16:creationId xmlns:a16="http://schemas.microsoft.com/office/drawing/2014/main" id="{3915BB8B-92E8-7463-48B0-6606721BE7B4}"/>
            </a:ext>
          </a:extLst>
        </xdr:cNvPr>
        <xdr:cNvSpPr>
          <a:spLocks noChangeShapeType="1"/>
        </xdr:cNvSpPr>
      </xdr:nvSpPr>
      <xdr:spPr bwMode="auto">
        <a:xfrm>
          <a:off x="314325" y="6305550"/>
          <a:ext cx="9525" cy="2095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36</xdr:row>
      <xdr:rowOff>0</xdr:rowOff>
    </xdr:from>
    <xdr:to>
      <xdr:col>1</xdr:col>
      <xdr:colOff>9525</xdr:colOff>
      <xdr:row>44</xdr:row>
      <xdr:rowOff>0</xdr:rowOff>
    </xdr:to>
    <xdr:sp macro="" textlink="">
      <xdr:nvSpPr>
        <xdr:cNvPr id="438384" name="Line 12">
          <a:extLst>
            <a:ext uri="{FF2B5EF4-FFF2-40B4-BE49-F238E27FC236}">
              <a16:creationId xmlns:a16="http://schemas.microsoft.com/office/drawing/2014/main" id="{2D91A347-8600-2768-4C1F-89936CAFC45F}"/>
            </a:ext>
          </a:extLst>
        </xdr:cNvPr>
        <xdr:cNvSpPr>
          <a:spLocks noChangeShapeType="1"/>
        </xdr:cNvSpPr>
      </xdr:nvSpPr>
      <xdr:spPr bwMode="auto">
        <a:xfrm>
          <a:off x="314325" y="6305550"/>
          <a:ext cx="9525" cy="2095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36</xdr:row>
      <xdr:rowOff>0</xdr:rowOff>
    </xdr:from>
    <xdr:to>
      <xdr:col>1</xdr:col>
      <xdr:colOff>9525</xdr:colOff>
      <xdr:row>44</xdr:row>
      <xdr:rowOff>0</xdr:rowOff>
    </xdr:to>
    <xdr:sp macro="" textlink="">
      <xdr:nvSpPr>
        <xdr:cNvPr id="438385" name="Line 12">
          <a:extLst>
            <a:ext uri="{FF2B5EF4-FFF2-40B4-BE49-F238E27FC236}">
              <a16:creationId xmlns:a16="http://schemas.microsoft.com/office/drawing/2014/main" id="{E52C55B3-1162-966F-66D0-1DC8BF4D636D}"/>
            </a:ext>
          </a:extLst>
        </xdr:cNvPr>
        <xdr:cNvSpPr>
          <a:spLocks noChangeShapeType="1"/>
        </xdr:cNvSpPr>
      </xdr:nvSpPr>
      <xdr:spPr bwMode="auto">
        <a:xfrm>
          <a:off x="314325" y="6305550"/>
          <a:ext cx="9525" cy="2095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36</xdr:row>
      <xdr:rowOff>0</xdr:rowOff>
    </xdr:from>
    <xdr:to>
      <xdr:col>1</xdr:col>
      <xdr:colOff>9525</xdr:colOff>
      <xdr:row>44</xdr:row>
      <xdr:rowOff>0</xdr:rowOff>
    </xdr:to>
    <xdr:sp macro="" textlink="">
      <xdr:nvSpPr>
        <xdr:cNvPr id="438386" name="Line 12">
          <a:extLst>
            <a:ext uri="{FF2B5EF4-FFF2-40B4-BE49-F238E27FC236}">
              <a16:creationId xmlns:a16="http://schemas.microsoft.com/office/drawing/2014/main" id="{C0358BF1-2AE5-8012-9156-931501D8AD95}"/>
            </a:ext>
          </a:extLst>
        </xdr:cNvPr>
        <xdr:cNvSpPr>
          <a:spLocks noChangeShapeType="1"/>
        </xdr:cNvSpPr>
      </xdr:nvSpPr>
      <xdr:spPr bwMode="auto">
        <a:xfrm>
          <a:off x="314325" y="6305550"/>
          <a:ext cx="9525" cy="2095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36</xdr:row>
      <xdr:rowOff>0</xdr:rowOff>
    </xdr:from>
    <xdr:to>
      <xdr:col>1</xdr:col>
      <xdr:colOff>9525</xdr:colOff>
      <xdr:row>44</xdr:row>
      <xdr:rowOff>0</xdr:rowOff>
    </xdr:to>
    <xdr:sp macro="" textlink="">
      <xdr:nvSpPr>
        <xdr:cNvPr id="438387" name="Line 12">
          <a:extLst>
            <a:ext uri="{FF2B5EF4-FFF2-40B4-BE49-F238E27FC236}">
              <a16:creationId xmlns:a16="http://schemas.microsoft.com/office/drawing/2014/main" id="{89017F02-EACB-7DC2-D7AB-1499E91D004E}"/>
            </a:ext>
          </a:extLst>
        </xdr:cNvPr>
        <xdr:cNvSpPr>
          <a:spLocks noChangeShapeType="1"/>
        </xdr:cNvSpPr>
      </xdr:nvSpPr>
      <xdr:spPr bwMode="auto">
        <a:xfrm>
          <a:off x="314325" y="6305550"/>
          <a:ext cx="9525" cy="2095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36</xdr:row>
      <xdr:rowOff>0</xdr:rowOff>
    </xdr:from>
    <xdr:to>
      <xdr:col>1</xdr:col>
      <xdr:colOff>9525</xdr:colOff>
      <xdr:row>44</xdr:row>
      <xdr:rowOff>0</xdr:rowOff>
    </xdr:to>
    <xdr:sp macro="" textlink="">
      <xdr:nvSpPr>
        <xdr:cNvPr id="438388" name="Line 12">
          <a:extLst>
            <a:ext uri="{FF2B5EF4-FFF2-40B4-BE49-F238E27FC236}">
              <a16:creationId xmlns:a16="http://schemas.microsoft.com/office/drawing/2014/main" id="{37FF3B10-C778-5564-3CDA-F6E1FE44AEF5}"/>
            </a:ext>
          </a:extLst>
        </xdr:cNvPr>
        <xdr:cNvSpPr>
          <a:spLocks noChangeShapeType="1"/>
        </xdr:cNvSpPr>
      </xdr:nvSpPr>
      <xdr:spPr bwMode="auto">
        <a:xfrm>
          <a:off x="314325" y="6305550"/>
          <a:ext cx="9525" cy="2095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36</xdr:row>
      <xdr:rowOff>0</xdr:rowOff>
    </xdr:from>
    <xdr:to>
      <xdr:col>1</xdr:col>
      <xdr:colOff>9525</xdr:colOff>
      <xdr:row>44</xdr:row>
      <xdr:rowOff>0</xdr:rowOff>
    </xdr:to>
    <xdr:sp macro="" textlink="">
      <xdr:nvSpPr>
        <xdr:cNvPr id="438389" name="Line 12">
          <a:extLst>
            <a:ext uri="{FF2B5EF4-FFF2-40B4-BE49-F238E27FC236}">
              <a16:creationId xmlns:a16="http://schemas.microsoft.com/office/drawing/2014/main" id="{59C63331-C3FB-70D8-B503-4F37C7463E1C}"/>
            </a:ext>
          </a:extLst>
        </xdr:cNvPr>
        <xdr:cNvSpPr>
          <a:spLocks noChangeShapeType="1"/>
        </xdr:cNvSpPr>
      </xdr:nvSpPr>
      <xdr:spPr bwMode="auto">
        <a:xfrm>
          <a:off x="314325" y="6305550"/>
          <a:ext cx="9525" cy="2095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36</xdr:row>
      <xdr:rowOff>0</xdr:rowOff>
    </xdr:from>
    <xdr:to>
      <xdr:col>1</xdr:col>
      <xdr:colOff>9525</xdr:colOff>
      <xdr:row>44</xdr:row>
      <xdr:rowOff>0</xdr:rowOff>
    </xdr:to>
    <xdr:sp macro="" textlink="">
      <xdr:nvSpPr>
        <xdr:cNvPr id="438390" name="Line 12">
          <a:extLst>
            <a:ext uri="{FF2B5EF4-FFF2-40B4-BE49-F238E27FC236}">
              <a16:creationId xmlns:a16="http://schemas.microsoft.com/office/drawing/2014/main" id="{8ABD3CA4-C6DA-57C6-0BED-59C6D123D3CE}"/>
            </a:ext>
          </a:extLst>
        </xdr:cNvPr>
        <xdr:cNvSpPr>
          <a:spLocks noChangeShapeType="1"/>
        </xdr:cNvSpPr>
      </xdr:nvSpPr>
      <xdr:spPr bwMode="auto">
        <a:xfrm>
          <a:off x="314325" y="6305550"/>
          <a:ext cx="9525" cy="2095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36</xdr:row>
      <xdr:rowOff>0</xdr:rowOff>
    </xdr:from>
    <xdr:to>
      <xdr:col>1</xdr:col>
      <xdr:colOff>9525</xdr:colOff>
      <xdr:row>44</xdr:row>
      <xdr:rowOff>0</xdr:rowOff>
    </xdr:to>
    <xdr:sp macro="" textlink="">
      <xdr:nvSpPr>
        <xdr:cNvPr id="438391" name="Line 12">
          <a:extLst>
            <a:ext uri="{FF2B5EF4-FFF2-40B4-BE49-F238E27FC236}">
              <a16:creationId xmlns:a16="http://schemas.microsoft.com/office/drawing/2014/main" id="{895BE8BE-9134-B691-8703-4546B74B1DE8}"/>
            </a:ext>
          </a:extLst>
        </xdr:cNvPr>
        <xdr:cNvSpPr>
          <a:spLocks noChangeShapeType="1"/>
        </xdr:cNvSpPr>
      </xdr:nvSpPr>
      <xdr:spPr bwMode="auto">
        <a:xfrm>
          <a:off x="314325" y="6305550"/>
          <a:ext cx="9525" cy="2095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36</xdr:row>
      <xdr:rowOff>0</xdr:rowOff>
    </xdr:from>
    <xdr:to>
      <xdr:col>1</xdr:col>
      <xdr:colOff>9525</xdr:colOff>
      <xdr:row>44</xdr:row>
      <xdr:rowOff>0</xdr:rowOff>
    </xdr:to>
    <xdr:sp macro="" textlink="">
      <xdr:nvSpPr>
        <xdr:cNvPr id="438392" name="Line 12">
          <a:extLst>
            <a:ext uri="{FF2B5EF4-FFF2-40B4-BE49-F238E27FC236}">
              <a16:creationId xmlns:a16="http://schemas.microsoft.com/office/drawing/2014/main" id="{4B385DDF-77CD-2454-6F4E-779DEA700B0B}"/>
            </a:ext>
          </a:extLst>
        </xdr:cNvPr>
        <xdr:cNvSpPr>
          <a:spLocks noChangeShapeType="1"/>
        </xdr:cNvSpPr>
      </xdr:nvSpPr>
      <xdr:spPr bwMode="auto">
        <a:xfrm>
          <a:off x="314325" y="6305550"/>
          <a:ext cx="9525" cy="2095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50</xdr:row>
      <xdr:rowOff>0</xdr:rowOff>
    </xdr:from>
    <xdr:to>
      <xdr:col>1</xdr:col>
      <xdr:colOff>9525</xdr:colOff>
      <xdr:row>71</xdr:row>
      <xdr:rowOff>0</xdr:rowOff>
    </xdr:to>
    <xdr:sp macro="" textlink="">
      <xdr:nvSpPr>
        <xdr:cNvPr id="439375" name="Line 12">
          <a:extLst>
            <a:ext uri="{FF2B5EF4-FFF2-40B4-BE49-F238E27FC236}">
              <a16:creationId xmlns:a16="http://schemas.microsoft.com/office/drawing/2014/main" id="{A6C55BF6-B294-5D66-D0CB-7AE8A5954078}"/>
            </a:ext>
          </a:extLst>
        </xdr:cNvPr>
        <xdr:cNvSpPr>
          <a:spLocks noChangeShapeType="1"/>
        </xdr:cNvSpPr>
      </xdr:nvSpPr>
      <xdr:spPr bwMode="auto">
        <a:xfrm>
          <a:off x="333375" y="9067800"/>
          <a:ext cx="9525" cy="4267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50</xdr:row>
      <xdr:rowOff>0</xdr:rowOff>
    </xdr:from>
    <xdr:to>
      <xdr:col>1</xdr:col>
      <xdr:colOff>9525</xdr:colOff>
      <xdr:row>71</xdr:row>
      <xdr:rowOff>0</xdr:rowOff>
    </xdr:to>
    <xdr:sp macro="" textlink="">
      <xdr:nvSpPr>
        <xdr:cNvPr id="439376" name="Line 12">
          <a:extLst>
            <a:ext uri="{FF2B5EF4-FFF2-40B4-BE49-F238E27FC236}">
              <a16:creationId xmlns:a16="http://schemas.microsoft.com/office/drawing/2014/main" id="{B2032633-8861-BA33-0B2D-CE2609F8F4B2}"/>
            </a:ext>
          </a:extLst>
        </xdr:cNvPr>
        <xdr:cNvSpPr>
          <a:spLocks noChangeShapeType="1"/>
        </xdr:cNvSpPr>
      </xdr:nvSpPr>
      <xdr:spPr bwMode="auto">
        <a:xfrm>
          <a:off x="333375" y="9067800"/>
          <a:ext cx="9525" cy="4267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50</xdr:row>
      <xdr:rowOff>0</xdr:rowOff>
    </xdr:from>
    <xdr:to>
      <xdr:col>1</xdr:col>
      <xdr:colOff>9525</xdr:colOff>
      <xdr:row>71</xdr:row>
      <xdr:rowOff>0</xdr:rowOff>
    </xdr:to>
    <xdr:sp macro="" textlink="">
      <xdr:nvSpPr>
        <xdr:cNvPr id="439377" name="Line 12">
          <a:extLst>
            <a:ext uri="{FF2B5EF4-FFF2-40B4-BE49-F238E27FC236}">
              <a16:creationId xmlns:a16="http://schemas.microsoft.com/office/drawing/2014/main" id="{E55299F4-65DD-0C42-04FC-CB5614E35A9E}"/>
            </a:ext>
          </a:extLst>
        </xdr:cNvPr>
        <xdr:cNvSpPr>
          <a:spLocks noChangeShapeType="1"/>
        </xdr:cNvSpPr>
      </xdr:nvSpPr>
      <xdr:spPr bwMode="auto">
        <a:xfrm>
          <a:off x="333375" y="9067800"/>
          <a:ext cx="9525" cy="4267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50</xdr:row>
      <xdr:rowOff>0</xdr:rowOff>
    </xdr:from>
    <xdr:to>
      <xdr:col>1</xdr:col>
      <xdr:colOff>9525</xdr:colOff>
      <xdr:row>71</xdr:row>
      <xdr:rowOff>0</xdr:rowOff>
    </xdr:to>
    <xdr:sp macro="" textlink="">
      <xdr:nvSpPr>
        <xdr:cNvPr id="439378" name="Line 12">
          <a:extLst>
            <a:ext uri="{FF2B5EF4-FFF2-40B4-BE49-F238E27FC236}">
              <a16:creationId xmlns:a16="http://schemas.microsoft.com/office/drawing/2014/main" id="{9155CE94-F4CD-77E3-5682-9EBBFE42775F}"/>
            </a:ext>
          </a:extLst>
        </xdr:cNvPr>
        <xdr:cNvSpPr>
          <a:spLocks noChangeShapeType="1"/>
        </xdr:cNvSpPr>
      </xdr:nvSpPr>
      <xdr:spPr bwMode="auto">
        <a:xfrm>
          <a:off x="333375" y="9067800"/>
          <a:ext cx="9525" cy="4267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50</xdr:row>
      <xdr:rowOff>0</xdr:rowOff>
    </xdr:from>
    <xdr:to>
      <xdr:col>1</xdr:col>
      <xdr:colOff>9525</xdr:colOff>
      <xdr:row>71</xdr:row>
      <xdr:rowOff>0</xdr:rowOff>
    </xdr:to>
    <xdr:sp macro="" textlink="">
      <xdr:nvSpPr>
        <xdr:cNvPr id="439379" name="Line 12">
          <a:extLst>
            <a:ext uri="{FF2B5EF4-FFF2-40B4-BE49-F238E27FC236}">
              <a16:creationId xmlns:a16="http://schemas.microsoft.com/office/drawing/2014/main" id="{614F9D78-0651-7A64-5EB0-693951F33AB7}"/>
            </a:ext>
          </a:extLst>
        </xdr:cNvPr>
        <xdr:cNvSpPr>
          <a:spLocks noChangeShapeType="1"/>
        </xdr:cNvSpPr>
      </xdr:nvSpPr>
      <xdr:spPr bwMode="auto">
        <a:xfrm>
          <a:off x="333375" y="9067800"/>
          <a:ext cx="9525" cy="4267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50</xdr:row>
      <xdr:rowOff>0</xdr:rowOff>
    </xdr:from>
    <xdr:to>
      <xdr:col>1</xdr:col>
      <xdr:colOff>9525</xdr:colOff>
      <xdr:row>71</xdr:row>
      <xdr:rowOff>0</xdr:rowOff>
    </xdr:to>
    <xdr:sp macro="" textlink="">
      <xdr:nvSpPr>
        <xdr:cNvPr id="439380" name="Line 12">
          <a:extLst>
            <a:ext uri="{FF2B5EF4-FFF2-40B4-BE49-F238E27FC236}">
              <a16:creationId xmlns:a16="http://schemas.microsoft.com/office/drawing/2014/main" id="{9B5F11AA-6336-B3B4-6A13-04A1EC425518}"/>
            </a:ext>
          </a:extLst>
        </xdr:cNvPr>
        <xdr:cNvSpPr>
          <a:spLocks noChangeShapeType="1"/>
        </xdr:cNvSpPr>
      </xdr:nvSpPr>
      <xdr:spPr bwMode="auto">
        <a:xfrm>
          <a:off x="333375" y="9067800"/>
          <a:ext cx="9525" cy="4267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50</xdr:row>
      <xdr:rowOff>0</xdr:rowOff>
    </xdr:from>
    <xdr:to>
      <xdr:col>1</xdr:col>
      <xdr:colOff>9525</xdr:colOff>
      <xdr:row>71</xdr:row>
      <xdr:rowOff>0</xdr:rowOff>
    </xdr:to>
    <xdr:sp macro="" textlink="">
      <xdr:nvSpPr>
        <xdr:cNvPr id="439381" name="Line 12">
          <a:extLst>
            <a:ext uri="{FF2B5EF4-FFF2-40B4-BE49-F238E27FC236}">
              <a16:creationId xmlns:a16="http://schemas.microsoft.com/office/drawing/2014/main" id="{7E96B36F-957D-B569-03FA-7AB01580ECBF}"/>
            </a:ext>
          </a:extLst>
        </xdr:cNvPr>
        <xdr:cNvSpPr>
          <a:spLocks noChangeShapeType="1"/>
        </xdr:cNvSpPr>
      </xdr:nvSpPr>
      <xdr:spPr bwMode="auto">
        <a:xfrm>
          <a:off x="333375" y="9067800"/>
          <a:ext cx="9525" cy="4267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50</xdr:row>
      <xdr:rowOff>0</xdr:rowOff>
    </xdr:from>
    <xdr:to>
      <xdr:col>1</xdr:col>
      <xdr:colOff>9525</xdr:colOff>
      <xdr:row>71</xdr:row>
      <xdr:rowOff>0</xdr:rowOff>
    </xdr:to>
    <xdr:sp macro="" textlink="">
      <xdr:nvSpPr>
        <xdr:cNvPr id="439382" name="Line 12">
          <a:extLst>
            <a:ext uri="{FF2B5EF4-FFF2-40B4-BE49-F238E27FC236}">
              <a16:creationId xmlns:a16="http://schemas.microsoft.com/office/drawing/2014/main" id="{BBD6667F-1169-5811-F2A8-005E68A50C77}"/>
            </a:ext>
          </a:extLst>
        </xdr:cNvPr>
        <xdr:cNvSpPr>
          <a:spLocks noChangeShapeType="1"/>
        </xdr:cNvSpPr>
      </xdr:nvSpPr>
      <xdr:spPr bwMode="auto">
        <a:xfrm>
          <a:off x="333375" y="9067800"/>
          <a:ext cx="9525" cy="4267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50</xdr:row>
      <xdr:rowOff>0</xdr:rowOff>
    </xdr:from>
    <xdr:to>
      <xdr:col>1</xdr:col>
      <xdr:colOff>9525</xdr:colOff>
      <xdr:row>71</xdr:row>
      <xdr:rowOff>0</xdr:rowOff>
    </xdr:to>
    <xdr:sp macro="" textlink="">
      <xdr:nvSpPr>
        <xdr:cNvPr id="439383" name="Line 12">
          <a:extLst>
            <a:ext uri="{FF2B5EF4-FFF2-40B4-BE49-F238E27FC236}">
              <a16:creationId xmlns:a16="http://schemas.microsoft.com/office/drawing/2014/main" id="{20F8B904-6B10-E904-5AD7-32507E6DD969}"/>
            </a:ext>
          </a:extLst>
        </xdr:cNvPr>
        <xdr:cNvSpPr>
          <a:spLocks noChangeShapeType="1"/>
        </xdr:cNvSpPr>
      </xdr:nvSpPr>
      <xdr:spPr bwMode="auto">
        <a:xfrm>
          <a:off x="333375" y="9067800"/>
          <a:ext cx="9525" cy="4267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50</xdr:row>
      <xdr:rowOff>0</xdr:rowOff>
    </xdr:from>
    <xdr:to>
      <xdr:col>1</xdr:col>
      <xdr:colOff>9525</xdr:colOff>
      <xdr:row>71</xdr:row>
      <xdr:rowOff>0</xdr:rowOff>
    </xdr:to>
    <xdr:sp macro="" textlink="">
      <xdr:nvSpPr>
        <xdr:cNvPr id="439384" name="Line 12">
          <a:extLst>
            <a:ext uri="{FF2B5EF4-FFF2-40B4-BE49-F238E27FC236}">
              <a16:creationId xmlns:a16="http://schemas.microsoft.com/office/drawing/2014/main" id="{AC56F8E8-2522-7DB9-88C4-FCE8FF284680}"/>
            </a:ext>
          </a:extLst>
        </xdr:cNvPr>
        <xdr:cNvSpPr>
          <a:spLocks noChangeShapeType="1"/>
        </xdr:cNvSpPr>
      </xdr:nvSpPr>
      <xdr:spPr bwMode="auto">
        <a:xfrm>
          <a:off x="333375" y="9067800"/>
          <a:ext cx="9525" cy="4267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50</xdr:row>
      <xdr:rowOff>0</xdr:rowOff>
    </xdr:from>
    <xdr:to>
      <xdr:col>1</xdr:col>
      <xdr:colOff>9525</xdr:colOff>
      <xdr:row>71</xdr:row>
      <xdr:rowOff>0</xdr:rowOff>
    </xdr:to>
    <xdr:sp macro="" textlink="">
      <xdr:nvSpPr>
        <xdr:cNvPr id="439385" name="Line 12">
          <a:extLst>
            <a:ext uri="{FF2B5EF4-FFF2-40B4-BE49-F238E27FC236}">
              <a16:creationId xmlns:a16="http://schemas.microsoft.com/office/drawing/2014/main" id="{48BD43F6-D418-EECC-018A-DB815DB65CC8}"/>
            </a:ext>
          </a:extLst>
        </xdr:cNvPr>
        <xdr:cNvSpPr>
          <a:spLocks noChangeShapeType="1"/>
        </xdr:cNvSpPr>
      </xdr:nvSpPr>
      <xdr:spPr bwMode="auto">
        <a:xfrm>
          <a:off x="333375" y="9067800"/>
          <a:ext cx="9525" cy="4267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50</xdr:row>
      <xdr:rowOff>0</xdr:rowOff>
    </xdr:from>
    <xdr:to>
      <xdr:col>1</xdr:col>
      <xdr:colOff>9525</xdr:colOff>
      <xdr:row>71</xdr:row>
      <xdr:rowOff>0</xdr:rowOff>
    </xdr:to>
    <xdr:sp macro="" textlink="">
      <xdr:nvSpPr>
        <xdr:cNvPr id="439386" name="Line 12">
          <a:extLst>
            <a:ext uri="{FF2B5EF4-FFF2-40B4-BE49-F238E27FC236}">
              <a16:creationId xmlns:a16="http://schemas.microsoft.com/office/drawing/2014/main" id="{9388ABF2-FA67-CA8E-B75B-93D49C225A9D}"/>
            </a:ext>
          </a:extLst>
        </xdr:cNvPr>
        <xdr:cNvSpPr>
          <a:spLocks noChangeShapeType="1"/>
        </xdr:cNvSpPr>
      </xdr:nvSpPr>
      <xdr:spPr bwMode="auto">
        <a:xfrm>
          <a:off x="333375" y="9067800"/>
          <a:ext cx="9525" cy="4267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50</xdr:row>
      <xdr:rowOff>0</xdr:rowOff>
    </xdr:from>
    <xdr:to>
      <xdr:col>1</xdr:col>
      <xdr:colOff>9525</xdr:colOff>
      <xdr:row>71</xdr:row>
      <xdr:rowOff>0</xdr:rowOff>
    </xdr:to>
    <xdr:sp macro="" textlink="">
      <xdr:nvSpPr>
        <xdr:cNvPr id="439387" name="Line 12">
          <a:extLst>
            <a:ext uri="{FF2B5EF4-FFF2-40B4-BE49-F238E27FC236}">
              <a16:creationId xmlns:a16="http://schemas.microsoft.com/office/drawing/2014/main" id="{7376D996-C672-2B34-A97E-C61BDF5ACDBF}"/>
            </a:ext>
          </a:extLst>
        </xdr:cNvPr>
        <xdr:cNvSpPr>
          <a:spLocks noChangeShapeType="1"/>
        </xdr:cNvSpPr>
      </xdr:nvSpPr>
      <xdr:spPr bwMode="auto">
        <a:xfrm>
          <a:off x="333375" y="9067800"/>
          <a:ext cx="9525" cy="4267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50</xdr:row>
      <xdr:rowOff>0</xdr:rowOff>
    </xdr:from>
    <xdr:to>
      <xdr:col>1</xdr:col>
      <xdr:colOff>9525</xdr:colOff>
      <xdr:row>71</xdr:row>
      <xdr:rowOff>0</xdr:rowOff>
    </xdr:to>
    <xdr:sp macro="" textlink="">
      <xdr:nvSpPr>
        <xdr:cNvPr id="439388" name="Line 12">
          <a:extLst>
            <a:ext uri="{FF2B5EF4-FFF2-40B4-BE49-F238E27FC236}">
              <a16:creationId xmlns:a16="http://schemas.microsoft.com/office/drawing/2014/main" id="{346A9795-EB54-C60A-7874-642F2B024F6B}"/>
            </a:ext>
          </a:extLst>
        </xdr:cNvPr>
        <xdr:cNvSpPr>
          <a:spLocks noChangeShapeType="1"/>
        </xdr:cNvSpPr>
      </xdr:nvSpPr>
      <xdr:spPr bwMode="auto">
        <a:xfrm>
          <a:off x="333375" y="9067800"/>
          <a:ext cx="9525" cy="4267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38</xdr:row>
      <xdr:rowOff>0</xdr:rowOff>
    </xdr:from>
    <xdr:to>
      <xdr:col>1</xdr:col>
      <xdr:colOff>9525</xdr:colOff>
      <xdr:row>50</xdr:row>
      <xdr:rowOff>0</xdr:rowOff>
    </xdr:to>
    <xdr:sp macro="" textlink="">
      <xdr:nvSpPr>
        <xdr:cNvPr id="408473" name="Line 12">
          <a:extLst>
            <a:ext uri="{FF2B5EF4-FFF2-40B4-BE49-F238E27FC236}">
              <a16:creationId xmlns:a16="http://schemas.microsoft.com/office/drawing/2014/main" id="{F2473D2B-F981-7C7B-C18A-C6A9EE499742}"/>
            </a:ext>
          </a:extLst>
        </xdr:cNvPr>
        <xdr:cNvSpPr>
          <a:spLocks noChangeShapeType="1"/>
        </xdr:cNvSpPr>
      </xdr:nvSpPr>
      <xdr:spPr bwMode="auto">
        <a:xfrm>
          <a:off x="314325" y="5762625"/>
          <a:ext cx="9525" cy="3152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38</xdr:row>
      <xdr:rowOff>0</xdr:rowOff>
    </xdr:from>
    <xdr:to>
      <xdr:col>1</xdr:col>
      <xdr:colOff>9525</xdr:colOff>
      <xdr:row>50</xdr:row>
      <xdr:rowOff>0</xdr:rowOff>
    </xdr:to>
    <xdr:sp macro="" textlink="">
      <xdr:nvSpPr>
        <xdr:cNvPr id="408474" name="Line 12">
          <a:extLst>
            <a:ext uri="{FF2B5EF4-FFF2-40B4-BE49-F238E27FC236}">
              <a16:creationId xmlns:a16="http://schemas.microsoft.com/office/drawing/2014/main" id="{00C6F39E-B8BB-C1EC-53C9-B8FB83B8087A}"/>
            </a:ext>
          </a:extLst>
        </xdr:cNvPr>
        <xdr:cNvSpPr>
          <a:spLocks noChangeShapeType="1"/>
        </xdr:cNvSpPr>
      </xdr:nvSpPr>
      <xdr:spPr bwMode="auto">
        <a:xfrm>
          <a:off x="314325" y="5762625"/>
          <a:ext cx="9525" cy="3152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38</xdr:row>
      <xdr:rowOff>0</xdr:rowOff>
    </xdr:from>
    <xdr:to>
      <xdr:col>1</xdr:col>
      <xdr:colOff>9525</xdr:colOff>
      <xdr:row>50</xdr:row>
      <xdr:rowOff>0</xdr:rowOff>
    </xdr:to>
    <xdr:sp macro="" textlink="">
      <xdr:nvSpPr>
        <xdr:cNvPr id="408475" name="Line 12">
          <a:extLst>
            <a:ext uri="{FF2B5EF4-FFF2-40B4-BE49-F238E27FC236}">
              <a16:creationId xmlns:a16="http://schemas.microsoft.com/office/drawing/2014/main" id="{1E16820B-4C01-5728-3302-C5AD5AF10166}"/>
            </a:ext>
          </a:extLst>
        </xdr:cNvPr>
        <xdr:cNvSpPr>
          <a:spLocks noChangeShapeType="1"/>
        </xdr:cNvSpPr>
      </xdr:nvSpPr>
      <xdr:spPr bwMode="auto">
        <a:xfrm>
          <a:off x="314325" y="5762625"/>
          <a:ext cx="9525" cy="3152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38</xdr:row>
      <xdr:rowOff>0</xdr:rowOff>
    </xdr:from>
    <xdr:to>
      <xdr:col>1</xdr:col>
      <xdr:colOff>9525</xdr:colOff>
      <xdr:row>50</xdr:row>
      <xdr:rowOff>0</xdr:rowOff>
    </xdr:to>
    <xdr:sp macro="" textlink="">
      <xdr:nvSpPr>
        <xdr:cNvPr id="408476" name="Line 12">
          <a:extLst>
            <a:ext uri="{FF2B5EF4-FFF2-40B4-BE49-F238E27FC236}">
              <a16:creationId xmlns:a16="http://schemas.microsoft.com/office/drawing/2014/main" id="{8D2C199A-4F9A-5973-E8B6-3C55A1B043FF}"/>
            </a:ext>
          </a:extLst>
        </xdr:cNvPr>
        <xdr:cNvSpPr>
          <a:spLocks noChangeShapeType="1"/>
        </xdr:cNvSpPr>
      </xdr:nvSpPr>
      <xdr:spPr bwMode="auto">
        <a:xfrm>
          <a:off x="314325" y="5762625"/>
          <a:ext cx="9525" cy="3152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38</xdr:row>
      <xdr:rowOff>0</xdr:rowOff>
    </xdr:from>
    <xdr:to>
      <xdr:col>1</xdr:col>
      <xdr:colOff>9525</xdr:colOff>
      <xdr:row>50</xdr:row>
      <xdr:rowOff>0</xdr:rowOff>
    </xdr:to>
    <xdr:sp macro="" textlink="">
      <xdr:nvSpPr>
        <xdr:cNvPr id="408477" name="Line 12">
          <a:extLst>
            <a:ext uri="{FF2B5EF4-FFF2-40B4-BE49-F238E27FC236}">
              <a16:creationId xmlns:a16="http://schemas.microsoft.com/office/drawing/2014/main" id="{C8B0C26C-DAB8-ACCE-245D-65EFF06CB157}"/>
            </a:ext>
          </a:extLst>
        </xdr:cNvPr>
        <xdr:cNvSpPr>
          <a:spLocks noChangeShapeType="1"/>
        </xdr:cNvSpPr>
      </xdr:nvSpPr>
      <xdr:spPr bwMode="auto">
        <a:xfrm>
          <a:off x="314325" y="5762625"/>
          <a:ext cx="9525" cy="3152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38</xdr:row>
      <xdr:rowOff>0</xdr:rowOff>
    </xdr:from>
    <xdr:to>
      <xdr:col>1</xdr:col>
      <xdr:colOff>9525</xdr:colOff>
      <xdr:row>50</xdr:row>
      <xdr:rowOff>0</xdr:rowOff>
    </xdr:to>
    <xdr:sp macro="" textlink="">
      <xdr:nvSpPr>
        <xdr:cNvPr id="408478" name="Line 12">
          <a:extLst>
            <a:ext uri="{FF2B5EF4-FFF2-40B4-BE49-F238E27FC236}">
              <a16:creationId xmlns:a16="http://schemas.microsoft.com/office/drawing/2014/main" id="{95A41179-C1F3-F057-6528-864F689846E1}"/>
            </a:ext>
          </a:extLst>
        </xdr:cNvPr>
        <xdr:cNvSpPr>
          <a:spLocks noChangeShapeType="1"/>
        </xdr:cNvSpPr>
      </xdr:nvSpPr>
      <xdr:spPr bwMode="auto">
        <a:xfrm>
          <a:off x="314325" y="5762625"/>
          <a:ext cx="9525" cy="3152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38</xdr:row>
      <xdr:rowOff>0</xdr:rowOff>
    </xdr:from>
    <xdr:to>
      <xdr:col>1</xdr:col>
      <xdr:colOff>9525</xdr:colOff>
      <xdr:row>50</xdr:row>
      <xdr:rowOff>0</xdr:rowOff>
    </xdr:to>
    <xdr:sp macro="" textlink="">
      <xdr:nvSpPr>
        <xdr:cNvPr id="408479" name="Line 12">
          <a:extLst>
            <a:ext uri="{FF2B5EF4-FFF2-40B4-BE49-F238E27FC236}">
              <a16:creationId xmlns:a16="http://schemas.microsoft.com/office/drawing/2014/main" id="{399C1755-F6E6-AE6F-CE52-C7AC96DCA95D}"/>
            </a:ext>
          </a:extLst>
        </xdr:cNvPr>
        <xdr:cNvSpPr>
          <a:spLocks noChangeShapeType="1"/>
        </xdr:cNvSpPr>
      </xdr:nvSpPr>
      <xdr:spPr bwMode="auto">
        <a:xfrm>
          <a:off x="314325" y="5762625"/>
          <a:ext cx="9525" cy="3152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38</xdr:row>
      <xdr:rowOff>0</xdr:rowOff>
    </xdr:from>
    <xdr:to>
      <xdr:col>1</xdr:col>
      <xdr:colOff>9525</xdr:colOff>
      <xdr:row>50</xdr:row>
      <xdr:rowOff>0</xdr:rowOff>
    </xdr:to>
    <xdr:sp macro="" textlink="">
      <xdr:nvSpPr>
        <xdr:cNvPr id="408480" name="Line 12">
          <a:extLst>
            <a:ext uri="{FF2B5EF4-FFF2-40B4-BE49-F238E27FC236}">
              <a16:creationId xmlns:a16="http://schemas.microsoft.com/office/drawing/2014/main" id="{A5CD2ADA-1B7B-9284-F0C0-5DD351CC82E4}"/>
            </a:ext>
          </a:extLst>
        </xdr:cNvPr>
        <xdr:cNvSpPr>
          <a:spLocks noChangeShapeType="1"/>
        </xdr:cNvSpPr>
      </xdr:nvSpPr>
      <xdr:spPr bwMode="auto">
        <a:xfrm>
          <a:off x="314325" y="5762625"/>
          <a:ext cx="9525" cy="3152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38</xdr:row>
      <xdr:rowOff>0</xdr:rowOff>
    </xdr:from>
    <xdr:to>
      <xdr:col>1</xdr:col>
      <xdr:colOff>9525</xdr:colOff>
      <xdr:row>50</xdr:row>
      <xdr:rowOff>0</xdr:rowOff>
    </xdr:to>
    <xdr:sp macro="" textlink="">
      <xdr:nvSpPr>
        <xdr:cNvPr id="408481" name="Line 12">
          <a:extLst>
            <a:ext uri="{FF2B5EF4-FFF2-40B4-BE49-F238E27FC236}">
              <a16:creationId xmlns:a16="http://schemas.microsoft.com/office/drawing/2014/main" id="{48E4E007-9C2E-0143-7918-212D3161A757}"/>
            </a:ext>
          </a:extLst>
        </xdr:cNvPr>
        <xdr:cNvSpPr>
          <a:spLocks noChangeShapeType="1"/>
        </xdr:cNvSpPr>
      </xdr:nvSpPr>
      <xdr:spPr bwMode="auto">
        <a:xfrm>
          <a:off x="314325" y="5762625"/>
          <a:ext cx="9525" cy="3152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38</xdr:row>
      <xdr:rowOff>0</xdr:rowOff>
    </xdr:from>
    <xdr:to>
      <xdr:col>1</xdr:col>
      <xdr:colOff>9525</xdr:colOff>
      <xdr:row>50</xdr:row>
      <xdr:rowOff>0</xdr:rowOff>
    </xdr:to>
    <xdr:sp macro="" textlink="">
      <xdr:nvSpPr>
        <xdr:cNvPr id="408482" name="Line 12">
          <a:extLst>
            <a:ext uri="{FF2B5EF4-FFF2-40B4-BE49-F238E27FC236}">
              <a16:creationId xmlns:a16="http://schemas.microsoft.com/office/drawing/2014/main" id="{CB80D20D-825C-715E-8F3F-FCA5FA5E3797}"/>
            </a:ext>
          </a:extLst>
        </xdr:cNvPr>
        <xdr:cNvSpPr>
          <a:spLocks noChangeShapeType="1"/>
        </xdr:cNvSpPr>
      </xdr:nvSpPr>
      <xdr:spPr bwMode="auto">
        <a:xfrm>
          <a:off x="314325" y="5762625"/>
          <a:ext cx="9525" cy="3152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38</xdr:row>
      <xdr:rowOff>0</xdr:rowOff>
    </xdr:from>
    <xdr:to>
      <xdr:col>1</xdr:col>
      <xdr:colOff>9525</xdr:colOff>
      <xdr:row>50</xdr:row>
      <xdr:rowOff>0</xdr:rowOff>
    </xdr:to>
    <xdr:sp macro="" textlink="">
      <xdr:nvSpPr>
        <xdr:cNvPr id="408483" name="Line 12">
          <a:extLst>
            <a:ext uri="{FF2B5EF4-FFF2-40B4-BE49-F238E27FC236}">
              <a16:creationId xmlns:a16="http://schemas.microsoft.com/office/drawing/2014/main" id="{201EA8BF-DF49-575D-F55E-0C1C3623DE43}"/>
            </a:ext>
          </a:extLst>
        </xdr:cNvPr>
        <xdr:cNvSpPr>
          <a:spLocks noChangeShapeType="1"/>
        </xdr:cNvSpPr>
      </xdr:nvSpPr>
      <xdr:spPr bwMode="auto">
        <a:xfrm>
          <a:off x="314325" y="5762625"/>
          <a:ext cx="9525" cy="3152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38</xdr:row>
      <xdr:rowOff>0</xdr:rowOff>
    </xdr:from>
    <xdr:to>
      <xdr:col>1</xdr:col>
      <xdr:colOff>9525</xdr:colOff>
      <xdr:row>50</xdr:row>
      <xdr:rowOff>0</xdr:rowOff>
    </xdr:to>
    <xdr:sp macro="" textlink="">
      <xdr:nvSpPr>
        <xdr:cNvPr id="408484" name="Line 12">
          <a:extLst>
            <a:ext uri="{FF2B5EF4-FFF2-40B4-BE49-F238E27FC236}">
              <a16:creationId xmlns:a16="http://schemas.microsoft.com/office/drawing/2014/main" id="{77823319-F568-0ABD-9E6F-8523ECA641F1}"/>
            </a:ext>
          </a:extLst>
        </xdr:cNvPr>
        <xdr:cNvSpPr>
          <a:spLocks noChangeShapeType="1"/>
        </xdr:cNvSpPr>
      </xdr:nvSpPr>
      <xdr:spPr bwMode="auto">
        <a:xfrm>
          <a:off x="314325" y="5762625"/>
          <a:ext cx="9525" cy="3152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38</xdr:row>
      <xdr:rowOff>0</xdr:rowOff>
    </xdr:from>
    <xdr:to>
      <xdr:col>1</xdr:col>
      <xdr:colOff>9525</xdr:colOff>
      <xdr:row>50</xdr:row>
      <xdr:rowOff>0</xdr:rowOff>
    </xdr:to>
    <xdr:sp macro="" textlink="">
      <xdr:nvSpPr>
        <xdr:cNvPr id="408485" name="Line 12">
          <a:extLst>
            <a:ext uri="{FF2B5EF4-FFF2-40B4-BE49-F238E27FC236}">
              <a16:creationId xmlns:a16="http://schemas.microsoft.com/office/drawing/2014/main" id="{1DCE9457-9E27-6577-2C47-AC056374BAE7}"/>
            </a:ext>
          </a:extLst>
        </xdr:cNvPr>
        <xdr:cNvSpPr>
          <a:spLocks noChangeShapeType="1"/>
        </xdr:cNvSpPr>
      </xdr:nvSpPr>
      <xdr:spPr bwMode="auto">
        <a:xfrm>
          <a:off x="314325" y="5762625"/>
          <a:ext cx="9525" cy="3152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38</xdr:row>
      <xdr:rowOff>0</xdr:rowOff>
    </xdr:from>
    <xdr:to>
      <xdr:col>1</xdr:col>
      <xdr:colOff>9525</xdr:colOff>
      <xdr:row>50</xdr:row>
      <xdr:rowOff>0</xdr:rowOff>
    </xdr:to>
    <xdr:sp macro="" textlink="">
      <xdr:nvSpPr>
        <xdr:cNvPr id="408486" name="Line 12">
          <a:extLst>
            <a:ext uri="{FF2B5EF4-FFF2-40B4-BE49-F238E27FC236}">
              <a16:creationId xmlns:a16="http://schemas.microsoft.com/office/drawing/2014/main" id="{62E910B5-CFDA-80DB-CBB9-70328C8BF5D1}"/>
            </a:ext>
          </a:extLst>
        </xdr:cNvPr>
        <xdr:cNvSpPr>
          <a:spLocks noChangeShapeType="1"/>
        </xdr:cNvSpPr>
      </xdr:nvSpPr>
      <xdr:spPr bwMode="auto">
        <a:xfrm>
          <a:off x="314325" y="5762625"/>
          <a:ext cx="9525" cy="3152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41</xdr:row>
      <xdr:rowOff>0</xdr:rowOff>
    </xdr:from>
    <xdr:to>
      <xdr:col>1</xdr:col>
      <xdr:colOff>9525</xdr:colOff>
      <xdr:row>47</xdr:row>
      <xdr:rowOff>0</xdr:rowOff>
    </xdr:to>
    <xdr:sp macro="" textlink="">
      <xdr:nvSpPr>
        <xdr:cNvPr id="409469" name="Line 12">
          <a:extLst>
            <a:ext uri="{FF2B5EF4-FFF2-40B4-BE49-F238E27FC236}">
              <a16:creationId xmlns:a16="http://schemas.microsoft.com/office/drawing/2014/main" id="{CB89E001-A72A-FEAC-F7ED-A760FA6CE0C7}"/>
            </a:ext>
          </a:extLst>
        </xdr:cNvPr>
        <xdr:cNvSpPr>
          <a:spLocks noChangeShapeType="1"/>
        </xdr:cNvSpPr>
      </xdr:nvSpPr>
      <xdr:spPr bwMode="auto">
        <a:xfrm>
          <a:off x="314325" y="7534275"/>
          <a:ext cx="9525" cy="14573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41</xdr:row>
      <xdr:rowOff>0</xdr:rowOff>
    </xdr:from>
    <xdr:to>
      <xdr:col>1</xdr:col>
      <xdr:colOff>9525</xdr:colOff>
      <xdr:row>47</xdr:row>
      <xdr:rowOff>0</xdr:rowOff>
    </xdr:to>
    <xdr:sp macro="" textlink="">
      <xdr:nvSpPr>
        <xdr:cNvPr id="409470" name="Line 12">
          <a:extLst>
            <a:ext uri="{FF2B5EF4-FFF2-40B4-BE49-F238E27FC236}">
              <a16:creationId xmlns:a16="http://schemas.microsoft.com/office/drawing/2014/main" id="{A50274D2-CE53-A54A-748F-306157F01485}"/>
            </a:ext>
          </a:extLst>
        </xdr:cNvPr>
        <xdr:cNvSpPr>
          <a:spLocks noChangeShapeType="1"/>
        </xdr:cNvSpPr>
      </xdr:nvSpPr>
      <xdr:spPr bwMode="auto">
        <a:xfrm>
          <a:off x="314325" y="7534275"/>
          <a:ext cx="9525" cy="14573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41</xdr:row>
      <xdr:rowOff>0</xdr:rowOff>
    </xdr:from>
    <xdr:to>
      <xdr:col>1</xdr:col>
      <xdr:colOff>9525</xdr:colOff>
      <xdr:row>47</xdr:row>
      <xdr:rowOff>0</xdr:rowOff>
    </xdr:to>
    <xdr:sp macro="" textlink="">
      <xdr:nvSpPr>
        <xdr:cNvPr id="409471" name="Line 12">
          <a:extLst>
            <a:ext uri="{FF2B5EF4-FFF2-40B4-BE49-F238E27FC236}">
              <a16:creationId xmlns:a16="http://schemas.microsoft.com/office/drawing/2014/main" id="{F7629B6C-E4C3-AD94-D3B6-2EEC53038B1E}"/>
            </a:ext>
          </a:extLst>
        </xdr:cNvPr>
        <xdr:cNvSpPr>
          <a:spLocks noChangeShapeType="1"/>
        </xdr:cNvSpPr>
      </xdr:nvSpPr>
      <xdr:spPr bwMode="auto">
        <a:xfrm>
          <a:off x="314325" y="7534275"/>
          <a:ext cx="9525" cy="14573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41</xdr:row>
      <xdr:rowOff>0</xdr:rowOff>
    </xdr:from>
    <xdr:to>
      <xdr:col>1</xdr:col>
      <xdr:colOff>9525</xdr:colOff>
      <xdr:row>47</xdr:row>
      <xdr:rowOff>0</xdr:rowOff>
    </xdr:to>
    <xdr:sp macro="" textlink="">
      <xdr:nvSpPr>
        <xdr:cNvPr id="409472" name="Line 12">
          <a:extLst>
            <a:ext uri="{FF2B5EF4-FFF2-40B4-BE49-F238E27FC236}">
              <a16:creationId xmlns:a16="http://schemas.microsoft.com/office/drawing/2014/main" id="{AD28E3B7-EDFB-8A4A-16DD-FE364A6C74E3}"/>
            </a:ext>
          </a:extLst>
        </xdr:cNvPr>
        <xdr:cNvSpPr>
          <a:spLocks noChangeShapeType="1"/>
        </xdr:cNvSpPr>
      </xdr:nvSpPr>
      <xdr:spPr bwMode="auto">
        <a:xfrm>
          <a:off x="314325" y="7534275"/>
          <a:ext cx="9525" cy="14573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41</xdr:row>
      <xdr:rowOff>0</xdr:rowOff>
    </xdr:from>
    <xdr:to>
      <xdr:col>1</xdr:col>
      <xdr:colOff>9525</xdr:colOff>
      <xdr:row>47</xdr:row>
      <xdr:rowOff>0</xdr:rowOff>
    </xdr:to>
    <xdr:sp macro="" textlink="">
      <xdr:nvSpPr>
        <xdr:cNvPr id="409473" name="Line 12">
          <a:extLst>
            <a:ext uri="{FF2B5EF4-FFF2-40B4-BE49-F238E27FC236}">
              <a16:creationId xmlns:a16="http://schemas.microsoft.com/office/drawing/2014/main" id="{1FC8BB97-37C8-E24D-CF4C-7E70084AC6DC}"/>
            </a:ext>
          </a:extLst>
        </xdr:cNvPr>
        <xdr:cNvSpPr>
          <a:spLocks noChangeShapeType="1"/>
        </xdr:cNvSpPr>
      </xdr:nvSpPr>
      <xdr:spPr bwMode="auto">
        <a:xfrm>
          <a:off x="314325" y="7534275"/>
          <a:ext cx="9525" cy="14573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41</xdr:row>
      <xdr:rowOff>0</xdr:rowOff>
    </xdr:from>
    <xdr:to>
      <xdr:col>1</xdr:col>
      <xdr:colOff>9525</xdr:colOff>
      <xdr:row>47</xdr:row>
      <xdr:rowOff>0</xdr:rowOff>
    </xdr:to>
    <xdr:sp macro="" textlink="">
      <xdr:nvSpPr>
        <xdr:cNvPr id="409474" name="Line 12">
          <a:extLst>
            <a:ext uri="{FF2B5EF4-FFF2-40B4-BE49-F238E27FC236}">
              <a16:creationId xmlns:a16="http://schemas.microsoft.com/office/drawing/2014/main" id="{2718788C-0D3B-3AA2-56BA-143F30881608}"/>
            </a:ext>
          </a:extLst>
        </xdr:cNvPr>
        <xdr:cNvSpPr>
          <a:spLocks noChangeShapeType="1"/>
        </xdr:cNvSpPr>
      </xdr:nvSpPr>
      <xdr:spPr bwMode="auto">
        <a:xfrm>
          <a:off x="314325" y="7534275"/>
          <a:ext cx="9525" cy="14573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41</xdr:row>
      <xdr:rowOff>0</xdr:rowOff>
    </xdr:from>
    <xdr:to>
      <xdr:col>1</xdr:col>
      <xdr:colOff>9525</xdr:colOff>
      <xdr:row>47</xdr:row>
      <xdr:rowOff>0</xdr:rowOff>
    </xdr:to>
    <xdr:sp macro="" textlink="">
      <xdr:nvSpPr>
        <xdr:cNvPr id="409475" name="Line 12">
          <a:extLst>
            <a:ext uri="{FF2B5EF4-FFF2-40B4-BE49-F238E27FC236}">
              <a16:creationId xmlns:a16="http://schemas.microsoft.com/office/drawing/2014/main" id="{85FA4100-74A6-FCFC-D85F-D3345AE05567}"/>
            </a:ext>
          </a:extLst>
        </xdr:cNvPr>
        <xdr:cNvSpPr>
          <a:spLocks noChangeShapeType="1"/>
        </xdr:cNvSpPr>
      </xdr:nvSpPr>
      <xdr:spPr bwMode="auto">
        <a:xfrm>
          <a:off x="314325" y="7534275"/>
          <a:ext cx="9525" cy="14573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41</xdr:row>
      <xdr:rowOff>0</xdr:rowOff>
    </xdr:from>
    <xdr:to>
      <xdr:col>1</xdr:col>
      <xdr:colOff>9525</xdr:colOff>
      <xdr:row>47</xdr:row>
      <xdr:rowOff>0</xdr:rowOff>
    </xdr:to>
    <xdr:sp macro="" textlink="">
      <xdr:nvSpPr>
        <xdr:cNvPr id="409476" name="Line 12">
          <a:extLst>
            <a:ext uri="{FF2B5EF4-FFF2-40B4-BE49-F238E27FC236}">
              <a16:creationId xmlns:a16="http://schemas.microsoft.com/office/drawing/2014/main" id="{508CE368-2C27-1B98-DE62-8627567B1E40}"/>
            </a:ext>
          </a:extLst>
        </xdr:cNvPr>
        <xdr:cNvSpPr>
          <a:spLocks noChangeShapeType="1"/>
        </xdr:cNvSpPr>
      </xdr:nvSpPr>
      <xdr:spPr bwMode="auto">
        <a:xfrm>
          <a:off x="314325" y="7534275"/>
          <a:ext cx="9525" cy="14573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41</xdr:row>
      <xdr:rowOff>0</xdr:rowOff>
    </xdr:from>
    <xdr:to>
      <xdr:col>1</xdr:col>
      <xdr:colOff>9525</xdr:colOff>
      <xdr:row>47</xdr:row>
      <xdr:rowOff>0</xdr:rowOff>
    </xdr:to>
    <xdr:sp macro="" textlink="">
      <xdr:nvSpPr>
        <xdr:cNvPr id="409477" name="Line 12">
          <a:extLst>
            <a:ext uri="{FF2B5EF4-FFF2-40B4-BE49-F238E27FC236}">
              <a16:creationId xmlns:a16="http://schemas.microsoft.com/office/drawing/2014/main" id="{4FA8DC4C-30F2-8E53-236E-190C0D365FD5}"/>
            </a:ext>
          </a:extLst>
        </xdr:cNvPr>
        <xdr:cNvSpPr>
          <a:spLocks noChangeShapeType="1"/>
        </xdr:cNvSpPr>
      </xdr:nvSpPr>
      <xdr:spPr bwMode="auto">
        <a:xfrm>
          <a:off x="314325" y="7534275"/>
          <a:ext cx="9525" cy="14573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41</xdr:row>
      <xdr:rowOff>0</xdr:rowOff>
    </xdr:from>
    <xdr:to>
      <xdr:col>1</xdr:col>
      <xdr:colOff>9525</xdr:colOff>
      <xdr:row>47</xdr:row>
      <xdr:rowOff>0</xdr:rowOff>
    </xdr:to>
    <xdr:sp macro="" textlink="">
      <xdr:nvSpPr>
        <xdr:cNvPr id="409478" name="Line 12">
          <a:extLst>
            <a:ext uri="{FF2B5EF4-FFF2-40B4-BE49-F238E27FC236}">
              <a16:creationId xmlns:a16="http://schemas.microsoft.com/office/drawing/2014/main" id="{35D0ED3E-6755-70EE-E131-3EB29268BD1F}"/>
            </a:ext>
          </a:extLst>
        </xdr:cNvPr>
        <xdr:cNvSpPr>
          <a:spLocks noChangeShapeType="1"/>
        </xdr:cNvSpPr>
      </xdr:nvSpPr>
      <xdr:spPr bwMode="auto">
        <a:xfrm>
          <a:off x="314325" y="7534275"/>
          <a:ext cx="9525" cy="14573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41</xdr:row>
      <xdr:rowOff>0</xdr:rowOff>
    </xdr:from>
    <xdr:to>
      <xdr:col>1</xdr:col>
      <xdr:colOff>9525</xdr:colOff>
      <xdr:row>47</xdr:row>
      <xdr:rowOff>0</xdr:rowOff>
    </xdr:to>
    <xdr:sp macro="" textlink="">
      <xdr:nvSpPr>
        <xdr:cNvPr id="409479" name="Line 12">
          <a:extLst>
            <a:ext uri="{FF2B5EF4-FFF2-40B4-BE49-F238E27FC236}">
              <a16:creationId xmlns:a16="http://schemas.microsoft.com/office/drawing/2014/main" id="{F868340B-9458-965D-ABB9-1591EBC807B1}"/>
            </a:ext>
          </a:extLst>
        </xdr:cNvPr>
        <xdr:cNvSpPr>
          <a:spLocks noChangeShapeType="1"/>
        </xdr:cNvSpPr>
      </xdr:nvSpPr>
      <xdr:spPr bwMode="auto">
        <a:xfrm>
          <a:off x="314325" y="7534275"/>
          <a:ext cx="9525" cy="14573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41</xdr:row>
      <xdr:rowOff>0</xdr:rowOff>
    </xdr:from>
    <xdr:to>
      <xdr:col>1</xdr:col>
      <xdr:colOff>9525</xdr:colOff>
      <xdr:row>47</xdr:row>
      <xdr:rowOff>0</xdr:rowOff>
    </xdr:to>
    <xdr:sp macro="" textlink="">
      <xdr:nvSpPr>
        <xdr:cNvPr id="409480" name="Line 12">
          <a:extLst>
            <a:ext uri="{FF2B5EF4-FFF2-40B4-BE49-F238E27FC236}">
              <a16:creationId xmlns:a16="http://schemas.microsoft.com/office/drawing/2014/main" id="{5D1EF5D5-1E0B-ADF1-37DE-1A1D7E7F805E}"/>
            </a:ext>
          </a:extLst>
        </xdr:cNvPr>
        <xdr:cNvSpPr>
          <a:spLocks noChangeShapeType="1"/>
        </xdr:cNvSpPr>
      </xdr:nvSpPr>
      <xdr:spPr bwMode="auto">
        <a:xfrm>
          <a:off x="314325" y="7534275"/>
          <a:ext cx="9525" cy="14573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41</xdr:row>
      <xdr:rowOff>0</xdr:rowOff>
    </xdr:from>
    <xdr:to>
      <xdr:col>1</xdr:col>
      <xdr:colOff>9525</xdr:colOff>
      <xdr:row>47</xdr:row>
      <xdr:rowOff>0</xdr:rowOff>
    </xdr:to>
    <xdr:sp macro="" textlink="">
      <xdr:nvSpPr>
        <xdr:cNvPr id="409481" name="Line 12">
          <a:extLst>
            <a:ext uri="{FF2B5EF4-FFF2-40B4-BE49-F238E27FC236}">
              <a16:creationId xmlns:a16="http://schemas.microsoft.com/office/drawing/2014/main" id="{8F9118B3-1DF9-AC64-2888-1185F3DAC941}"/>
            </a:ext>
          </a:extLst>
        </xdr:cNvPr>
        <xdr:cNvSpPr>
          <a:spLocks noChangeShapeType="1"/>
        </xdr:cNvSpPr>
      </xdr:nvSpPr>
      <xdr:spPr bwMode="auto">
        <a:xfrm>
          <a:off x="314325" y="7534275"/>
          <a:ext cx="9525" cy="14573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41</xdr:row>
      <xdr:rowOff>0</xdr:rowOff>
    </xdr:from>
    <xdr:to>
      <xdr:col>1</xdr:col>
      <xdr:colOff>9525</xdr:colOff>
      <xdr:row>47</xdr:row>
      <xdr:rowOff>0</xdr:rowOff>
    </xdr:to>
    <xdr:sp macro="" textlink="">
      <xdr:nvSpPr>
        <xdr:cNvPr id="409482" name="Line 12">
          <a:extLst>
            <a:ext uri="{FF2B5EF4-FFF2-40B4-BE49-F238E27FC236}">
              <a16:creationId xmlns:a16="http://schemas.microsoft.com/office/drawing/2014/main" id="{9B22F24E-BA30-4C02-1C6C-A551650B76E8}"/>
            </a:ext>
          </a:extLst>
        </xdr:cNvPr>
        <xdr:cNvSpPr>
          <a:spLocks noChangeShapeType="1"/>
        </xdr:cNvSpPr>
      </xdr:nvSpPr>
      <xdr:spPr bwMode="auto">
        <a:xfrm>
          <a:off x="314325" y="7534275"/>
          <a:ext cx="9525" cy="14573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38</xdr:row>
      <xdr:rowOff>0</xdr:rowOff>
    </xdr:from>
    <xdr:to>
      <xdr:col>1</xdr:col>
      <xdr:colOff>9525</xdr:colOff>
      <xdr:row>46</xdr:row>
      <xdr:rowOff>0</xdr:rowOff>
    </xdr:to>
    <xdr:sp macro="" textlink="">
      <xdr:nvSpPr>
        <xdr:cNvPr id="410493" name="Line 12">
          <a:extLst>
            <a:ext uri="{FF2B5EF4-FFF2-40B4-BE49-F238E27FC236}">
              <a16:creationId xmlns:a16="http://schemas.microsoft.com/office/drawing/2014/main" id="{29F0B9A0-53DB-9C26-08FA-C7F4450D6B25}"/>
            </a:ext>
          </a:extLst>
        </xdr:cNvPr>
        <xdr:cNvSpPr>
          <a:spLocks noChangeShapeType="1"/>
        </xdr:cNvSpPr>
      </xdr:nvSpPr>
      <xdr:spPr bwMode="auto">
        <a:xfrm>
          <a:off x="381000" y="6419850"/>
          <a:ext cx="9525" cy="1771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38</xdr:row>
      <xdr:rowOff>0</xdr:rowOff>
    </xdr:from>
    <xdr:to>
      <xdr:col>1</xdr:col>
      <xdr:colOff>9525</xdr:colOff>
      <xdr:row>46</xdr:row>
      <xdr:rowOff>0</xdr:rowOff>
    </xdr:to>
    <xdr:sp macro="" textlink="">
      <xdr:nvSpPr>
        <xdr:cNvPr id="410494" name="Line 12">
          <a:extLst>
            <a:ext uri="{FF2B5EF4-FFF2-40B4-BE49-F238E27FC236}">
              <a16:creationId xmlns:a16="http://schemas.microsoft.com/office/drawing/2014/main" id="{53B06390-DED2-CE8C-0267-BCDED35A10DB}"/>
            </a:ext>
          </a:extLst>
        </xdr:cNvPr>
        <xdr:cNvSpPr>
          <a:spLocks noChangeShapeType="1"/>
        </xdr:cNvSpPr>
      </xdr:nvSpPr>
      <xdr:spPr bwMode="auto">
        <a:xfrm>
          <a:off x="381000" y="6419850"/>
          <a:ext cx="9525" cy="1771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38</xdr:row>
      <xdr:rowOff>0</xdr:rowOff>
    </xdr:from>
    <xdr:to>
      <xdr:col>1</xdr:col>
      <xdr:colOff>9525</xdr:colOff>
      <xdr:row>46</xdr:row>
      <xdr:rowOff>0</xdr:rowOff>
    </xdr:to>
    <xdr:sp macro="" textlink="">
      <xdr:nvSpPr>
        <xdr:cNvPr id="410495" name="Line 12">
          <a:extLst>
            <a:ext uri="{FF2B5EF4-FFF2-40B4-BE49-F238E27FC236}">
              <a16:creationId xmlns:a16="http://schemas.microsoft.com/office/drawing/2014/main" id="{0F0B2FC6-CC80-43EC-EB31-D926CEDABDB0}"/>
            </a:ext>
          </a:extLst>
        </xdr:cNvPr>
        <xdr:cNvSpPr>
          <a:spLocks noChangeShapeType="1"/>
        </xdr:cNvSpPr>
      </xdr:nvSpPr>
      <xdr:spPr bwMode="auto">
        <a:xfrm>
          <a:off x="381000" y="6419850"/>
          <a:ext cx="9525" cy="1771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38</xdr:row>
      <xdr:rowOff>0</xdr:rowOff>
    </xdr:from>
    <xdr:to>
      <xdr:col>1</xdr:col>
      <xdr:colOff>9525</xdr:colOff>
      <xdr:row>46</xdr:row>
      <xdr:rowOff>0</xdr:rowOff>
    </xdr:to>
    <xdr:sp macro="" textlink="">
      <xdr:nvSpPr>
        <xdr:cNvPr id="410496" name="Line 12">
          <a:extLst>
            <a:ext uri="{FF2B5EF4-FFF2-40B4-BE49-F238E27FC236}">
              <a16:creationId xmlns:a16="http://schemas.microsoft.com/office/drawing/2014/main" id="{FB95765A-FFDD-4934-B617-2943BD890EAF}"/>
            </a:ext>
          </a:extLst>
        </xdr:cNvPr>
        <xdr:cNvSpPr>
          <a:spLocks noChangeShapeType="1"/>
        </xdr:cNvSpPr>
      </xdr:nvSpPr>
      <xdr:spPr bwMode="auto">
        <a:xfrm>
          <a:off x="381000" y="6419850"/>
          <a:ext cx="9525" cy="1771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38</xdr:row>
      <xdr:rowOff>0</xdr:rowOff>
    </xdr:from>
    <xdr:to>
      <xdr:col>1</xdr:col>
      <xdr:colOff>9525</xdr:colOff>
      <xdr:row>46</xdr:row>
      <xdr:rowOff>0</xdr:rowOff>
    </xdr:to>
    <xdr:sp macro="" textlink="">
      <xdr:nvSpPr>
        <xdr:cNvPr id="410497" name="Line 12">
          <a:extLst>
            <a:ext uri="{FF2B5EF4-FFF2-40B4-BE49-F238E27FC236}">
              <a16:creationId xmlns:a16="http://schemas.microsoft.com/office/drawing/2014/main" id="{6BDFD031-76F8-576F-7143-DE913806175C}"/>
            </a:ext>
          </a:extLst>
        </xdr:cNvPr>
        <xdr:cNvSpPr>
          <a:spLocks noChangeShapeType="1"/>
        </xdr:cNvSpPr>
      </xdr:nvSpPr>
      <xdr:spPr bwMode="auto">
        <a:xfrm>
          <a:off x="381000" y="6419850"/>
          <a:ext cx="9525" cy="1771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38</xdr:row>
      <xdr:rowOff>0</xdr:rowOff>
    </xdr:from>
    <xdr:to>
      <xdr:col>1</xdr:col>
      <xdr:colOff>9525</xdr:colOff>
      <xdr:row>46</xdr:row>
      <xdr:rowOff>0</xdr:rowOff>
    </xdr:to>
    <xdr:sp macro="" textlink="">
      <xdr:nvSpPr>
        <xdr:cNvPr id="410498" name="Line 12">
          <a:extLst>
            <a:ext uri="{FF2B5EF4-FFF2-40B4-BE49-F238E27FC236}">
              <a16:creationId xmlns:a16="http://schemas.microsoft.com/office/drawing/2014/main" id="{9D89639C-FD2C-DE4B-080C-A74EFA1745AB}"/>
            </a:ext>
          </a:extLst>
        </xdr:cNvPr>
        <xdr:cNvSpPr>
          <a:spLocks noChangeShapeType="1"/>
        </xdr:cNvSpPr>
      </xdr:nvSpPr>
      <xdr:spPr bwMode="auto">
        <a:xfrm>
          <a:off x="381000" y="6419850"/>
          <a:ext cx="9525" cy="1771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38</xdr:row>
      <xdr:rowOff>0</xdr:rowOff>
    </xdr:from>
    <xdr:to>
      <xdr:col>1</xdr:col>
      <xdr:colOff>9525</xdr:colOff>
      <xdr:row>46</xdr:row>
      <xdr:rowOff>0</xdr:rowOff>
    </xdr:to>
    <xdr:sp macro="" textlink="">
      <xdr:nvSpPr>
        <xdr:cNvPr id="410499" name="Line 12">
          <a:extLst>
            <a:ext uri="{FF2B5EF4-FFF2-40B4-BE49-F238E27FC236}">
              <a16:creationId xmlns:a16="http://schemas.microsoft.com/office/drawing/2014/main" id="{296F4674-4416-C18F-025D-79D4D24962E3}"/>
            </a:ext>
          </a:extLst>
        </xdr:cNvPr>
        <xdr:cNvSpPr>
          <a:spLocks noChangeShapeType="1"/>
        </xdr:cNvSpPr>
      </xdr:nvSpPr>
      <xdr:spPr bwMode="auto">
        <a:xfrm>
          <a:off x="381000" y="6419850"/>
          <a:ext cx="9525" cy="1771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38</xdr:row>
      <xdr:rowOff>0</xdr:rowOff>
    </xdr:from>
    <xdr:to>
      <xdr:col>1</xdr:col>
      <xdr:colOff>9525</xdr:colOff>
      <xdr:row>46</xdr:row>
      <xdr:rowOff>0</xdr:rowOff>
    </xdr:to>
    <xdr:sp macro="" textlink="">
      <xdr:nvSpPr>
        <xdr:cNvPr id="410500" name="Line 12">
          <a:extLst>
            <a:ext uri="{FF2B5EF4-FFF2-40B4-BE49-F238E27FC236}">
              <a16:creationId xmlns:a16="http://schemas.microsoft.com/office/drawing/2014/main" id="{D236BAE4-55B4-F025-9FA2-89EF921C24E0}"/>
            </a:ext>
          </a:extLst>
        </xdr:cNvPr>
        <xdr:cNvSpPr>
          <a:spLocks noChangeShapeType="1"/>
        </xdr:cNvSpPr>
      </xdr:nvSpPr>
      <xdr:spPr bwMode="auto">
        <a:xfrm>
          <a:off x="381000" y="6419850"/>
          <a:ext cx="9525" cy="1771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38</xdr:row>
      <xdr:rowOff>0</xdr:rowOff>
    </xdr:from>
    <xdr:to>
      <xdr:col>1</xdr:col>
      <xdr:colOff>9525</xdr:colOff>
      <xdr:row>46</xdr:row>
      <xdr:rowOff>0</xdr:rowOff>
    </xdr:to>
    <xdr:sp macro="" textlink="">
      <xdr:nvSpPr>
        <xdr:cNvPr id="410501" name="Line 12">
          <a:extLst>
            <a:ext uri="{FF2B5EF4-FFF2-40B4-BE49-F238E27FC236}">
              <a16:creationId xmlns:a16="http://schemas.microsoft.com/office/drawing/2014/main" id="{72343F48-229E-CE38-EEFA-DD94F7A9E3EB}"/>
            </a:ext>
          </a:extLst>
        </xdr:cNvPr>
        <xdr:cNvSpPr>
          <a:spLocks noChangeShapeType="1"/>
        </xdr:cNvSpPr>
      </xdr:nvSpPr>
      <xdr:spPr bwMode="auto">
        <a:xfrm>
          <a:off x="381000" y="6419850"/>
          <a:ext cx="9525" cy="1771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38</xdr:row>
      <xdr:rowOff>0</xdr:rowOff>
    </xdr:from>
    <xdr:to>
      <xdr:col>1</xdr:col>
      <xdr:colOff>9525</xdr:colOff>
      <xdr:row>46</xdr:row>
      <xdr:rowOff>0</xdr:rowOff>
    </xdr:to>
    <xdr:sp macro="" textlink="">
      <xdr:nvSpPr>
        <xdr:cNvPr id="410502" name="Line 12">
          <a:extLst>
            <a:ext uri="{FF2B5EF4-FFF2-40B4-BE49-F238E27FC236}">
              <a16:creationId xmlns:a16="http://schemas.microsoft.com/office/drawing/2014/main" id="{73E522CF-3CE2-4E0A-179F-E8C763C6D04B}"/>
            </a:ext>
          </a:extLst>
        </xdr:cNvPr>
        <xdr:cNvSpPr>
          <a:spLocks noChangeShapeType="1"/>
        </xdr:cNvSpPr>
      </xdr:nvSpPr>
      <xdr:spPr bwMode="auto">
        <a:xfrm>
          <a:off x="381000" y="6419850"/>
          <a:ext cx="9525" cy="1771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38</xdr:row>
      <xdr:rowOff>0</xdr:rowOff>
    </xdr:from>
    <xdr:to>
      <xdr:col>1</xdr:col>
      <xdr:colOff>9525</xdr:colOff>
      <xdr:row>46</xdr:row>
      <xdr:rowOff>0</xdr:rowOff>
    </xdr:to>
    <xdr:sp macro="" textlink="">
      <xdr:nvSpPr>
        <xdr:cNvPr id="410503" name="Line 12">
          <a:extLst>
            <a:ext uri="{FF2B5EF4-FFF2-40B4-BE49-F238E27FC236}">
              <a16:creationId xmlns:a16="http://schemas.microsoft.com/office/drawing/2014/main" id="{95551623-8350-0E55-9661-BFB01F476004}"/>
            </a:ext>
          </a:extLst>
        </xdr:cNvPr>
        <xdr:cNvSpPr>
          <a:spLocks noChangeShapeType="1"/>
        </xdr:cNvSpPr>
      </xdr:nvSpPr>
      <xdr:spPr bwMode="auto">
        <a:xfrm>
          <a:off x="381000" y="6419850"/>
          <a:ext cx="9525" cy="1771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38</xdr:row>
      <xdr:rowOff>0</xdr:rowOff>
    </xdr:from>
    <xdr:to>
      <xdr:col>1</xdr:col>
      <xdr:colOff>9525</xdr:colOff>
      <xdr:row>46</xdr:row>
      <xdr:rowOff>0</xdr:rowOff>
    </xdr:to>
    <xdr:sp macro="" textlink="">
      <xdr:nvSpPr>
        <xdr:cNvPr id="410504" name="Line 12">
          <a:extLst>
            <a:ext uri="{FF2B5EF4-FFF2-40B4-BE49-F238E27FC236}">
              <a16:creationId xmlns:a16="http://schemas.microsoft.com/office/drawing/2014/main" id="{674DF227-4A1C-CBC5-3456-EF7CAF1C4DF7}"/>
            </a:ext>
          </a:extLst>
        </xdr:cNvPr>
        <xdr:cNvSpPr>
          <a:spLocks noChangeShapeType="1"/>
        </xdr:cNvSpPr>
      </xdr:nvSpPr>
      <xdr:spPr bwMode="auto">
        <a:xfrm>
          <a:off x="381000" y="6419850"/>
          <a:ext cx="9525" cy="1771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38</xdr:row>
      <xdr:rowOff>0</xdr:rowOff>
    </xdr:from>
    <xdr:to>
      <xdr:col>1</xdr:col>
      <xdr:colOff>9525</xdr:colOff>
      <xdr:row>46</xdr:row>
      <xdr:rowOff>0</xdr:rowOff>
    </xdr:to>
    <xdr:sp macro="" textlink="">
      <xdr:nvSpPr>
        <xdr:cNvPr id="410505" name="Line 12">
          <a:extLst>
            <a:ext uri="{FF2B5EF4-FFF2-40B4-BE49-F238E27FC236}">
              <a16:creationId xmlns:a16="http://schemas.microsoft.com/office/drawing/2014/main" id="{7702C324-0A71-CAAA-B436-2F6323EAB5B7}"/>
            </a:ext>
          </a:extLst>
        </xdr:cNvPr>
        <xdr:cNvSpPr>
          <a:spLocks noChangeShapeType="1"/>
        </xdr:cNvSpPr>
      </xdr:nvSpPr>
      <xdr:spPr bwMode="auto">
        <a:xfrm>
          <a:off x="381000" y="6419850"/>
          <a:ext cx="9525" cy="1771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38</xdr:row>
      <xdr:rowOff>0</xdr:rowOff>
    </xdr:from>
    <xdr:to>
      <xdr:col>1</xdr:col>
      <xdr:colOff>9525</xdr:colOff>
      <xdr:row>46</xdr:row>
      <xdr:rowOff>0</xdr:rowOff>
    </xdr:to>
    <xdr:sp macro="" textlink="">
      <xdr:nvSpPr>
        <xdr:cNvPr id="410506" name="Line 12">
          <a:extLst>
            <a:ext uri="{FF2B5EF4-FFF2-40B4-BE49-F238E27FC236}">
              <a16:creationId xmlns:a16="http://schemas.microsoft.com/office/drawing/2014/main" id="{083A79F2-FE8B-46A5-9BD3-E6E596E9EB94}"/>
            </a:ext>
          </a:extLst>
        </xdr:cNvPr>
        <xdr:cNvSpPr>
          <a:spLocks noChangeShapeType="1"/>
        </xdr:cNvSpPr>
      </xdr:nvSpPr>
      <xdr:spPr bwMode="auto">
        <a:xfrm>
          <a:off x="381000" y="6419850"/>
          <a:ext cx="9525" cy="1771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41</xdr:row>
      <xdr:rowOff>0</xdr:rowOff>
    </xdr:from>
    <xdr:to>
      <xdr:col>1</xdr:col>
      <xdr:colOff>9525</xdr:colOff>
      <xdr:row>50</xdr:row>
      <xdr:rowOff>0</xdr:rowOff>
    </xdr:to>
    <xdr:sp macro="" textlink="">
      <xdr:nvSpPr>
        <xdr:cNvPr id="411503" name="Line 12">
          <a:extLst>
            <a:ext uri="{FF2B5EF4-FFF2-40B4-BE49-F238E27FC236}">
              <a16:creationId xmlns:a16="http://schemas.microsoft.com/office/drawing/2014/main" id="{37A93365-ECAC-558C-99C9-815386F6A085}"/>
            </a:ext>
          </a:extLst>
        </xdr:cNvPr>
        <xdr:cNvSpPr>
          <a:spLocks noChangeShapeType="1"/>
        </xdr:cNvSpPr>
      </xdr:nvSpPr>
      <xdr:spPr bwMode="auto">
        <a:xfrm>
          <a:off x="323850" y="7153275"/>
          <a:ext cx="9525" cy="1685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41</xdr:row>
      <xdr:rowOff>0</xdr:rowOff>
    </xdr:from>
    <xdr:to>
      <xdr:col>1</xdr:col>
      <xdr:colOff>9525</xdr:colOff>
      <xdr:row>50</xdr:row>
      <xdr:rowOff>0</xdr:rowOff>
    </xdr:to>
    <xdr:sp macro="" textlink="">
      <xdr:nvSpPr>
        <xdr:cNvPr id="411504" name="Line 12">
          <a:extLst>
            <a:ext uri="{FF2B5EF4-FFF2-40B4-BE49-F238E27FC236}">
              <a16:creationId xmlns:a16="http://schemas.microsoft.com/office/drawing/2014/main" id="{E363E5E5-8248-350E-8B25-AC10A042F6C4}"/>
            </a:ext>
          </a:extLst>
        </xdr:cNvPr>
        <xdr:cNvSpPr>
          <a:spLocks noChangeShapeType="1"/>
        </xdr:cNvSpPr>
      </xdr:nvSpPr>
      <xdr:spPr bwMode="auto">
        <a:xfrm>
          <a:off x="323850" y="7153275"/>
          <a:ext cx="9525" cy="1685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41</xdr:row>
      <xdr:rowOff>0</xdr:rowOff>
    </xdr:from>
    <xdr:to>
      <xdr:col>1</xdr:col>
      <xdr:colOff>9525</xdr:colOff>
      <xdr:row>50</xdr:row>
      <xdr:rowOff>0</xdr:rowOff>
    </xdr:to>
    <xdr:sp macro="" textlink="">
      <xdr:nvSpPr>
        <xdr:cNvPr id="411505" name="Line 12">
          <a:extLst>
            <a:ext uri="{FF2B5EF4-FFF2-40B4-BE49-F238E27FC236}">
              <a16:creationId xmlns:a16="http://schemas.microsoft.com/office/drawing/2014/main" id="{E7E21A36-E641-C4CB-FD3B-DF27EA7A9BAA}"/>
            </a:ext>
          </a:extLst>
        </xdr:cNvPr>
        <xdr:cNvSpPr>
          <a:spLocks noChangeShapeType="1"/>
        </xdr:cNvSpPr>
      </xdr:nvSpPr>
      <xdr:spPr bwMode="auto">
        <a:xfrm>
          <a:off x="323850" y="7153275"/>
          <a:ext cx="9525" cy="1685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41</xdr:row>
      <xdr:rowOff>0</xdr:rowOff>
    </xdr:from>
    <xdr:to>
      <xdr:col>1</xdr:col>
      <xdr:colOff>9525</xdr:colOff>
      <xdr:row>50</xdr:row>
      <xdr:rowOff>0</xdr:rowOff>
    </xdr:to>
    <xdr:sp macro="" textlink="">
      <xdr:nvSpPr>
        <xdr:cNvPr id="411506" name="Line 12">
          <a:extLst>
            <a:ext uri="{FF2B5EF4-FFF2-40B4-BE49-F238E27FC236}">
              <a16:creationId xmlns:a16="http://schemas.microsoft.com/office/drawing/2014/main" id="{15EFF40C-0F1B-0355-0553-41CD495602AE}"/>
            </a:ext>
          </a:extLst>
        </xdr:cNvPr>
        <xdr:cNvSpPr>
          <a:spLocks noChangeShapeType="1"/>
        </xdr:cNvSpPr>
      </xdr:nvSpPr>
      <xdr:spPr bwMode="auto">
        <a:xfrm>
          <a:off x="323850" y="7153275"/>
          <a:ext cx="9525" cy="1685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41</xdr:row>
      <xdr:rowOff>0</xdr:rowOff>
    </xdr:from>
    <xdr:to>
      <xdr:col>1</xdr:col>
      <xdr:colOff>9525</xdr:colOff>
      <xdr:row>50</xdr:row>
      <xdr:rowOff>0</xdr:rowOff>
    </xdr:to>
    <xdr:sp macro="" textlink="">
      <xdr:nvSpPr>
        <xdr:cNvPr id="411507" name="Line 12">
          <a:extLst>
            <a:ext uri="{FF2B5EF4-FFF2-40B4-BE49-F238E27FC236}">
              <a16:creationId xmlns:a16="http://schemas.microsoft.com/office/drawing/2014/main" id="{44AA58B0-036B-28DC-F333-7A0FE79AB161}"/>
            </a:ext>
          </a:extLst>
        </xdr:cNvPr>
        <xdr:cNvSpPr>
          <a:spLocks noChangeShapeType="1"/>
        </xdr:cNvSpPr>
      </xdr:nvSpPr>
      <xdr:spPr bwMode="auto">
        <a:xfrm>
          <a:off x="323850" y="7153275"/>
          <a:ext cx="9525" cy="1685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41</xdr:row>
      <xdr:rowOff>0</xdr:rowOff>
    </xdr:from>
    <xdr:to>
      <xdr:col>1</xdr:col>
      <xdr:colOff>9525</xdr:colOff>
      <xdr:row>50</xdr:row>
      <xdr:rowOff>0</xdr:rowOff>
    </xdr:to>
    <xdr:sp macro="" textlink="">
      <xdr:nvSpPr>
        <xdr:cNvPr id="411508" name="Line 12">
          <a:extLst>
            <a:ext uri="{FF2B5EF4-FFF2-40B4-BE49-F238E27FC236}">
              <a16:creationId xmlns:a16="http://schemas.microsoft.com/office/drawing/2014/main" id="{F9D84371-10B0-E4C4-0EF2-A5FA577C92C1}"/>
            </a:ext>
          </a:extLst>
        </xdr:cNvPr>
        <xdr:cNvSpPr>
          <a:spLocks noChangeShapeType="1"/>
        </xdr:cNvSpPr>
      </xdr:nvSpPr>
      <xdr:spPr bwMode="auto">
        <a:xfrm>
          <a:off x="323850" y="7153275"/>
          <a:ext cx="9525" cy="1685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41</xdr:row>
      <xdr:rowOff>0</xdr:rowOff>
    </xdr:from>
    <xdr:to>
      <xdr:col>1</xdr:col>
      <xdr:colOff>9525</xdr:colOff>
      <xdr:row>50</xdr:row>
      <xdr:rowOff>0</xdr:rowOff>
    </xdr:to>
    <xdr:sp macro="" textlink="">
      <xdr:nvSpPr>
        <xdr:cNvPr id="411509" name="Line 12">
          <a:extLst>
            <a:ext uri="{FF2B5EF4-FFF2-40B4-BE49-F238E27FC236}">
              <a16:creationId xmlns:a16="http://schemas.microsoft.com/office/drawing/2014/main" id="{776BB339-DB34-3BC0-6283-1E9ECCCA3DE7}"/>
            </a:ext>
          </a:extLst>
        </xdr:cNvPr>
        <xdr:cNvSpPr>
          <a:spLocks noChangeShapeType="1"/>
        </xdr:cNvSpPr>
      </xdr:nvSpPr>
      <xdr:spPr bwMode="auto">
        <a:xfrm>
          <a:off x="323850" y="7153275"/>
          <a:ext cx="9525" cy="1685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41</xdr:row>
      <xdr:rowOff>0</xdr:rowOff>
    </xdr:from>
    <xdr:to>
      <xdr:col>1</xdr:col>
      <xdr:colOff>9525</xdr:colOff>
      <xdr:row>50</xdr:row>
      <xdr:rowOff>0</xdr:rowOff>
    </xdr:to>
    <xdr:sp macro="" textlink="">
      <xdr:nvSpPr>
        <xdr:cNvPr id="411510" name="Line 12">
          <a:extLst>
            <a:ext uri="{FF2B5EF4-FFF2-40B4-BE49-F238E27FC236}">
              <a16:creationId xmlns:a16="http://schemas.microsoft.com/office/drawing/2014/main" id="{8030D98C-6ED9-B6ED-4481-CE972A81955C}"/>
            </a:ext>
          </a:extLst>
        </xdr:cNvPr>
        <xdr:cNvSpPr>
          <a:spLocks noChangeShapeType="1"/>
        </xdr:cNvSpPr>
      </xdr:nvSpPr>
      <xdr:spPr bwMode="auto">
        <a:xfrm>
          <a:off x="323850" y="7153275"/>
          <a:ext cx="9525" cy="1685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41</xdr:row>
      <xdr:rowOff>0</xdr:rowOff>
    </xdr:from>
    <xdr:to>
      <xdr:col>1</xdr:col>
      <xdr:colOff>9525</xdr:colOff>
      <xdr:row>50</xdr:row>
      <xdr:rowOff>0</xdr:rowOff>
    </xdr:to>
    <xdr:sp macro="" textlink="">
      <xdr:nvSpPr>
        <xdr:cNvPr id="411511" name="Line 12">
          <a:extLst>
            <a:ext uri="{FF2B5EF4-FFF2-40B4-BE49-F238E27FC236}">
              <a16:creationId xmlns:a16="http://schemas.microsoft.com/office/drawing/2014/main" id="{1F4F7507-A833-48F2-AAE9-BC095796352A}"/>
            </a:ext>
          </a:extLst>
        </xdr:cNvPr>
        <xdr:cNvSpPr>
          <a:spLocks noChangeShapeType="1"/>
        </xdr:cNvSpPr>
      </xdr:nvSpPr>
      <xdr:spPr bwMode="auto">
        <a:xfrm>
          <a:off x="323850" y="7153275"/>
          <a:ext cx="9525" cy="1685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41</xdr:row>
      <xdr:rowOff>0</xdr:rowOff>
    </xdr:from>
    <xdr:to>
      <xdr:col>1</xdr:col>
      <xdr:colOff>9525</xdr:colOff>
      <xdr:row>50</xdr:row>
      <xdr:rowOff>0</xdr:rowOff>
    </xdr:to>
    <xdr:sp macro="" textlink="">
      <xdr:nvSpPr>
        <xdr:cNvPr id="411512" name="Line 12">
          <a:extLst>
            <a:ext uri="{FF2B5EF4-FFF2-40B4-BE49-F238E27FC236}">
              <a16:creationId xmlns:a16="http://schemas.microsoft.com/office/drawing/2014/main" id="{15E680AA-97A9-EB5E-8251-90FEC0324B8F}"/>
            </a:ext>
          </a:extLst>
        </xdr:cNvPr>
        <xdr:cNvSpPr>
          <a:spLocks noChangeShapeType="1"/>
        </xdr:cNvSpPr>
      </xdr:nvSpPr>
      <xdr:spPr bwMode="auto">
        <a:xfrm>
          <a:off x="323850" y="7153275"/>
          <a:ext cx="9525" cy="1685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41</xdr:row>
      <xdr:rowOff>0</xdr:rowOff>
    </xdr:from>
    <xdr:to>
      <xdr:col>1</xdr:col>
      <xdr:colOff>9525</xdr:colOff>
      <xdr:row>50</xdr:row>
      <xdr:rowOff>0</xdr:rowOff>
    </xdr:to>
    <xdr:sp macro="" textlink="">
      <xdr:nvSpPr>
        <xdr:cNvPr id="411513" name="Line 12">
          <a:extLst>
            <a:ext uri="{FF2B5EF4-FFF2-40B4-BE49-F238E27FC236}">
              <a16:creationId xmlns:a16="http://schemas.microsoft.com/office/drawing/2014/main" id="{FC3186A6-487E-C2DF-D62D-EE0D8750A67F}"/>
            </a:ext>
          </a:extLst>
        </xdr:cNvPr>
        <xdr:cNvSpPr>
          <a:spLocks noChangeShapeType="1"/>
        </xdr:cNvSpPr>
      </xdr:nvSpPr>
      <xdr:spPr bwMode="auto">
        <a:xfrm>
          <a:off x="323850" y="7153275"/>
          <a:ext cx="9525" cy="1685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41</xdr:row>
      <xdr:rowOff>0</xdr:rowOff>
    </xdr:from>
    <xdr:to>
      <xdr:col>1</xdr:col>
      <xdr:colOff>9525</xdr:colOff>
      <xdr:row>50</xdr:row>
      <xdr:rowOff>0</xdr:rowOff>
    </xdr:to>
    <xdr:sp macro="" textlink="">
      <xdr:nvSpPr>
        <xdr:cNvPr id="411514" name="Line 12">
          <a:extLst>
            <a:ext uri="{FF2B5EF4-FFF2-40B4-BE49-F238E27FC236}">
              <a16:creationId xmlns:a16="http://schemas.microsoft.com/office/drawing/2014/main" id="{C7A3511B-A746-B864-7EA5-75E3E1393446}"/>
            </a:ext>
          </a:extLst>
        </xdr:cNvPr>
        <xdr:cNvSpPr>
          <a:spLocks noChangeShapeType="1"/>
        </xdr:cNvSpPr>
      </xdr:nvSpPr>
      <xdr:spPr bwMode="auto">
        <a:xfrm>
          <a:off x="323850" y="7153275"/>
          <a:ext cx="9525" cy="1685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41</xdr:row>
      <xdr:rowOff>0</xdr:rowOff>
    </xdr:from>
    <xdr:to>
      <xdr:col>1</xdr:col>
      <xdr:colOff>9525</xdr:colOff>
      <xdr:row>50</xdr:row>
      <xdr:rowOff>0</xdr:rowOff>
    </xdr:to>
    <xdr:sp macro="" textlink="">
      <xdr:nvSpPr>
        <xdr:cNvPr id="411515" name="Line 12">
          <a:extLst>
            <a:ext uri="{FF2B5EF4-FFF2-40B4-BE49-F238E27FC236}">
              <a16:creationId xmlns:a16="http://schemas.microsoft.com/office/drawing/2014/main" id="{9EA878FB-A445-0DD0-3936-C7CFA95AFF54}"/>
            </a:ext>
          </a:extLst>
        </xdr:cNvPr>
        <xdr:cNvSpPr>
          <a:spLocks noChangeShapeType="1"/>
        </xdr:cNvSpPr>
      </xdr:nvSpPr>
      <xdr:spPr bwMode="auto">
        <a:xfrm>
          <a:off x="323850" y="7153275"/>
          <a:ext cx="9525" cy="1685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41</xdr:row>
      <xdr:rowOff>0</xdr:rowOff>
    </xdr:from>
    <xdr:to>
      <xdr:col>1</xdr:col>
      <xdr:colOff>9525</xdr:colOff>
      <xdr:row>50</xdr:row>
      <xdr:rowOff>0</xdr:rowOff>
    </xdr:to>
    <xdr:sp macro="" textlink="">
      <xdr:nvSpPr>
        <xdr:cNvPr id="411516" name="Line 12">
          <a:extLst>
            <a:ext uri="{FF2B5EF4-FFF2-40B4-BE49-F238E27FC236}">
              <a16:creationId xmlns:a16="http://schemas.microsoft.com/office/drawing/2014/main" id="{2F41BBBF-3562-1553-E084-3453AB893A81}"/>
            </a:ext>
          </a:extLst>
        </xdr:cNvPr>
        <xdr:cNvSpPr>
          <a:spLocks noChangeShapeType="1"/>
        </xdr:cNvSpPr>
      </xdr:nvSpPr>
      <xdr:spPr bwMode="auto">
        <a:xfrm>
          <a:off x="323850" y="7153275"/>
          <a:ext cx="9525" cy="1685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40</xdr:row>
      <xdr:rowOff>0</xdr:rowOff>
    </xdr:from>
    <xdr:to>
      <xdr:col>1</xdr:col>
      <xdr:colOff>9525</xdr:colOff>
      <xdr:row>48</xdr:row>
      <xdr:rowOff>0</xdr:rowOff>
    </xdr:to>
    <xdr:sp macro="" textlink="">
      <xdr:nvSpPr>
        <xdr:cNvPr id="412499" name="Line 12">
          <a:extLst>
            <a:ext uri="{FF2B5EF4-FFF2-40B4-BE49-F238E27FC236}">
              <a16:creationId xmlns:a16="http://schemas.microsoft.com/office/drawing/2014/main" id="{FAB54B64-FAF8-58B7-3A14-BDF65EDE3CBA}"/>
            </a:ext>
          </a:extLst>
        </xdr:cNvPr>
        <xdr:cNvSpPr>
          <a:spLocks noChangeShapeType="1"/>
        </xdr:cNvSpPr>
      </xdr:nvSpPr>
      <xdr:spPr bwMode="auto">
        <a:xfrm>
          <a:off x="390525" y="7258050"/>
          <a:ext cx="9525" cy="18002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40</xdr:row>
      <xdr:rowOff>0</xdr:rowOff>
    </xdr:from>
    <xdr:to>
      <xdr:col>1</xdr:col>
      <xdr:colOff>9525</xdr:colOff>
      <xdr:row>48</xdr:row>
      <xdr:rowOff>0</xdr:rowOff>
    </xdr:to>
    <xdr:sp macro="" textlink="">
      <xdr:nvSpPr>
        <xdr:cNvPr id="412500" name="Line 12">
          <a:extLst>
            <a:ext uri="{FF2B5EF4-FFF2-40B4-BE49-F238E27FC236}">
              <a16:creationId xmlns:a16="http://schemas.microsoft.com/office/drawing/2014/main" id="{2A66B583-80B9-73B3-F002-87030D8F09D1}"/>
            </a:ext>
          </a:extLst>
        </xdr:cNvPr>
        <xdr:cNvSpPr>
          <a:spLocks noChangeShapeType="1"/>
        </xdr:cNvSpPr>
      </xdr:nvSpPr>
      <xdr:spPr bwMode="auto">
        <a:xfrm>
          <a:off x="390525" y="7258050"/>
          <a:ext cx="9525" cy="18002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40</xdr:row>
      <xdr:rowOff>0</xdr:rowOff>
    </xdr:from>
    <xdr:to>
      <xdr:col>1</xdr:col>
      <xdr:colOff>9525</xdr:colOff>
      <xdr:row>48</xdr:row>
      <xdr:rowOff>0</xdr:rowOff>
    </xdr:to>
    <xdr:sp macro="" textlink="">
      <xdr:nvSpPr>
        <xdr:cNvPr id="412501" name="Line 12">
          <a:extLst>
            <a:ext uri="{FF2B5EF4-FFF2-40B4-BE49-F238E27FC236}">
              <a16:creationId xmlns:a16="http://schemas.microsoft.com/office/drawing/2014/main" id="{92B2D2DC-4ED3-2E2F-68F2-67A6CB4E1D3B}"/>
            </a:ext>
          </a:extLst>
        </xdr:cNvPr>
        <xdr:cNvSpPr>
          <a:spLocks noChangeShapeType="1"/>
        </xdr:cNvSpPr>
      </xdr:nvSpPr>
      <xdr:spPr bwMode="auto">
        <a:xfrm>
          <a:off x="390525" y="7258050"/>
          <a:ext cx="9525" cy="18002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40</xdr:row>
      <xdr:rowOff>0</xdr:rowOff>
    </xdr:from>
    <xdr:to>
      <xdr:col>1</xdr:col>
      <xdr:colOff>9525</xdr:colOff>
      <xdr:row>48</xdr:row>
      <xdr:rowOff>0</xdr:rowOff>
    </xdr:to>
    <xdr:sp macro="" textlink="">
      <xdr:nvSpPr>
        <xdr:cNvPr id="412502" name="Line 12">
          <a:extLst>
            <a:ext uri="{FF2B5EF4-FFF2-40B4-BE49-F238E27FC236}">
              <a16:creationId xmlns:a16="http://schemas.microsoft.com/office/drawing/2014/main" id="{244F90CE-A470-0184-F258-0D002DBE5BE8}"/>
            </a:ext>
          </a:extLst>
        </xdr:cNvPr>
        <xdr:cNvSpPr>
          <a:spLocks noChangeShapeType="1"/>
        </xdr:cNvSpPr>
      </xdr:nvSpPr>
      <xdr:spPr bwMode="auto">
        <a:xfrm>
          <a:off x="390525" y="7258050"/>
          <a:ext cx="9525" cy="18002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40</xdr:row>
      <xdr:rowOff>0</xdr:rowOff>
    </xdr:from>
    <xdr:to>
      <xdr:col>1</xdr:col>
      <xdr:colOff>9525</xdr:colOff>
      <xdr:row>48</xdr:row>
      <xdr:rowOff>0</xdr:rowOff>
    </xdr:to>
    <xdr:sp macro="" textlink="">
      <xdr:nvSpPr>
        <xdr:cNvPr id="412503" name="Line 12">
          <a:extLst>
            <a:ext uri="{FF2B5EF4-FFF2-40B4-BE49-F238E27FC236}">
              <a16:creationId xmlns:a16="http://schemas.microsoft.com/office/drawing/2014/main" id="{F050EFB1-8828-F0D6-97DE-16712E5FAC16}"/>
            </a:ext>
          </a:extLst>
        </xdr:cNvPr>
        <xdr:cNvSpPr>
          <a:spLocks noChangeShapeType="1"/>
        </xdr:cNvSpPr>
      </xdr:nvSpPr>
      <xdr:spPr bwMode="auto">
        <a:xfrm>
          <a:off x="390525" y="7258050"/>
          <a:ext cx="9525" cy="18002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40</xdr:row>
      <xdr:rowOff>0</xdr:rowOff>
    </xdr:from>
    <xdr:to>
      <xdr:col>1</xdr:col>
      <xdr:colOff>9525</xdr:colOff>
      <xdr:row>48</xdr:row>
      <xdr:rowOff>0</xdr:rowOff>
    </xdr:to>
    <xdr:sp macro="" textlink="">
      <xdr:nvSpPr>
        <xdr:cNvPr id="412504" name="Line 12">
          <a:extLst>
            <a:ext uri="{FF2B5EF4-FFF2-40B4-BE49-F238E27FC236}">
              <a16:creationId xmlns:a16="http://schemas.microsoft.com/office/drawing/2014/main" id="{4BECE308-D11E-6329-21EC-C678529203AB}"/>
            </a:ext>
          </a:extLst>
        </xdr:cNvPr>
        <xdr:cNvSpPr>
          <a:spLocks noChangeShapeType="1"/>
        </xdr:cNvSpPr>
      </xdr:nvSpPr>
      <xdr:spPr bwMode="auto">
        <a:xfrm>
          <a:off x="390525" y="7258050"/>
          <a:ext cx="9525" cy="18002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40</xdr:row>
      <xdr:rowOff>0</xdr:rowOff>
    </xdr:from>
    <xdr:to>
      <xdr:col>1</xdr:col>
      <xdr:colOff>9525</xdr:colOff>
      <xdr:row>48</xdr:row>
      <xdr:rowOff>0</xdr:rowOff>
    </xdr:to>
    <xdr:sp macro="" textlink="">
      <xdr:nvSpPr>
        <xdr:cNvPr id="412505" name="Line 12">
          <a:extLst>
            <a:ext uri="{FF2B5EF4-FFF2-40B4-BE49-F238E27FC236}">
              <a16:creationId xmlns:a16="http://schemas.microsoft.com/office/drawing/2014/main" id="{48421403-CAC1-EA64-0F2A-002803BF3B81}"/>
            </a:ext>
          </a:extLst>
        </xdr:cNvPr>
        <xdr:cNvSpPr>
          <a:spLocks noChangeShapeType="1"/>
        </xdr:cNvSpPr>
      </xdr:nvSpPr>
      <xdr:spPr bwMode="auto">
        <a:xfrm>
          <a:off x="390525" y="7258050"/>
          <a:ext cx="9525" cy="18002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40</xdr:row>
      <xdr:rowOff>0</xdr:rowOff>
    </xdr:from>
    <xdr:to>
      <xdr:col>1</xdr:col>
      <xdr:colOff>9525</xdr:colOff>
      <xdr:row>48</xdr:row>
      <xdr:rowOff>0</xdr:rowOff>
    </xdr:to>
    <xdr:sp macro="" textlink="">
      <xdr:nvSpPr>
        <xdr:cNvPr id="412506" name="Line 12">
          <a:extLst>
            <a:ext uri="{FF2B5EF4-FFF2-40B4-BE49-F238E27FC236}">
              <a16:creationId xmlns:a16="http://schemas.microsoft.com/office/drawing/2014/main" id="{E0B80D0E-B34F-76F8-346F-9A83459CF7E3}"/>
            </a:ext>
          </a:extLst>
        </xdr:cNvPr>
        <xdr:cNvSpPr>
          <a:spLocks noChangeShapeType="1"/>
        </xdr:cNvSpPr>
      </xdr:nvSpPr>
      <xdr:spPr bwMode="auto">
        <a:xfrm>
          <a:off x="390525" y="7258050"/>
          <a:ext cx="9525" cy="18002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40</xdr:row>
      <xdr:rowOff>0</xdr:rowOff>
    </xdr:from>
    <xdr:to>
      <xdr:col>1</xdr:col>
      <xdr:colOff>9525</xdr:colOff>
      <xdr:row>48</xdr:row>
      <xdr:rowOff>0</xdr:rowOff>
    </xdr:to>
    <xdr:sp macro="" textlink="">
      <xdr:nvSpPr>
        <xdr:cNvPr id="412507" name="Line 12">
          <a:extLst>
            <a:ext uri="{FF2B5EF4-FFF2-40B4-BE49-F238E27FC236}">
              <a16:creationId xmlns:a16="http://schemas.microsoft.com/office/drawing/2014/main" id="{E7BC1142-27DA-38BF-69D8-ACA248D10E7D}"/>
            </a:ext>
          </a:extLst>
        </xdr:cNvPr>
        <xdr:cNvSpPr>
          <a:spLocks noChangeShapeType="1"/>
        </xdr:cNvSpPr>
      </xdr:nvSpPr>
      <xdr:spPr bwMode="auto">
        <a:xfrm>
          <a:off x="390525" y="7258050"/>
          <a:ext cx="9525" cy="18002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40</xdr:row>
      <xdr:rowOff>0</xdr:rowOff>
    </xdr:from>
    <xdr:to>
      <xdr:col>1</xdr:col>
      <xdr:colOff>9525</xdr:colOff>
      <xdr:row>48</xdr:row>
      <xdr:rowOff>0</xdr:rowOff>
    </xdr:to>
    <xdr:sp macro="" textlink="">
      <xdr:nvSpPr>
        <xdr:cNvPr id="412508" name="Line 12">
          <a:extLst>
            <a:ext uri="{FF2B5EF4-FFF2-40B4-BE49-F238E27FC236}">
              <a16:creationId xmlns:a16="http://schemas.microsoft.com/office/drawing/2014/main" id="{DB054D52-BDAB-6E58-761B-9FA089F3B62A}"/>
            </a:ext>
          </a:extLst>
        </xdr:cNvPr>
        <xdr:cNvSpPr>
          <a:spLocks noChangeShapeType="1"/>
        </xdr:cNvSpPr>
      </xdr:nvSpPr>
      <xdr:spPr bwMode="auto">
        <a:xfrm>
          <a:off x="390525" y="7258050"/>
          <a:ext cx="9525" cy="18002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40</xdr:row>
      <xdr:rowOff>0</xdr:rowOff>
    </xdr:from>
    <xdr:to>
      <xdr:col>1</xdr:col>
      <xdr:colOff>9525</xdr:colOff>
      <xdr:row>48</xdr:row>
      <xdr:rowOff>0</xdr:rowOff>
    </xdr:to>
    <xdr:sp macro="" textlink="">
      <xdr:nvSpPr>
        <xdr:cNvPr id="412509" name="Line 12">
          <a:extLst>
            <a:ext uri="{FF2B5EF4-FFF2-40B4-BE49-F238E27FC236}">
              <a16:creationId xmlns:a16="http://schemas.microsoft.com/office/drawing/2014/main" id="{2434408B-37B7-ECFB-6ECB-4D5FA3A93934}"/>
            </a:ext>
          </a:extLst>
        </xdr:cNvPr>
        <xdr:cNvSpPr>
          <a:spLocks noChangeShapeType="1"/>
        </xdr:cNvSpPr>
      </xdr:nvSpPr>
      <xdr:spPr bwMode="auto">
        <a:xfrm>
          <a:off x="390525" y="7258050"/>
          <a:ext cx="9525" cy="18002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40</xdr:row>
      <xdr:rowOff>0</xdr:rowOff>
    </xdr:from>
    <xdr:to>
      <xdr:col>1</xdr:col>
      <xdr:colOff>9525</xdr:colOff>
      <xdr:row>48</xdr:row>
      <xdr:rowOff>0</xdr:rowOff>
    </xdr:to>
    <xdr:sp macro="" textlink="">
      <xdr:nvSpPr>
        <xdr:cNvPr id="412510" name="Line 12">
          <a:extLst>
            <a:ext uri="{FF2B5EF4-FFF2-40B4-BE49-F238E27FC236}">
              <a16:creationId xmlns:a16="http://schemas.microsoft.com/office/drawing/2014/main" id="{DCF5115D-3D6A-9E21-532C-93CFEBADA1B7}"/>
            </a:ext>
          </a:extLst>
        </xdr:cNvPr>
        <xdr:cNvSpPr>
          <a:spLocks noChangeShapeType="1"/>
        </xdr:cNvSpPr>
      </xdr:nvSpPr>
      <xdr:spPr bwMode="auto">
        <a:xfrm>
          <a:off x="390525" y="7258050"/>
          <a:ext cx="9525" cy="18002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40</xdr:row>
      <xdr:rowOff>0</xdr:rowOff>
    </xdr:from>
    <xdr:to>
      <xdr:col>1</xdr:col>
      <xdr:colOff>9525</xdr:colOff>
      <xdr:row>48</xdr:row>
      <xdr:rowOff>0</xdr:rowOff>
    </xdr:to>
    <xdr:sp macro="" textlink="">
      <xdr:nvSpPr>
        <xdr:cNvPr id="412511" name="Line 12">
          <a:extLst>
            <a:ext uri="{FF2B5EF4-FFF2-40B4-BE49-F238E27FC236}">
              <a16:creationId xmlns:a16="http://schemas.microsoft.com/office/drawing/2014/main" id="{B7511FA9-2720-6D39-4D9F-49A9BCAD5D7D}"/>
            </a:ext>
          </a:extLst>
        </xdr:cNvPr>
        <xdr:cNvSpPr>
          <a:spLocks noChangeShapeType="1"/>
        </xdr:cNvSpPr>
      </xdr:nvSpPr>
      <xdr:spPr bwMode="auto">
        <a:xfrm>
          <a:off x="390525" y="7258050"/>
          <a:ext cx="9525" cy="18002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40</xdr:row>
      <xdr:rowOff>0</xdr:rowOff>
    </xdr:from>
    <xdr:to>
      <xdr:col>1</xdr:col>
      <xdr:colOff>9525</xdr:colOff>
      <xdr:row>48</xdr:row>
      <xdr:rowOff>0</xdr:rowOff>
    </xdr:to>
    <xdr:sp macro="" textlink="">
      <xdr:nvSpPr>
        <xdr:cNvPr id="412512" name="Line 12">
          <a:extLst>
            <a:ext uri="{FF2B5EF4-FFF2-40B4-BE49-F238E27FC236}">
              <a16:creationId xmlns:a16="http://schemas.microsoft.com/office/drawing/2014/main" id="{1525D05F-8399-0923-3B75-89F7A119F4E5}"/>
            </a:ext>
          </a:extLst>
        </xdr:cNvPr>
        <xdr:cNvSpPr>
          <a:spLocks noChangeShapeType="1"/>
        </xdr:cNvSpPr>
      </xdr:nvSpPr>
      <xdr:spPr bwMode="auto">
        <a:xfrm>
          <a:off x="390525" y="7258050"/>
          <a:ext cx="9525" cy="18002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42</xdr:row>
      <xdr:rowOff>0</xdr:rowOff>
    </xdr:from>
    <xdr:to>
      <xdr:col>1</xdr:col>
      <xdr:colOff>9525</xdr:colOff>
      <xdr:row>49</xdr:row>
      <xdr:rowOff>0</xdr:rowOff>
    </xdr:to>
    <xdr:sp macro="" textlink="">
      <xdr:nvSpPr>
        <xdr:cNvPr id="432609" name="Line 12">
          <a:extLst>
            <a:ext uri="{FF2B5EF4-FFF2-40B4-BE49-F238E27FC236}">
              <a16:creationId xmlns:a16="http://schemas.microsoft.com/office/drawing/2014/main" id="{8A2CE6DC-111B-07CF-B538-CBBCB3E9528B}"/>
            </a:ext>
          </a:extLst>
        </xdr:cNvPr>
        <xdr:cNvSpPr>
          <a:spLocks noChangeShapeType="1"/>
        </xdr:cNvSpPr>
      </xdr:nvSpPr>
      <xdr:spPr bwMode="auto">
        <a:xfrm>
          <a:off x="390525" y="6877050"/>
          <a:ext cx="9525" cy="1609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42</xdr:row>
      <xdr:rowOff>0</xdr:rowOff>
    </xdr:from>
    <xdr:to>
      <xdr:col>1</xdr:col>
      <xdr:colOff>9525</xdr:colOff>
      <xdr:row>49</xdr:row>
      <xdr:rowOff>0</xdr:rowOff>
    </xdr:to>
    <xdr:sp macro="" textlink="">
      <xdr:nvSpPr>
        <xdr:cNvPr id="432610" name="Line 12">
          <a:extLst>
            <a:ext uri="{FF2B5EF4-FFF2-40B4-BE49-F238E27FC236}">
              <a16:creationId xmlns:a16="http://schemas.microsoft.com/office/drawing/2014/main" id="{7794585E-560C-DDC9-DF3F-72557512A3BA}"/>
            </a:ext>
          </a:extLst>
        </xdr:cNvPr>
        <xdr:cNvSpPr>
          <a:spLocks noChangeShapeType="1"/>
        </xdr:cNvSpPr>
      </xdr:nvSpPr>
      <xdr:spPr bwMode="auto">
        <a:xfrm>
          <a:off x="390525" y="6877050"/>
          <a:ext cx="9525" cy="1609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42</xdr:row>
      <xdr:rowOff>0</xdr:rowOff>
    </xdr:from>
    <xdr:to>
      <xdr:col>1</xdr:col>
      <xdr:colOff>9525</xdr:colOff>
      <xdr:row>49</xdr:row>
      <xdr:rowOff>0</xdr:rowOff>
    </xdr:to>
    <xdr:sp macro="" textlink="">
      <xdr:nvSpPr>
        <xdr:cNvPr id="432611" name="Line 12">
          <a:extLst>
            <a:ext uri="{FF2B5EF4-FFF2-40B4-BE49-F238E27FC236}">
              <a16:creationId xmlns:a16="http://schemas.microsoft.com/office/drawing/2014/main" id="{4FCAEEA4-AC53-1248-5C21-BA488186A4A7}"/>
            </a:ext>
          </a:extLst>
        </xdr:cNvPr>
        <xdr:cNvSpPr>
          <a:spLocks noChangeShapeType="1"/>
        </xdr:cNvSpPr>
      </xdr:nvSpPr>
      <xdr:spPr bwMode="auto">
        <a:xfrm>
          <a:off x="390525" y="6877050"/>
          <a:ext cx="9525" cy="1609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42</xdr:row>
      <xdr:rowOff>0</xdr:rowOff>
    </xdr:from>
    <xdr:to>
      <xdr:col>1</xdr:col>
      <xdr:colOff>9525</xdr:colOff>
      <xdr:row>49</xdr:row>
      <xdr:rowOff>0</xdr:rowOff>
    </xdr:to>
    <xdr:sp macro="" textlink="">
      <xdr:nvSpPr>
        <xdr:cNvPr id="432612" name="Line 12">
          <a:extLst>
            <a:ext uri="{FF2B5EF4-FFF2-40B4-BE49-F238E27FC236}">
              <a16:creationId xmlns:a16="http://schemas.microsoft.com/office/drawing/2014/main" id="{2F02D43E-6BA6-7CC1-B191-5FD9BBF31031}"/>
            </a:ext>
          </a:extLst>
        </xdr:cNvPr>
        <xdr:cNvSpPr>
          <a:spLocks noChangeShapeType="1"/>
        </xdr:cNvSpPr>
      </xdr:nvSpPr>
      <xdr:spPr bwMode="auto">
        <a:xfrm>
          <a:off x="390525" y="6877050"/>
          <a:ext cx="9525" cy="1609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42</xdr:row>
      <xdr:rowOff>0</xdr:rowOff>
    </xdr:from>
    <xdr:to>
      <xdr:col>1</xdr:col>
      <xdr:colOff>9525</xdr:colOff>
      <xdr:row>49</xdr:row>
      <xdr:rowOff>0</xdr:rowOff>
    </xdr:to>
    <xdr:sp macro="" textlink="">
      <xdr:nvSpPr>
        <xdr:cNvPr id="432613" name="Line 12">
          <a:extLst>
            <a:ext uri="{FF2B5EF4-FFF2-40B4-BE49-F238E27FC236}">
              <a16:creationId xmlns:a16="http://schemas.microsoft.com/office/drawing/2014/main" id="{83F4F02B-D96D-38DC-5A2F-B6C4EAEFEF6C}"/>
            </a:ext>
          </a:extLst>
        </xdr:cNvPr>
        <xdr:cNvSpPr>
          <a:spLocks noChangeShapeType="1"/>
        </xdr:cNvSpPr>
      </xdr:nvSpPr>
      <xdr:spPr bwMode="auto">
        <a:xfrm>
          <a:off x="390525" y="6877050"/>
          <a:ext cx="9525" cy="1609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42</xdr:row>
      <xdr:rowOff>0</xdr:rowOff>
    </xdr:from>
    <xdr:to>
      <xdr:col>1</xdr:col>
      <xdr:colOff>9525</xdr:colOff>
      <xdr:row>49</xdr:row>
      <xdr:rowOff>0</xdr:rowOff>
    </xdr:to>
    <xdr:sp macro="" textlink="">
      <xdr:nvSpPr>
        <xdr:cNvPr id="432614" name="Line 12">
          <a:extLst>
            <a:ext uri="{FF2B5EF4-FFF2-40B4-BE49-F238E27FC236}">
              <a16:creationId xmlns:a16="http://schemas.microsoft.com/office/drawing/2014/main" id="{B2FEF6F6-233D-1F26-7EAB-D19FDCCFC638}"/>
            </a:ext>
          </a:extLst>
        </xdr:cNvPr>
        <xdr:cNvSpPr>
          <a:spLocks noChangeShapeType="1"/>
        </xdr:cNvSpPr>
      </xdr:nvSpPr>
      <xdr:spPr bwMode="auto">
        <a:xfrm>
          <a:off x="390525" y="6877050"/>
          <a:ext cx="9525" cy="1609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42</xdr:row>
      <xdr:rowOff>0</xdr:rowOff>
    </xdr:from>
    <xdr:to>
      <xdr:col>1</xdr:col>
      <xdr:colOff>9525</xdr:colOff>
      <xdr:row>49</xdr:row>
      <xdr:rowOff>0</xdr:rowOff>
    </xdr:to>
    <xdr:sp macro="" textlink="">
      <xdr:nvSpPr>
        <xdr:cNvPr id="432615" name="Line 12">
          <a:extLst>
            <a:ext uri="{FF2B5EF4-FFF2-40B4-BE49-F238E27FC236}">
              <a16:creationId xmlns:a16="http://schemas.microsoft.com/office/drawing/2014/main" id="{AC5A3F2E-5802-6EB0-1418-35E3234E28CC}"/>
            </a:ext>
          </a:extLst>
        </xdr:cNvPr>
        <xdr:cNvSpPr>
          <a:spLocks noChangeShapeType="1"/>
        </xdr:cNvSpPr>
      </xdr:nvSpPr>
      <xdr:spPr bwMode="auto">
        <a:xfrm>
          <a:off x="390525" y="6877050"/>
          <a:ext cx="9525" cy="1609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42</xdr:row>
      <xdr:rowOff>0</xdr:rowOff>
    </xdr:from>
    <xdr:to>
      <xdr:col>1</xdr:col>
      <xdr:colOff>9525</xdr:colOff>
      <xdr:row>49</xdr:row>
      <xdr:rowOff>0</xdr:rowOff>
    </xdr:to>
    <xdr:sp macro="" textlink="">
      <xdr:nvSpPr>
        <xdr:cNvPr id="432616" name="Line 12">
          <a:extLst>
            <a:ext uri="{FF2B5EF4-FFF2-40B4-BE49-F238E27FC236}">
              <a16:creationId xmlns:a16="http://schemas.microsoft.com/office/drawing/2014/main" id="{8C6AD269-E6A7-E92E-575B-CF743C46B74C}"/>
            </a:ext>
          </a:extLst>
        </xdr:cNvPr>
        <xdr:cNvSpPr>
          <a:spLocks noChangeShapeType="1"/>
        </xdr:cNvSpPr>
      </xdr:nvSpPr>
      <xdr:spPr bwMode="auto">
        <a:xfrm>
          <a:off x="390525" y="6877050"/>
          <a:ext cx="9525" cy="1609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42</xdr:row>
      <xdr:rowOff>0</xdr:rowOff>
    </xdr:from>
    <xdr:to>
      <xdr:col>1</xdr:col>
      <xdr:colOff>9525</xdr:colOff>
      <xdr:row>49</xdr:row>
      <xdr:rowOff>0</xdr:rowOff>
    </xdr:to>
    <xdr:sp macro="" textlink="">
      <xdr:nvSpPr>
        <xdr:cNvPr id="432617" name="Line 12">
          <a:extLst>
            <a:ext uri="{FF2B5EF4-FFF2-40B4-BE49-F238E27FC236}">
              <a16:creationId xmlns:a16="http://schemas.microsoft.com/office/drawing/2014/main" id="{619C23AA-5892-3767-036B-67F227C5E424}"/>
            </a:ext>
          </a:extLst>
        </xdr:cNvPr>
        <xdr:cNvSpPr>
          <a:spLocks noChangeShapeType="1"/>
        </xdr:cNvSpPr>
      </xdr:nvSpPr>
      <xdr:spPr bwMode="auto">
        <a:xfrm>
          <a:off x="390525" y="6877050"/>
          <a:ext cx="9525" cy="1609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42</xdr:row>
      <xdr:rowOff>0</xdr:rowOff>
    </xdr:from>
    <xdr:to>
      <xdr:col>1</xdr:col>
      <xdr:colOff>9525</xdr:colOff>
      <xdr:row>49</xdr:row>
      <xdr:rowOff>0</xdr:rowOff>
    </xdr:to>
    <xdr:sp macro="" textlink="">
      <xdr:nvSpPr>
        <xdr:cNvPr id="432618" name="Line 12">
          <a:extLst>
            <a:ext uri="{FF2B5EF4-FFF2-40B4-BE49-F238E27FC236}">
              <a16:creationId xmlns:a16="http://schemas.microsoft.com/office/drawing/2014/main" id="{905FA278-9241-80E5-1013-EBB203720DD8}"/>
            </a:ext>
          </a:extLst>
        </xdr:cNvPr>
        <xdr:cNvSpPr>
          <a:spLocks noChangeShapeType="1"/>
        </xdr:cNvSpPr>
      </xdr:nvSpPr>
      <xdr:spPr bwMode="auto">
        <a:xfrm>
          <a:off x="390525" y="6877050"/>
          <a:ext cx="9525" cy="1609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42</xdr:row>
      <xdr:rowOff>0</xdr:rowOff>
    </xdr:from>
    <xdr:to>
      <xdr:col>1</xdr:col>
      <xdr:colOff>9525</xdr:colOff>
      <xdr:row>49</xdr:row>
      <xdr:rowOff>0</xdr:rowOff>
    </xdr:to>
    <xdr:sp macro="" textlink="">
      <xdr:nvSpPr>
        <xdr:cNvPr id="432619" name="Line 12">
          <a:extLst>
            <a:ext uri="{FF2B5EF4-FFF2-40B4-BE49-F238E27FC236}">
              <a16:creationId xmlns:a16="http://schemas.microsoft.com/office/drawing/2014/main" id="{5BDCC378-39F5-5AB4-AC32-1F39FD02D0C3}"/>
            </a:ext>
          </a:extLst>
        </xdr:cNvPr>
        <xdr:cNvSpPr>
          <a:spLocks noChangeShapeType="1"/>
        </xdr:cNvSpPr>
      </xdr:nvSpPr>
      <xdr:spPr bwMode="auto">
        <a:xfrm>
          <a:off x="390525" y="6877050"/>
          <a:ext cx="9525" cy="1609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42</xdr:row>
      <xdr:rowOff>0</xdr:rowOff>
    </xdr:from>
    <xdr:to>
      <xdr:col>1</xdr:col>
      <xdr:colOff>9525</xdr:colOff>
      <xdr:row>49</xdr:row>
      <xdr:rowOff>0</xdr:rowOff>
    </xdr:to>
    <xdr:sp macro="" textlink="">
      <xdr:nvSpPr>
        <xdr:cNvPr id="432620" name="Line 12">
          <a:extLst>
            <a:ext uri="{FF2B5EF4-FFF2-40B4-BE49-F238E27FC236}">
              <a16:creationId xmlns:a16="http://schemas.microsoft.com/office/drawing/2014/main" id="{BFFB0A96-C3BE-EF29-75D4-1BAC5D97579C}"/>
            </a:ext>
          </a:extLst>
        </xdr:cNvPr>
        <xdr:cNvSpPr>
          <a:spLocks noChangeShapeType="1"/>
        </xdr:cNvSpPr>
      </xdr:nvSpPr>
      <xdr:spPr bwMode="auto">
        <a:xfrm>
          <a:off x="390525" y="6877050"/>
          <a:ext cx="9525" cy="1609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42</xdr:row>
      <xdr:rowOff>0</xdr:rowOff>
    </xdr:from>
    <xdr:to>
      <xdr:col>1</xdr:col>
      <xdr:colOff>9525</xdr:colOff>
      <xdr:row>49</xdr:row>
      <xdr:rowOff>0</xdr:rowOff>
    </xdr:to>
    <xdr:sp macro="" textlink="">
      <xdr:nvSpPr>
        <xdr:cNvPr id="432621" name="Line 12">
          <a:extLst>
            <a:ext uri="{FF2B5EF4-FFF2-40B4-BE49-F238E27FC236}">
              <a16:creationId xmlns:a16="http://schemas.microsoft.com/office/drawing/2014/main" id="{F1DC6874-7532-622A-55E1-E34330AD924A}"/>
            </a:ext>
          </a:extLst>
        </xdr:cNvPr>
        <xdr:cNvSpPr>
          <a:spLocks noChangeShapeType="1"/>
        </xdr:cNvSpPr>
      </xdr:nvSpPr>
      <xdr:spPr bwMode="auto">
        <a:xfrm>
          <a:off x="390525" y="6877050"/>
          <a:ext cx="9525" cy="1609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42</xdr:row>
      <xdr:rowOff>0</xdr:rowOff>
    </xdr:from>
    <xdr:to>
      <xdr:col>1</xdr:col>
      <xdr:colOff>9525</xdr:colOff>
      <xdr:row>49</xdr:row>
      <xdr:rowOff>0</xdr:rowOff>
    </xdr:to>
    <xdr:sp macro="" textlink="">
      <xdr:nvSpPr>
        <xdr:cNvPr id="432622" name="Line 12">
          <a:extLst>
            <a:ext uri="{FF2B5EF4-FFF2-40B4-BE49-F238E27FC236}">
              <a16:creationId xmlns:a16="http://schemas.microsoft.com/office/drawing/2014/main" id="{6B69F5DB-6636-8D38-F80B-D910C4F39949}"/>
            </a:ext>
          </a:extLst>
        </xdr:cNvPr>
        <xdr:cNvSpPr>
          <a:spLocks noChangeShapeType="1"/>
        </xdr:cNvSpPr>
      </xdr:nvSpPr>
      <xdr:spPr bwMode="auto">
        <a:xfrm>
          <a:off x="390525" y="6877050"/>
          <a:ext cx="9525" cy="1609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31</xdr:row>
      <xdr:rowOff>0</xdr:rowOff>
    </xdr:from>
    <xdr:to>
      <xdr:col>1</xdr:col>
      <xdr:colOff>9525</xdr:colOff>
      <xdr:row>57</xdr:row>
      <xdr:rowOff>0</xdr:rowOff>
    </xdr:to>
    <xdr:sp macro="" textlink="">
      <xdr:nvSpPr>
        <xdr:cNvPr id="432623" name="Line 12">
          <a:extLst>
            <a:ext uri="{FF2B5EF4-FFF2-40B4-BE49-F238E27FC236}">
              <a16:creationId xmlns:a16="http://schemas.microsoft.com/office/drawing/2014/main" id="{00510C3A-9661-7BE0-402F-058DA6825977}"/>
            </a:ext>
          </a:extLst>
        </xdr:cNvPr>
        <xdr:cNvSpPr>
          <a:spLocks noChangeShapeType="1"/>
        </xdr:cNvSpPr>
      </xdr:nvSpPr>
      <xdr:spPr bwMode="auto">
        <a:xfrm>
          <a:off x="390525" y="5048250"/>
          <a:ext cx="9525" cy="5038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31</xdr:row>
      <xdr:rowOff>0</xdr:rowOff>
    </xdr:from>
    <xdr:to>
      <xdr:col>1</xdr:col>
      <xdr:colOff>9525</xdr:colOff>
      <xdr:row>57</xdr:row>
      <xdr:rowOff>0</xdr:rowOff>
    </xdr:to>
    <xdr:sp macro="" textlink="">
      <xdr:nvSpPr>
        <xdr:cNvPr id="432624" name="Line 12">
          <a:extLst>
            <a:ext uri="{FF2B5EF4-FFF2-40B4-BE49-F238E27FC236}">
              <a16:creationId xmlns:a16="http://schemas.microsoft.com/office/drawing/2014/main" id="{DFD6062F-2B37-252C-1547-B2B871DCE820}"/>
            </a:ext>
          </a:extLst>
        </xdr:cNvPr>
        <xdr:cNvSpPr>
          <a:spLocks noChangeShapeType="1"/>
        </xdr:cNvSpPr>
      </xdr:nvSpPr>
      <xdr:spPr bwMode="auto">
        <a:xfrm>
          <a:off x="390525" y="5048250"/>
          <a:ext cx="9525" cy="5038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31</xdr:row>
      <xdr:rowOff>0</xdr:rowOff>
    </xdr:from>
    <xdr:to>
      <xdr:col>1</xdr:col>
      <xdr:colOff>9525</xdr:colOff>
      <xdr:row>57</xdr:row>
      <xdr:rowOff>0</xdr:rowOff>
    </xdr:to>
    <xdr:sp macro="" textlink="">
      <xdr:nvSpPr>
        <xdr:cNvPr id="432625" name="Line 12">
          <a:extLst>
            <a:ext uri="{FF2B5EF4-FFF2-40B4-BE49-F238E27FC236}">
              <a16:creationId xmlns:a16="http://schemas.microsoft.com/office/drawing/2014/main" id="{E2A53E63-3BED-CCC8-A875-86C74CE71BA8}"/>
            </a:ext>
          </a:extLst>
        </xdr:cNvPr>
        <xdr:cNvSpPr>
          <a:spLocks noChangeShapeType="1"/>
        </xdr:cNvSpPr>
      </xdr:nvSpPr>
      <xdr:spPr bwMode="auto">
        <a:xfrm>
          <a:off x="390525" y="5048250"/>
          <a:ext cx="9525" cy="5038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31</xdr:row>
      <xdr:rowOff>0</xdr:rowOff>
    </xdr:from>
    <xdr:to>
      <xdr:col>1</xdr:col>
      <xdr:colOff>9525</xdr:colOff>
      <xdr:row>57</xdr:row>
      <xdr:rowOff>0</xdr:rowOff>
    </xdr:to>
    <xdr:sp macro="" textlink="">
      <xdr:nvSpPr>
        <xdr:cNvPr id="432626" name="Line 12">
          <a:extLst>
            <a:ext uri="{FF2B5EF4-FFF2-40B4-BE49-F238E27FC236}">
              <a16:creationId xmlns:a16="http://schemas.microsoft.com/office/drawing/2014/main" id="{A48DAE0E-AE53-708A-0DCE-CE9E32CA6FDA}"/>
            </a:ext>
          </a:extLst>
        </xdr:cNvPr>
        <xdr:cNvSpPr>
          <a:spLocks noChangeShapeType="1"/>
        </xdr:cNvSpPr>
      </xdr:nvSpPr>
      <xdr:spPr bwMode="auto">
        <a:xfrm>
          <a:off x="390525" y="5048250"/>
          <a:ext cx="9525" cy="5038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31</xdr:row>
      <xdr:rowOff>0</xdr:rowOff>
    </xdr:from>
    <xdr:to>
      <xdr:col>1</xdr:col>
      <xdr:colOff>9525</xdr:colOff>
      <xdr:row>57</xdr:row>
      <xdr:rowOff>0</xdr:rowOff>
    </xdr:to>
    <xdr:sp macro="" textlink="">
      <xdr:nvSpPr>
        <xdr:cNvPr id="432627" name="Line 12">
          <a:extLst>
            <a:ext uri="{FF2B5EF4-FFF2-40B4-BE49-F238E27FC236}">
              <a16:creationId xmlns:a16="http://schemas.microsoft.com/office/drawing/2014/main" id="{AF335130-96BC-8ECB-988F-7FA6AA26E781}"/>
            </a:ext>
          </a:extLst>
        </xdr:cNvPr>
        <xdr:cNvSpPr>
          <a:spLocks noChangeShapeType="1"/>
        </xdr:cNvSpPr>
      </xdr:nvSpPr>
      <xdr:spPr bwMode="auto">
        <a:xfrm>
          <a:off x="390525" y="5048250"/>
          <a:ext cx="9525" cy="5038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31</xdr:row>
      <xdr:rowOff>0</xdr:rowOff>
    </xdr:from>
    <xdr:to>
      <xdr:col>1</xdr:col>
      <xdr:colOff>9525</xdr:colOff>
      <xdr:row>57</xdr:row>
      <xdr:rowOff>0</xdr:rowOff>
    </xdr:to>
    <xdr:sp macro="" textlink="">
      <xdr:nvSpPr>
        <xdr:cNvPr id="432628" name="Line 12">
          <a:extLst>
            <a:ext uri="{FF2B5EF4-FFF2-40B4-BE49-F238E27FC236}">
              <a16:creationId xmlns:a16="http://schemas.microsoft.com/office/drawing/2014/main" id="{3BC82852-2876-27C8-1418-2F9CEF49B471}"/>
            </a:ext>
          </a:extLst>
        </xdr:cNvPr>
        <xdr:cNvSpPr>
          <a:spLocks noChangeShapeType="1"/>
        </xdr:cNvSpPr>
      </xdr:nvSpPr>
      <xdr:spPr bwMode="auto">
        <a:xfrm>
          <a:off x="390525" y="5048250"/>
          <a:ext cx="9525" cy="5038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31</xdr:row>
      <xdr:rowOff>0</xdr:rowOff>
    </xdr:from>
    <xdr:to>
      <xdr:col>1</xdr:col>
      <xdr:colOff>9525</xdr:colOff>
      <xdr:row>57</xdr:row>
      <xdr:rowOff>0</xdr:rowOff>
    </xdr:to>
    <xdr:sp macro="" textlink="">
      <xdr:nvSpPr>
        <xdr:cNvPr id="432629" name="Line 12">
          <a:extLst>
            <a:ext uri="{FF2B5EF4-FFF2-40B4-BE49-F238E27FC236}">
              <a16:creationId xmlns:a16="http://schemas.microsoft.com/office/drawing/2014/main" id="{453DE8AD-F9C0-44E5-32F3-7A8E38A34462}"/>
            </a:ext>
          </a:extLst>
        </xdr:cNvPr>
        <xdr:cNvSpPr>
          <a:spLocks noChangeShapeType="1"/>
        </xdr:cNvSpPr>
      </xdr:nvSpPr>
      <xdr:spPr bwMode="auto">
        <a:xfrm>
          <a:off x="390525" y="5048250"/>
          <a:ext cx="9525" cy="5038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31</xdr:row>
      <xdr:rowOff>0</xdr:rowOff>
    </xdr:from>
    <xdr:to>
      <xdr:col>1</xdr:col>
      <xdr:colOff>9525</xdr:colOff>
      <xdr:row>57</xdr:row>
      <xdr:rowOff>0</xdr:rowOff>
    </xdr:to>
    <xdr:sp macro="" textlink="">
      <xdr:nvSpPr>
        <xdr:cNvPr id="432630" name="Line 12">
          <a:extLst>
            <a:ext uri="{FF2B5EF4-FFF2-40B4-BE49-F238E27FC236}">
              <a16:creationId xmlns:a16="http://schemas.microsoft.com/office/drawing/2014/main" id="{00D4B353-81F8-77A2-3DEF-B74E292BD863}"/>
            </a:ext>
          </a:extLst>
        </xdr:cNvPr>
        <xdr:cNvSpPr>
          <a:spLocks noChangeShapeType="1"/>
        </xdr:cNvSpPr>
      </xdr:nvSpPr>
      <xdr:spPr bwMode="auto">
        <a:xfrm>
          <a:off x="390525" y="5048250"/>
          <a:ext cx="9525" cy="5038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31</xdr:row>
      <xdr:rowOff>0</xdr:rowOff>
    </xdr:from>
    <xdr:to>
      <xdr:col>1</xdr:col>
      <xdr:colOff>9525</xdr:colOff>
      <xdr:row>57</xdr:row>
      <xdr:rowOff>0</xdr:rowOff>
    </xdr:to>
    <xdr:sp macro="" textlink="">
      <xdr:nvSpPr>
        <xdr:cNvPr id="432631" name="Line 12">
          <a:extLst>
            <a:ext uri="{FF2B5EF4-FFF2-40B4-BE49-F238E27FC236}">
              <a16:creationId xmlns:a16="http://schemas.microsoft.com/office/drawing/2014/main" id="{0B113AF3-DE49-B223-B922-F347DB74EAC0}"/>
            </a:ext>
          </a:extLst>
        </xdr:cNvPr>
        <xdr:cNvSpPr>
          <a:spLocks noChangeShapeType="1"/>
        </xdr:cNvSpPr>
      </xdr:nvSpPr>
      <xdr:spPr bwMode="auto">
        <a:xfrm>
          <a:off x="390525" y="5048250"/>
          <a:ext cx="9525" cy="5038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31</xdr:row>
      <xdr:rowOff>0</xdr:rowOff>
    </xdr:from>
    <xdr:to>
      <xdr:col>1</xdr:col>
      <xdr:colOff>9525</xdr:colOff>
      <xdr:row>57</xdr:row>
      <xdr:rowOff>0</xdr:rowOff>
    </xdr:to>
    <xdr:sp macro="" textlink="">
      <xdr:nvSpPr>
        <xdr:cNvPr id="432632" name="Line 12">
          <a:extLst>
            <a:ext uri="{FF2B5EF4-FFF2-40B4-BE49-F238E27FC236}">
              <a16:creationId xmlns:a16="http://schemas.microsoft.com/office/drawing/2014/main" id="{76AAA048-F686-534D-41DC-F68AA89FB682}"/>
            </a:ext>
          </a:extLst>
        </xdr:cNvPr>
        <xdr:cNvSpPr>
          <a:spLocks noChangeShapeType="1"/>
        </xdr:cNvSpPr>
      </xdr:nvSpPr>
      <xdr:spPr bwMode="auto">
        <a:xfrm>
          <a:off x="390525" y="5048250"/>
          <a:ext cx="9525" cy="5038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31</xdr:row>
      <xdr:rowOff>0</xdr:rowOff>
    </xdr:from>
    <xdr:to>
      <xdr:col>1</xdr:col>
      <xdr:colOff>9525</xdr:colOff>
      <xdr:row>57</xdr:row>
      <xdr:rowOff>0</xdr:rowOff>
    </xdr:to>
    <xdr:sp macro="" textlink="">
      <xdr:nvSpPr>
        <xdr:cNvPr id="432633" name="Line 12">
          <a:extLst>
            <a:ext uri="{FF2B5EF4-FFF2-40B4-BE49-F238E27FC236}">
              <a16:creationId xmlns:a16="http://schemas.microsoft.com/office/drawing/2014/main" id="{0ACA059B-E682-D41D-97EC-DA745BF81C34}"/>
            </a:ext>
          </a:extLst>
        </xdr:cNvPr>
        <xdr:cNvSpPr>
          <a:spLocks noChangeShapeType="1"/>
        </xdr:cNvSpPr>
      </xdr:nvSpPr>
      <xdr:spPr bwMode="auto">
        <a:xfrm>
          <a:off x="390525" y="5048250"/>
          <a:ext cx="9525" cy="5038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31</xdr:row>
      <xdr:rowOff>0</xdr:rowOff>
    </xdr:from>
    <xdr:to>
      <xdr:col>1</xdr:col>
      <xdr:colOff>9525</xdr:colOff>
      <xdr:row>57</xdr:row>
      <xdr:rowOff>0</xdr:rowOff>
    </xdr:to>
    <xdr:sp macro="" textlink="">
      <xdr:nvSpPr>
        <xdr:cNvPr id="432634" name="Line 12">
          <a:extLst>
            <a:ext uri="{FF2B5EF4-FFF2-40B4-BE49-F238E27FC236}">
              <a16:creationId xmlns:a16="http://schemas.microsoft.com/office/drawing/2014/main" id="{8A9639C9-B907-8516-1206-9CBB39BD8308}"/>
            </a:ext>
          </a:extLst>
        </xdr:cNvPr>
        <xdr:cNvSpPr>
          <a:spLocks noChangeShapeType="1"/>
        </xdr:cNvSpPr>
      </xdr:nvSpPr>
      <xdr:spPr bwMode="auto">
        <a:xfrm>
          <a:off x="390525" y="5048250"/>
          <a:ext cx="9525" cy="5038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31</xdr:row>
      <xdr:rowOff>0</xdr:rowOff>
    </xdr:from>
    <xdr:to>
      <xdr:col>1</xdr:col>
      <xdr:colOff>9525</xdr:colOff>
      <xdr:row>57</xdr:row>
      <xdr:rowOff>0</xdr:rowOff>
    </xdr:to>
    <xdr:sp macro="" textlink="">
      <xdr:nvSpPr>
        <xdr:cNvPr id="432635" name="Line 12">
          <a:extLst>
            <a:ext uri="{FF2B5EF4-FFF2-40B4-BE49-F238E27FC236}">
              <a16:creationId xmlns:a16="http://schemas.microsoft.com/office/drawing/2014/main" id="{0C02D99B-F96F-8492-37AC-6780690D6291}"/>
            </a:ext>
          </a:extLst>
        </xdr:cNvPr>
        <xdr:cNvSpPr>
          <a:spLocks noChangeShapeType="1"/>
        </xdr:cNvSpPr>
      </xdr:nvSpPr>
      <xdr:spPr bwMode="auto">
        <a:xfrm>
          <a:off x="390525" y="5048250"/>
          <a:ext cx="9525" cy="5038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31</xdr:row>
      <xdr:rowOff>0</xdr:rowOff>
    </xdr:from>
    <xdr:to>
      <xdr:col>1</xdr:col>
      <xdr:colOff>9525</xdr:colOff>
      <xdr:row>57</xdr:row>
      <xdr:rowOff>0</xdr:rowOff>
    </xdr:to>
    <xdr:sp macro="" textlink="">
      <xdr:nvSpPr>
        <xdr:cNvPr id="432636" name="Line 12">
          <a:extLst>
            <a:ext uri="{FF2B5EF4-FFF2-40B4-BE49-F238E27FC236}">
              <a16:creationId xmlns:a16="http://schemas.microsoft.com/office/drawing/2014/main" id="{85A25401-51AD-F7A1-53B4-0BF22F3D3C9A}"/>
            </a:ext>
          </a:extLst>
        </xdr:cNvPr>
        <xdr:cNvSpPr>
          <a:spLocks noChangeShapeType="1"/>
        </xdr:cNvSpPr>
      </xdr:nvSpPr>
      <xdr:spPr bwMode="auto">
        <a:xfrm>
          <a:off x="390525" y="5048250"/>
          <a:ext cx="9525" cy="5038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36</xdr:row>
      <xdr:rowOff>0</xdr:rowOff>
    </xdr:from>
    <xdr:to>
      <xdr:col>1</xdr:col>
      <xdr:colOff>9525</xdr:colOff>
      <xdr:row>44</xdr:row>
      <xdr:rowOff>0</xdr:rowOff>
    </xdr:to>
    <xdr:sp macro="" textlink="">
      <xdr:nvSpPr>
        <xdr:cNvPr id="415417" name="Line 12">
          <a:extLst>
            <a:ext uri="{FF2B5EF4-FFF2-40B4-BE49-F238E27FC236}">
              <a16:creationId xmlns:a16="http://schemas.microsoft.com/office/drawing/2014/main" id="{A82F6C0E-6BE5-B2D7-B7C1-4A2EB37677CC}"/>
            </a:ext>
          </a:extLst>
        </xdr:cNvPr>
        <xdr:cNvSpPr>
          <a:spLocks noChangeShapeType="1"/>
        </xdr:cNvSpPr>
      </xdr:nvSpPr>
      <xdr:spPr bwMode="auto">
        <a:xfrm>
          <a:off x="390525" y="5553075"/>
          <a:ext cx="9525" cy="18002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36</xdr:row>
      <xdr:rowOff>0</xdr:rowOff>
    </xdr:from>
    <xdr:to>
      <xdr:col>1</xdr:col>
      <xdr:colOff>9525</xdr:colOff>
      <xdr:row>44</xdr:row>
      <xdr:rowOff>0</xdr:rowOff>
    </xdr:to>
    <xdr:sp macro="" textlink="">
      <xdr:nvSpPr>
        <xdr:cNvPr id="415418" name="Line 12">
          <a:extLst>
            <a:ext uri="{FF2B5EF4-FFF2-40B4-BE49-F238E27FC236}">
              <a16:creationId xmlns:a16="http://schemas.microsoft.com/office/drawing/2014/main" id="{C1E03128-D539-BA0C-BA44-2C4F5C05F33C}"/>
            </a:ext>
          </a:extLst>
        </xdr:cNvPr>
        <xdr:cNvSpPr>
          <a:spLocks noChangeShapeType="1"/>
        </xdr:cNvSpPr>
      </xdr:nvSpPr>
      <xdr:spPr bwMode="auto">
        <a:xfrm>
          <a:off x="390525" y="5553075"/>
          <a:ext cx="9525" cy="18002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36</xdr:row>
      <xdr:rowOff>0</xdr:rowOff>
    </xdr:from>
    <xdr:to>
      <xdr:col>1</xdr:col>
      <xdr:colOff>9525</xdr:colOff>
      <xdr:row>44</xdr:row>
      <xdr:rowOff>0</xdr:rowOff>
    </xdr:to>
    <xdr:sp macro="" textlink="">
      <xdr:nvSpPr>
        <xdr:cNvPr id="415419" name="Line 12">
          <a:extLst>
            <a:ext uri="{FF2B5EF4-FFF2-40B4-BE49-F238E27FC236}">
              <a16:creationId xmlns:a16="http://schemas.microsoft.com/office/drawing/2014/main" id="{1066DD64-7541-6CBE-9912-A6D8F2CDA3B6}"/>
            </a:ext>
          </a:extLst>
        </xdr:cNvPr>
        <xdr:cNvSpPr>
          <a:spLocks noChangeShapeType="1"/>
        </xdr:cNvSpPr>
      </xdr:nvSpPr>
      <xdr:spPr bwMode="auto">
        <a:xfrm>
          <a:off x="390525" y="5553075"/>
          <a:ext cx="9525" cy="18002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36</xdr:row>
      <xdr:rowOff>0</xdr:rowOff>
    </xdr:from>
    <xdr:to>
      <xdr:col>1</xdr:col>
      <xdr:colOff>9525</xdr:colOff>
      <xdr:row>44</xdr:row>
      <xdr:rowOff>0</xdr:rowOff>
    </xdr:to>
    <xdr:sp macro="" textlink="">
      <xdr:nvSpPr>
        <xdr:cNvPr id="415420" name="Line 12">
          <a:extLst>
            <a:ext uri="{FF2B5EF4-FFF2-40B4-BE49-F238E27FC236}">
              <a16:creationId xmlns:a16="http://schemas.microsoft.com/office/drawing/2014/main" id="{70CC51E9-F1D6-B928-918E-46E08B04312A}"/>
            </a:ext>
          </a:extLst>
        </xdr:cNvPr>
        <xdr:cNvSpPr>
          <a:spLocks noChangeShapeType="1"/>
        </xdr:cNvSpPr>
      </xdr:nvSpPr>
      <xdr:spPr bwMode="auto">
        <a:xfrm>
          <a:off x="390525" y="5553075"/>
          <a:ext cx="9525" cy="18002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36</xdr:row>
      <xdr:rowOff>0</xdr:rowOff>
    </xdr:from>
    <xdr:to>
      <xdr:col>1</xdr:col>
      <xdr:colOff>9525</xdr:colOff>
      <xdr:row>44</xdr:row>
      <xdr:rowOff>0</xdr:rowOff>
    </xdr:to>
    <xdr:sp macro="" textlink="">
      <xdr:nvSpPr>
        <xdr:cNvPr id="415421" name="Line 12">
          <a:extLst>
            <a:ext uri="{FF2B5EF4-FFF2-40B4-BE49-F238E27FC236}">
              <a16:creationId xmlns:a16="http://schemas.microsoft.com/office/drawing/2014/main" id="{8A00846B-C58B-BA35-D4BE-874AEBDCFA0A}"/>
            </a:ext>
          </a:extLst>
        </xdr:cNvPr>
        <xdr:cNvSpPr>
          <a:spLocks noChangeShapeType="1"/>
        </xdr:cNvSpPr>
      </xdr:nvSpPr>
      <xdr:spPr bwMode="auto">
        <a:xfrm>
          <a:off x="390525" y="5553075"/>
          <a:ext cx="9525" cy="18002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36</xdr:row>
      <xdr:rowOff>0</xdr:rowOff>
    </xdr:from>
    <xdr:to>
      <xdr:col>1</xdr:col>
      <xdr:colOff>9525</xdr:colOff>
      <xdr:row>44</xdr:row>
      <xdr:rowOff>0</xdr:rowOff>
    </xdr:to>
    <xdr:sp macro="" textlink="">
      <xdr:nvSpPr>
        <xdr:cNvPr id="415422" name="Line 12">
          <a:extLst>
            <a:ext uri="{FF2B5EF4-FFF2-40B4-BE49-F238E27FC236}">
              <a16:creationId xmlns:a16="http://schemas.microsoft.com/office/drawing/2014/main" id="{197D6E36-77BC-B5B5-77AB-DECD25A2E663}"/>
            </a:ext>
          </a:extLst>
        </xdr:cNvPr>
        <xdr:cNvSpPr>
          <a:spLocks noChangeShapeType="1"/>
        </xdr:cNvSpPr>
      </xdr:nvSpPr>
      <xdr:spPr bwMode="auto">
        <a:xfrm>
          <a:off x="390525" y="5553075"/>
          <a:ext cx="9525" cy="18002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36</xdr:row>
      <xdr:rowOff>0</xdr:rowOff>
    </xdr:from>
    <xdr:to>
      <xdr:col>1</xdr:col>
      <xdr:colOff>9525</xdr:colOff>
      <xdr:row>44</xdr:row>
      <xdr:rowOff>0</xdr:rowOff>
    </xdr:to>
    <xdr:sp macro="" textlink="">
      <xdr:nvSpPr>
        <xdr:cNvPr id="415423" name="Line 12">
          <a:extLst>
            <a:ext uri="{FF2B5EF4-FFF2-40B4-BE49-F238E27FC236}">
              <a16:creationId xmlns:a16="http://schemas.microsoft.com/office/drawing/2014/main" id="{96CE4D47-ABFF-D721-34F1-60B0029F037D}"/>
            </a:ext>
          </a:extLst>
        </xdr:cNvPr>
        <xdr:cNvSpPr>
          <a:spLocks noChangeShapeType="1"/>
        </xdr:cNvSpPr>
      </xdr:nvSpPr>
      <xdr:spPr bwMode="auto">
        <a:xfrm>
          <a:off x="390525" y="5553075"/>
          <a:ext cx="9525" cy="18002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36</xdr:row>
      <xdr:rowOff>0</xdr:rowOff>
    </xdr:from>
    <xdr:to>
      <xdr:col>1</xdr:col>
      <xdr:colOff>9525</xdr:colOff>
      <xdr:row>44</xdr:row>
      <xdr:rowOff>0</xdr:rowOff>
    </xdr:to>
    <xdr:sp macro="" textlink="">
      <xdr:nvSpPr>
        <xdr:cNvPr id="415424" name="Line 12">
          <a:extLst>
            <a:ext uri="{FF2B5EF4-FFF2-40B4-BE49-F238E27FC236}">
              <a16:creationId xmlns:a16="http://schemas.microsoft.com/office/drawing/2014/main" id="{671BFB8E-2EBB-7FBD-E466-CC8B16FCBE1E}"/>
            </a:ext>
          </a:extLst>
        </xdr:cNvPr>
        <xdr:cNvSpPr>
          <a:spLocks noChangeShapeType="1"/>
        </xdr:cNvSpPr>
      </xdr:nvSpPr>
      <xdr:spPr bwMode="auto">
        <a:xfrm>
          <a:off x="390525" y="5553075"/>
          <a:ext cx="9525" cy="18002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36</xdr:row>
      <xdr:rowOff>0</xdr:rowOff>
    </xdr:from>
    <xdr:to>
      <xdr:col>1</xdr:col>
      <xdr:colOff>9525</xdr:colOff>
      <xdr:row>44</xdr:row>
      <xdr:rowOff>0</xdr:rowOff>
    </xdr:to>
    <xdr:sp macro="" textlink="">
      <xdr:nvSpPr>
        <xdr:cNvPr id="415425" name="Line 12">
          <a:extLst>
            <a:ext uri="{FF2B5EF4-FFF2-40B4-BE49-F238E27FC236}">
              <a16:creationId xmlns:a16="http://schemas.microsoft.com/office/drawing/2014/main" id="{DDD85F07-7DA2-5212-2AB9-063A7C49E4B0}"/>
            </a:ext>
          </a:extLst>
        </xdr:cNvPr>
        <xdr:cNvSpPr>
          <a:spLocks noChangeShapeType="1"/>
        </xdr:cNvSpPr>
      </xdr:nvSpPr>
      <xdr:spPr bwMode="auto">
        <a:xfrm>
          <a:off x="390525" y="5553075"/>
          <a:ext cx="9525" cy="18002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36</xdr:row>
      <xdr:rowOff>0</xdr:rowOff>
    </xdr:from>
    <xdr:to>
      <xdr:col>1</xdr:col>
      <xdr:colOff>9525</xdr:colOff>
      <xdr:row>44</xdr:row>
      <xdr:rowOff>0</xdr:rowOff>
    </xdr:to>
    <xdr:sp macro="" textlink="">
      <xdr:nvSpPr>
        <xdr:cNvPr id="415426" name="Line 12">
          <a:extLst>
            <a:ext uri="{FF2B5EF4-FFF2-40B4-BE49-F238E27FC236}">
              <a16:creationId xmlns:a16="http://schemas.microsoft.com/office/drawing/2014/main" id="{C5626CDF-2B67-0655-DF4F-43B9D7DBBF12}"/>
            </a:ext>
          </a:extLst>
        </xdr:cNvPr>
        <xdr:cNvSpPr>
          <a:spLocks noChangeShapeType="1"/>
        </xdr:cNvSpPr>
      </xdr:nvSpPr>
      <xdr:spPr bwMode="auto">
        <a:xfrm>
          <a:off x="390525" y="5553075"/>
          <a:ext cx="9525" cy="18002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36</xdr:row>
      <xdr:rowOff>0</xdr:rowOff>
    </xdr:from>
    <xdr:to>
      <xdr:col>1</xdr:col>
      <xdr:colOff>9525</xdr:colOff>
      <xdr:row>44</xdr:row>
      <xdr:rowOff>0</xdr:rowOff>
    </xdr:to>
    <xdr:sp macro="" textlink="">
      <xdr:nvSpPr>
        <xdr:cNvPr id="415427" name="Line 12">
          <a:extLst>
            <a:ext uri="{FF2B5EF4-FFF2-40B4-BE49-F238E27FC236}">
              <a16:creationId xmlns:a16="http://schemas.microsoft.com/office/drawing/2014/main" id="{71FB0E90-D44E-D20E-DC9F-2FFF7E70A0EF}"/>
            </a:ext>
          </a:extLst>
        </xdr:cNvPr>
        <xdr:cNvSpPr>
          <a:spLocks noChangeShapeType="1"/>
        </xdr:cNvSpPr>
      </xdr:nvSpPr>
      <xdr:spPr bwMode="auto">
        <a:xfrm>
          <a:off x="390525" y="5553075"/>
          <a:ext cx="9525" cy="18002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36</xdr:row>
      <xdr:rowOff>0</xdr:rowOff>
    </xdr:from>
    <xdr:to>
      <xdr:col>1</xdr:col>
      <xdr:colOff>9525</xdr:colOff>
      <xdr:row>44</xdr:row>
      <xdr:rowOff>0</xdr:rowOff>
    </xdr:to>
    <xdr:sp macro="" textlink="">
      <xdr:nvSpPr>
        <xdr:cNvPr id="415428" name="Line 12">
          <a:extLst>
            <a:ext uri="{FF2B5EF4-FFF2-40B4-BE49-F238E27FC236}">
              <a16:creationId xmlns:a16="http://schemas.microsoft.com/office/drawing/2014/main" id="{9A93DE2C-01DC-B595-2489-65C1311E5EE9}"/>
            </a:ext>
          </a:extLst>
        </xdr:cNvPr>
        <xdr:cNvSpPr>
          <a:spLocks noChangeShapeType="1"/>
        </xdr:cNvSpPr>
      </xdr:nvSpPr>
      <xdr:spPr bwMode="auto">
        <a:xfrm>
          <a:off x="390525" y="5553075"/>
          <a:ext cx="9525" cy="18002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36</xdr:row>
      <xdr:rowOff>0</xdr:rowOff>
    </xdr:from>
    <xdr:to>
      <xdr:col>1</xdr:col>
      <xdr:colOff>9525</xdr:colOff>
      <xdr:row>44</xdr:row>
      <xdr:rowOff>0</xdr:rowOff>
    </xdr:to>
    <xdr:sp macro="" textlink="">
      <xdr:nvSpPr>
        <xdr:cNvPr id="415429" name="Line 12">
          <a:extLst>
            <a:ext uri="{FF2B5EF4-FFF2-40B4-BE49-F238E27FC236}">
              <a16:creationId xmlns:a16="http://schemas.microsoft.com/office/drawing/2014/main" id="{84D034D7-DAC1-C16D-3AC9-08DA7BDB145E}"/>
            </a:ext>
          </a:extLst>
        </xdr:cNvPr>
        <xdr:cNvSpPr>
          <a:spLocks noChangeShapeType="1"/>
        </xdr:cNvSpPr>
      </xdr:nvSpPr>
      <xdr:spPr bwMode="auto">
        <a:xfrm>
          <a:off x="390525" y="5553075"/>
          <a:ext cx="9525" cy="18002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36</xdr:row>
      <xdr:rowOff>0</xdr:rowOff>
    </xdr:from>
    <xdr:to>
      <xdr:col>1</xdr:col>
      <xdr:colOff>9525</xdr:colOff>
      <xdr:row>44</xdr:row>
      <xdr:rowOff>0</xdr:rowOff>
    </xdr:to>
    <xdr:sp macro="" textlink="">
      <xdr:nvSpPr>
        <xdr:cNvPr id="415430" name="Line 12">
          <a:extLst>
            <a:ext uri="{FF2B5EF4-FFF2-40B4-BE49-F238E27FC236}">
              <a16:creationId xmlns:a16="http://schemas.microsoft.com/office/drawing/2014/main" id="{229690CE-F80F-DC15-E6B5-7AD60101777E}"/>
            </a:ext>
          </a:extLst>
        </xdr:cNvPr>
        <xdr:cNvSpPr>
          <a:spLocks noChangeShapeType="1"/>
        </xdr:cNvSpPr>
      </xdr:nvSpPr>
      <xdr:spPr bwMode="auto">
        <a:xfrm>
          <a:off x="390525" y="5553075"/>
          <a:ext cx="9525" cy="18002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36</xdr:row>
      <xdr:rowOff>0</xdr:rowOff>
    </xdr:from>
    <xdr:to>
      <xdr:col>1</xdr:col>
      <xdr:colOff>9525</xdr:colOff>
      <xdr:row>56</xdr:row>
      <xdr:rowOff>0</xdr:rowOff>
    </xdr:to>
    <xdr:sp macro="" textlink="">
      <xdr:nvSpPr>
        <xdr:cNvPr id="416399" name="Line 12">
          <a:extLst>
            <a:ext uri="{FF2B5EF4-FFF2-40B4-BE49-F238E27FC236}">
              <a16:creationId xmlns:a16="http://schemas.microsoft.com/office/drawing/2014/main" id="{FA573AAD-7FE7-9D1E-69F5-F06BAAD3419D}"/>
            </a:ext>
          </a:extLst>
        </xdr:cNvPr>
        <xdr:cNvSpPr>
          <a:spLocks noChangeShapeType="1"/>
        </xdr:cNvSpPr>
      </xdr:nvSpPr>
      <xdr:spPr bwMode="auto">
        <a:xfrm>
          <a:off x="361950" y="5543550"/>
          <a:ext cx="9525" cy="44672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36</xdr:row>
      <xdr:rowOff>0</xdr:rowOff>
    </xdr:from>
    <xdr:to>
      <xdr:col>1</xdr:col>
      <xdr:colOff>9525</xdr:colOff>
      <xdr:row>56</xdr:row>
      <xdr:rowOff>0</xdr:rowOff>
    </xdr:to>
    <xdr:sp macro="" textlink="">
      <xdr:nvSpPr>
        <xdr:cNvPr id="416400" name="Line 12">
          <a:extLst>
            <a:ext uri="{FF2B5EF4-FFF2-40B4-BE49-F238E27FC236}">
              <a16:creationId xmlns:a16="http://schemas.microsoft.com/office/drawing/2014/main" id="{FE7CE4F0-B11D-C829-6C49-0D0130A575D2}"/>
            </a:ext>
          </a:extLst>
        </xdr:cNvPr>
        <xdr:cNvSpPr>
          <a:spLocks noChangeShapeType="1"/>
        </xdr:cNvSpPr>
      </xdr:nvSpPr>
      <xdr:spPr bwMode="auto">
        <a:xfrm>
          <a:off x="361950" y="5543550"/>
          <a:ext cx="9525" cy="44672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36</xdr:row>
      <xdr:rowOff>0</xdr:rowOff>
    </xdr:from>
    <xdr:to>
      <xdr:col>1</xdr:col>
      <xdr:colOff>9525</xdr:colOff>
      <xdr:row>56</xdr:row>
      <xdr:rowOff>0</xdr:rowOff>
    </xdr:to>
    <xdr:sp macro="" textlink="">
      <xdr:nvSpPr>
        <xdr:cNvPr id="416401" name="Line 12">
          <a:extLst>
            <a:ext uri="{FF2B5EF4-FFF2-40B4-BE49-F238E27FC236}">
              <a16:creationId xmlns:a16="http://schemas.microsoft.com/office/drawing/2014/main" id="{5EE28868-2EB4-F31B-8C49-16D3D7A02485}"/>
            </a:ext>
          </a:extLst>
        </xdr:cNvPr>
        <xdr:cNvSpPr>
          <a:spLocks noChangeShapeType="1"/>
        </xdr:cNvSpPr>
      </xdr:nvSpPr>
      <xdr:spPr bwMode="auto">
        <a:xfrm>
          <a:off x="361950" y="5543550"/>
          <a:ext cx="9525" cy="44672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36</xdr:row>
      <xdr:rowOff>0</xdr:rowOff>
    </xdr:from>
    <xdr:to>
      <xdr:col>1</xdr:col>
      <xdr:colOff>9525</xdr:colOff>
      <xdr:row>56</xdr:row>
      <xdr:rowOff>0</xdr:rowOff>
    </xdr:to>
    <xdr:sp macro="" textlink="">
      <xdr:nvSpPr>
        <xdr:cNvPr id="416402" name="Line 12">
          <a:extLst>
            <a:ext uri="{FF2B5EF4-FFF2-40B4-BE49-F238E27FC236}">
              <a16:creationId xmlns:a16="http://schemas.microsoft.com/office/drawing/2014/main" id="{25E029D5-AEF2-4ADE-55B1-8A1D7C5FF5C3}"/>
            </a:ext>
          </a:extLst>
        </xdr:cNvPr>
        <xdr:cNvSpPr>
          <a:spLocks noChangeShapeType="1"/>
        </xdr:cNvSpPr>
      </xdr:nvSpPr>
      <xdr:spPr bwMode="auto">
        <a:xfrm>
          <a:off x="361950" y="5543550"/>
          <a:ext cx="9525" cy="44672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36</xdr:row>
      <xdr:rowOff>0</xdr:rowOff>
    </xdr:from>
    <xdr:to>
      <xdr:col>1</xdr:col>
      <xdr:colOff>9525</xdr:colOff>
      <xdr:row>56</xdr:row>
      <xdr:rowOff>0</xdr:rowOff>
    </xdr:to>
    <xdr:sp macro="" textlink="">
      <xdr:nvSpPr>
        <xdr:cNvPr id="416403" name="Line 12">
          <a:extLst>
            <a:ext uri="{FF2B5EF4-FFF2-40B4-BE49-F238E27FC236}">
              <a16:creationId xmlns:a16="http://schemas.microsoft.com/office/drawing/2014/main" id="{16A4DC57-B364-FB09-68E3-BAC2F679371A}"/>
            </a:ext>
          </a:extLst>
        </xdr:cNvPr>
        <xdr:cNvSpPr>
          <a:spLocks noChangeShapeType="1"/>
        </xdr:cNvSpPr>
      </xdr:nvSpPr>
      <xdr:spPr bwMode="auto">
        <a:xfrm>
          <a:off x="361950" y="5543550"/>
          <a:ext cx="9525" cy="44672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36</xdr:row>
      <xdr:rowOff>0</xdr:rowOff>
    </xdr:from>
    <xdr:to>
      <xdr:col>1</xdr:col>
      <xdr:colOff>9525</xdr:colOff>
      <xdr:row>56</xdr:row>
      <xdr:rowOff>0</xdr:rowOff>
    </xdr:to>
    <xdr:sp macro="" textlink="">
      <xdr:nvSpPr>
        <xdr:cNvPr id="416404" name="Line 12">
          <a:extLst>
            <a:ext uri="{FF2B5EF4-FFF2-40B4-BE49-F238E27FC236}">
              <a16:creationId xmlns:a16="http://schemas.microsoft.com/office/drawing/2014/main" id="{2033699A-4ED9-E9F3-F83C-BAAB588A29A5}"/>
            </a:ext>
          </a:extLst>
        </xdr:cNvPr>
        <xdr:cNvSpPr>
          <a:spLocks noChangeShapeType="1"/>
        </xdr:cNvSpPr>
      </xdr:nvSpPr>
      <xdr:spPr bwMode="auto">
        <a:xfrm>
          <a:off x="361950" y="5543550"/>
          <a:ext cx="9525" cy="44672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36</xdr:row>
      <xdr:rowOff>0</xdr:rowOff>
    </xdr:from>
    <xdr:to>
      <xdr:col>1</xdr:col>
      <xdr:colOff>9525</xdr:colOff>
      <xdr:row>56</xdr:row>
      <xdr:rowOff>0</xdr:rowOff>
    </xdr:to>
    <xdr:sp macro="" textlink="">
      <xdr:nvSpPr>
        <xdr:cNvPr id="416405" name="Line 12">
          <a:extLst>
            <a:ext uri="{FF2B5EF4-FFF2-40B4-BE49-F238E27FC236}">
              <a16:creationId xmlns:a16="http://schemas.microsoft.com/office/drawing/2014/main" id="{602FF0F6-78B1-FD5D-7AC8-E6828AF9938A}"/>
            </a:ext>
          </a:extLst>
        </xdr:cNvPr>
        <xdr:cNvSpPr>
          <a:spLocks noChangeShapeType="1"/>
        </xdr:cNvSpPr>
      </xdr:nvSpPr>
      <xdr:spPr bwMode="auto">
        <a:xfrm>
          <a:off x="361950" y="5543550"/>
          <a:ext cx="9525" cy="44672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36</xdr:row>
      <xdr:rowOff>0</xdr:rowOff>
    </xdr:from>
    <xdr:to>
      <xdr:col>1</xdr:col>
      <xdr:colOff>9525</xdr:colOff>
      <xdr:row>56</xdr:row>
      <xdr:rowOff>0</xdr:rowOff>
    </xdr:to>
    <xdr:sp macro="" textlink="">
      <xdr:nvSpPr>
        <xdr:cNvPr id="416406" name="Line 12">
          <a:extLst>
            <a:ext uri="{FF2B5EF4-FFF2-40B4-BE49-F238E27FC236}">
              <a16:creationId xmlns:a16="http://schemas.microsoft.com/office/drawing/2014/main" id="{707DF12C-4239-95A3-FF5D-2328FF097522}"/>
            </a:ext>
          </a:extLst>
        </xdr:cNvPr>
        <xdr:cNvSpPr>
          <a:spLocks noChangeShapeType="1"/>
        </xdr:cNvSpPr>
      </xdr:nvSpPr>
      <xdr:spPr bwMode="auto">
        <a:xfrm>
          <a:off x="361950" y="5543550"/>
          <a:ext cx="9525" cy="44672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36</xdr:row>
      <xdr:rowOff>0</xdr:rowOff>
    </xdr:from>
    <xdr:to>
      <xdr:col>1</xdr:col>
      <xdr:colOff>9525</xdr:colOff>
      <xdr:row>56</xdr:row>
      <xdr:rowOff>0</xdr:rowOff>
    </xdr:to>
    <xdr:sp macro="" textlink="">
      <xdr:nvSpPr>
        <xdr:cNvPr id="416407" name="Line 12">
          <a:extLst>
            <a:ext uri="{FF2B5EF4-FFF2-40B4-BE49-F238E27FC236}">
              <a16:creationId xmlns:a16="http://schemas.microsoft.com/office/drawing/2014/main" id="{AB704966-FA02-2AF9-C881-77C7BE686307}"/>
            </a:ext>
          </a:extLst>
        </xdr:cNvPr>
        <xdr:cNvSpPr>
          <a:spLocks noChangeShapeType="1"/>
        </xdr:cNvSpPr>
      </xdr:nvSpPr>
      <xdr:spPr bwMode="auto">
        <a:xfrm>
          <a:off x="361950" y="5543550"/>
          <a:ext cx="9525" cy="44672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36</xdr:row>
      <xdr:rowOff>0</xdr:rowOff>
    </xdr:from>
    <xdr:to>
      <xdr:col>1</xdr:col>
      <xdr:colOff>9525</xdr:colOff>
      <xdr:row>56</xdr:row>
      <xdr:rowOff>0</xdr:rowOff>
    </xdr:to>
    <xdr:sp macro="" textlink="">
      <xdr:nvSpPr>
        <xdr:cNvPr id="416408" name="Line 12">
          <a:extLst>
            <a:ext uri="{FF2B5EF4-FFF2-40B4-BE49-F238E27FC236}">
              <a16:creationId xmlns:a16="http://schemas.microsoft.com/office/drawing/2014/main" id="{97E51867-35A7-0294-C1D9-EAC7A70D12FD}"/>
            </a:ext>
          </a:extLst>
        </xdr:cNvPr>
        <xdr:cNvSpPr>
          <a:spLocks noChangeShapeType="1"/>
        </xdr:cNvSpPr>
      </xdr:nvSpPr>
      <xdr:spPr bwMode="auto">
        <a:xfrm>
          <a:off x="361950" y="5543550"/>
          <a:ext cx="9525" cy="44672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36</xdr:row>
      <xdr:rowOff>0</xdr:rowOff>
    </xdr:from>
    <xdr:to>
      <xdr:col>1</xdr:col>
      <xdr:colOff>9525</xdr:colOff>
      <xdr:row>56</xdr:row>
      <xdr:rowOff>0</xdr:rowOff>
    </xdr:to>
    <xdr:sp macro="" textlink="">
      <xdr:nvSpPr>
        <xdr:cNvPr id="416409" name="Line 12">
          <a:extLst>
            <a:ext uri="{FF2B5EF4-FFF2-40B4-BE49-F238E27FC236}">
              <a16:creationId xmlns:a16="http://schemas.microsoft.com/office/drawing/2014/main" id="{C3D040A2-32C5-C828-8E19-977524E79906}"/>
            </a:ext>
          </a:extLst>
        </xdr:cNvPr>
        <xdr:cNvSpPr>
          <a:spLocks noChangeShapeType="1"/>
        </xdr:cNvSpPr>
      </xdr:nvSpPr>
      <xdr:spPr bwMode="auto">
        <a:xfrm>
          <a:off x="361950" y="5543550"/>
          <a:ext cx="9525" cy="44672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36</xdr:row>
      <xdr:rowOff>0</xdr:rowOff>
    </xdr:from>
    <xdr:to>
      <xdr:col>1</xdr:col>
      <xdr:colOff>9525</xdr:colOff>
      <xdr:row>56</xdr:row>
      <xdr:rowOff>0</xdr:rowOff>
    </xdr:to>
    <xdr:sp macro="" textlink="">
      <xdr:nvSpPr>
        <xdr:cNvPr id="416410" name="Line 12">
          <a:extLst>
            <a:ext uri="{FF2B5EF4-FFF2-40B4-BE49-F238E27FC236}">
              <a16:creationId xmlns:a16="http://schemas.microsoft.com/office/drawing/2014/main" id="{4D961D51-5AD3-AE94-7FF3-4CD091F656D7}"/>
            </a:ext>
          </a:extLst>
        </xdr:cNvPr>
        <xdr:cNvSpPr>
          <a:spLocks noChangeShapeType="1"/>
        </xdr:cNvSpPr>
      </xdr:nvSpPr>
      <xdr:spPr bwMode="auto">
        <a:xfrm>
          <a:off x="361950" y="5543550"/>
          <a:ext cx="9525" cy="44672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36</xdr:row>
      <xdr:rowOff>0</xdr:rowOff>
    </xdr:from>
    <xdr:to>
      <xdr:col>1</xdr:col>
      <xdr:colOff>9525</xdr:colOff>
      <xdr:row>56</xdr:row>
      <xdr:rowOff>0</xdr:rowOff>
    </xdr:to>
    <xdr:sp macro="" textlink="">
      <xdr:nvSpPr>
        <xdr:cNvPr id="416411" name="Line 12">
          <a:extLst>
            <a:ext uri="{FF2B5EF4-FFF2-40B4-BE49-F238E27FC236}">
              <a16:creationId xmlns:a16="http://schemas.microsoft.com/office/drawing/2014/main" id="{466AE538-492B-70FE-686C-7E60C2650B0C}"/>
            </a:ext>
          </a:extLst>
        </xdr:cNvPr>
        <xdr:cNvSpPr>
          <a:spLocks noChangeShapeType="1"/>
        </xdr:cNvSpPr>
      </xdr:nvSpPr>
      <xdr:spPr bwMode="auto">
        <a:xfrm>
          <a:off x="361950" y="5543550"/>
          <a:ext cx="9525" cy="44672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36</xdr:row>
      <xdr:rowOff>0</xdr:rowOff>
    </xdr:from>
    <xdr:to>
      <xdr:col>1</xdr:col>
      <xdr:colOff>9525</xdr:colOff>
      <xdr:row>56</xdr:row>
      <xdr:rowOff>0</xdr:rowOff>
    </xdr:to>
    <xdr:sp macro="" textlink="">
      <xdr:nvSpPr>
        <xdr:cNvPr id="416412" name="Line 12">
          <a:extLst>
            <a:ext uri="{FF2B5EF4-FFF2-40B4-BE49-F238E27FC236}">
              <a16:creationId xmlns:a16="http://schemas.microsoft.com/office/drawing/2014/main" id="{DAA8D41A-09EF-E06A-8A00-46A8D9F4D55E}"/>
            </a:ext>
          </a:extLst>
        </xdr:cNvPr>
        <xdr:cNvSpPr>
          <a:spLocks noChangeShapeType="1"/>
        </xdr:cNvSpPr>
      </xdr:nvSpPr>
      <xdr:spPr bwMode="auto">
        <a:xfrm>
          <a:off x="361950" y="5543550"/>
          <a:ext cx="9525" cy="44672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40</xdr:row>
      <xdr:rowOff>0</xdr:rowOff>
    </xdr:from>
    <xdr:to>
      <xdr:col>1</xdr:col>
      <xdr:colOff>9525</xdr:colOff>
      <xdr:row>65</xdr:row>
      <xdr:rowOff>0</xdr:rowOff>
    </xdr:to>
    <xdr:sp macro="" textlink="">
      <xdr:nvSpPr>
        <xdr:cNvPr id="429345" name="Line 12">
          <a:extLst>
            <a:ext uri="{FF2B5EF4-FFF2-40B4-BE49-F238E27FC236}">
              <a16:creationId xmlns:a16="http://schemas.microsoft.com/office/drawing/2014/main" id="{127BECAA-B51C-4F78-17A2-C021002EA0C9}"/>
            </a:ext>
          </a:extLst>
        </xdr:cNvPr>
        <xdr:cNvSpPr>
          <a:spLocks noChangeShapeType="1"/>
        </xdr:cNvSpPr>
      </xdr:nvSpPr>
      <xdr:spPr bwMode="auto">
        <a:xfrm>
          <a:off x="314325" y="6381750"/>
          <a:ext cx="9525" cy="51625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40</xdr:row>
      <xdr:rowOff>0</xdr:rowOff>
    </xdr:from>
    <xdr:to>
      <xdr:col>1</xdr:col>
      <xdr:colOff>9525</xdr:colOff>
      <xdr:row>65</xdr:row>
      <xdr:rowOff>0</xdr:rowOff>
    </xdr:to>
    <xdr:sp macro="" textlink="">
      <xdr:nvSpPr>
        <xdr:cNvPr id="429346" name="Line 12">
          <a:extLst>
            <a:ext uri="{FF2B5EF4-FFF2-40B4-BE49-F238E27FC236}">
              <a16:creationId xmlns:a16="http://schemas.microsoft.com/office/drawing/2014/main" id="{64D5363F-8E62-F77F-429C-6EB9ED525B13}"/>
            </a:ext>
          </a:extLst>
        </xdr:cNvPr>
        <xdr:cNvSpPr>
          <a:spLocks noChangeShapeType="1"/>
        </xdr:cNvSpPr>
      </xdr:nvSpPr>
      <xdr:spPr bwMode="auto">
        <a:xfrm>
          <a:off x="314325" y="6381750"/>
          <a:ext cx="9525" cy="51625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40</xdr:row>
      <xdr:rowOff>0</xdr:rowOff>
    </xdr:from>
    <xdr:to>
      <xdr:col>1</xdr:col>
      <xdr:colOff>9525</xdr:colOff>
      <xdr:row>65</xdr:row>
      <xdr:rowOff>0</xdr:rowOff>
    </xdr:to>
    <xdr:sp macro="" textlink="">
      <xdr:nvSpPr>
        <xdr:cNvPr id="429347" name="Line 12">
          <a:extLst>
            <a:ext uri="{FF2B5EF4-FFF2-40B4-BE49-F238E27FC236}">
              <a16:creationId xmlns:a16="http://schemas.microsoft.com/office/drawing/2014/main" id="{F1AFBDF3-31A5-362D-170E-6A0FB562C104}"/>
            </a:ext>
          </a:extLst>
        </xdr:cNvPr>
        <xdr:cNvSpPr>
          <a:spLocks noChangeShapeType="1"/>
        </xdr:cNvSpPr>
      </xdr:nvSpPr>
      <xdr:spPr bwMode="auto">
        <a:xfrm>
          <a:off x="314325" y="6381750"/>
          <a:ext cx="9525" cy="51625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40</xdr:row>
      <xdr:rowOff>0</xdr:rowOff>
    </xdr:from>
    <xdr:to>
      <xdr:col>1</xdr:col>
      <xdr:colOff>9525</xdr:colOff>
      <xdr:row>65</xdr:row>
      <xdr:rowOff>0</xdr:rowOff>
    </xdr:to>
    <xdr:sp macro="" textlink="">
      <xdr:nvSpPr>
        <xdr:cNvPr id="429348" name="Line 12">
          <a:extLst>
            <a:ext uri="{FF2B5EF4-FFF2-40B4-BE49-F238E27FC236}">
              <a16:creationId xmlns:a16="http://schemas.microsoft.com/office/drawing/2014/main" id="{0D0AE264-A439-91CA-0E59-52A5FF0D982F}"/>
            </a:ext>
          </a:extLst>
        </xdr:cNvPr>
        <xdr:cNvSpPr>
          <a:spLocks noChangeShapeType="1"/>
        </xdr:cNvSpPr>
      </xdr:nvSpPr>
      <xdr:spPr bwMode="auto">
        <a:xfrm>
          <a:off x="314325" y="6381750"/>
          <a:ext cx="9525" cy="51625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40</xdr:row>
      <xdr:rowOff>0</xdr:rowOff>
    </xdr:from>
    <xdr:to>
      <xdr:col>1</xdr:col>
      <xdr:colOff>9525</xdr:colOff>
      <xdr:row>65</xdr:row>
      <xdr:rowOff>0</xdr:rowOff>
    </xdr:to>
    <xdr:sp macro="" textlink="">
      <xdr:nvSpPr>
        <xdr:cNvPr id="429349" name="Line 12">
          <a:extLst>
            <a:ext uri="{FF2B5EF4-FFF2-40B4-BE49-F238E27FC236}">
              <a16:creationId xmlns:a16="http://schemas.microsoft.com/office/drawing/2014/main" id="{E5173810-EDE2-AC1A-5043-6F9AEA3CFD3B}"/>
            </a:ext>
          </a:extLst>
        </xdr:cNvPr>
        <xdr:cNvSpPr>
          <a:spLocks noChangeShapeType="1"/>
        </xdr:cNvSpPr>
      </xdr:nvSpPr>
      <xdr:spPr bwMode="auto">
        <a:xfrm>
          <a:off x="314325" y="6381750"/>
          <a:ext cx="9525" cy="51625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40</xdr:row>
      <xdr:rowOff>0</xdr:rowOff>
    </xdr:from>
    <xdr:to>
      <xdr:col>1</xdr:col>
      <xdr:colOff>9525</xdr:colOff>
      <xdr:row>65</xdr:row>
      <xdr:rowOff>0</xdr:rowOff>
    </xdr:to>
    <xdr:sp macro="" textlink="">
      <xdr:nvSpPr>
        <xdr:cNvPr id="429350" name="Line 12">
          <a:extLst>
            <a:ext uri="{FF2B5EF4-FFF2-40B4-BE49-F238E27FC236}">
              <a16:creationId xmlns:a16="http://schemas.microsoft.com/office/drawing/2014/main" id="{AB14D9F8-7809-2277-ABA4-C8B0B274870E}"/>
            </a:ext>
          </a:extLst>
        </xdr:cNvPr>
        <xdr:cNvSpPr>
          <a:spLocks noChangeShapeType="1"/>
        </xdr:cNvSpPr>
      </xdr:nvSpPr>
      <xdr:spPr bwMode="auto">
        <a:xfrm>
          <a:off x="314325" y="6381750"/>
          <a:ext cx="9525" cy="51625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40</xdr:row>
      <xdr:rowOff>0</xdr:rowOff>
    </xdr:from>
    <xdr:to>
      <xdr:col>1</xdr:col>
      <xdr:colOff>9525</xdr:colOff>
      <xdr:row>65</xdr:row>
      <xdr:rowOff>0</xdr:rowOff>
    </xdr:to>
    <xdr:sp macro="" textlink="">
      <xdr:nvSpPr>
        <xdr:cNvPr id="429351" name="Line 12">
          <a:extLst>
            <a:ext uri="{FF2B5EF4-FFF2-40B4-BE49-F238E27FC236}">
              <a16:creationId xmlns:a16="http://schemas.microsoft.com/office/drawing/2014/main" id="{F093ECB0-9AD9-F186-7B55-E2381793C0E7}"/>
            </a:ext>
          </a:extLst>
        </xdr:cNvPr>
        <xdr:cNvSpPr>
          <a:spLocks noChangeShapeType="1"/>
        </xdr:cNvSpPr>
      </xdr:nvSpPr>
      <xdr:spPr bwMode="auto">
        <a:xfrm>
          <a:off x="314325" y="6381750"/>
          <a:ext cx="9525" cy="51625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40</xdr:row>
      <xdr:rowOff>0</xdr:rowOff>
    </xdr:from>
    <xdr:to>
      <xdr:col>1</xdr:col>
      <xdr:colOff>9525</xdr:colOff>
      <xdr:row>65</xdr:row>
      <xdr:rowOff>0</xdr:rowOff>
    </xdr:to>
    <xdr:sp macro="" textlink="">
      <xdr:nvSpPr>
        <xdr:cNvPr id="429352" name="Line 12">
          <a:extLst>
            <a:ext uri="{FF2B5EF4-FFF2-40B4-BE49-F238E27FC236}">
              <a16:creationId xmlns:a16="http://schemas.microsoft.com/office/drawing/2014/main" id="{7A6DB6C2-260D-6C64-94D6-CAA3A4B5DBF9}"/>
            </a:ext>
          </a:extLst>
        </xdr:cNvPr>
        <xdr:cNvSpPr>
          <a:spLocks noChangeShapeType="1"/>
        </xdr:cNvSpPr>
      </xdr:nvSpPr>
      <xdr:spPr bwMode="auto">
        <a:xfrm>
          <a:off x="314325" y="6381750"/>
          <a:ext cx="9525" cy="51625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40</xdr:row>
      <xdr:rowOff>0</xdr:rowOff>
    </xdr:from>
    <xdr:to>
      <xdr:col>1</xdr:col>
      <xdr:colOff>9525</xdr:colOff>
      <xdr:row>65</xdr:row>
      <xdr:rowOff>0</xdr:rowOff>
    </xdr:to>
    <xdr:sp macro="" textlink="">
      <xdr:nvSpPr>
        <xdr:cNvPr id="429353" name="Line 12">
          <a:extLst>
            <a:ext uri="{FF2B5EF4-FFF2-40B4-BE49-F238E27FC236}">
              <a16:creationId xmlns:a16="http://schemas.microsoft.com/office/drawing/2014/main" id="{7B685837-444B-7C5B-D65E-6709F7D913CC}"/>
            </a:ext>
          </a:extLst>
        </xdr:cNvPr>
        <xdr:cNvSpPr>
          <a:spLocks noChangeShapeType="1"/>
        </xdr:cNvSpPr>
      </xdr:nvSpPr>
      <xdr:spPr bwMode="auto">
        <a:xfrm>
          <a:off x="314325" y="6381750"/>
          <a:ext cx="9525" cy="51625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40</xdr:row>
      <xdr:rowOff>0</xdr:rowOff>
    </xdr:from>
    <xdr:to>
      <xdr:col>1</xdr:col>
      <xdr:colOff>9525</xdr:colOff>
      <xdr:row>65</xdr:row>
      <xdr:rowOff>0</xdr:rowOff>
    </xdr:to>
    <xdr:sp macro="" textlink="">
      <xdr:nvSpPr>
        <xdr:cNvPr id="429354" name="Line 12">
          <a:extLst>
            <a:ext uri="{FF2B5EF4-FFF2-40B4-BE49-F238E27FC236}">
              <a16:creationId xmlns:a16="http://schemas.microsoft.com/office/drawing/2014/main" id="{9CBACD9E-F680-AF9C-D9B2-7EB7DD0817F8}"/>
            </a:ext>
          </a:extLst>
        </xdr:cNvPr>
        <xdr:cNvSpPr>
          <a:spLocks noChangeShapeType="1"/>
        </xdr:cNvSpPr>
      </xdr:nvSpPr>
      <xdr:spPr bwMode="auto">
        <a:xfrm>
          <a:off x="314325" y="6381750"/>
          <a:ext cx="9525" cy="51625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40</xdr:row>
      <xdr:rowOff>0</xdr:rowOff>
    </xdr:from>
    <xdr:to>
      <xdr:col>1</xdr:col>
      <xdr:colOff>9525</xdr:colOff>
      <xdr:row>65</xdr:row>
      <xdr:rowOff>0</xdr:rowOff>
    </xdr:to>
    <xdr:sp macro="" textlink="">
      <xdr:nvSpPr>
        <xdr:cNvPr id="429355" name="Line 12">
          <a:extLst>
            <a:ext uri="{FF2B5EF4-FFF2-40B4-BE49-F238E27FC236}">
              <a16:creationId xmlns:a16="http://schemas.microsoft.com/office/drawing/2014/main" id="{D698AE09-5898-4E24-E727-B9282BE547FA}"/>
            </a:ext>
          </a:extLst>
        </xdr:cNvPr>
        <xdr:cNvSpPr>
          <a:spLocks noChangeShapeType="1"/>
        </xdr:cNvSpPr>
      </xdr:nvSpPr>
      <xdr:spPr bwMode="auto">
        <a:xfrm>
          <a:off x="314325" y="6381750"/>
          <a:ext cx="9525" cy="51625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40</xdr:row>
      <xdr:rowOff>0</xdr:rowOff>
    </xdr:from>
    <xdr:to>
      <xdr:col>1</xdr:col>
      <xdr:colOff>9525</xdr:colOff>
      <xdr:row>65</xdr:row>
      <xdr:rowOff>0</xdr:rowOff>
    </xdr:to>
    <xdr:sp macro="" textlink="">
      <xdr:nvSpPr>
        <xdr:cNvPr id="429356" name="Line 12">
          <a:extLst>
            <a:ext uri="{FF2B5EF4-FFF2-40B4-BE49-F238E27FC236}">
              <a16:creationId xmlns:a16="http://schemas.microsoft.com/office/drawing/2014/main" id="{9128579A-548C-7193-8C9F-4824D537516F}"/>
            </a:ext>
          </a:extLst>
        </xdr:cNvPr>
        <xdr:cNvSpPr>
          <a:spLocks noChangeShapeType="1"/>
        </xdr:cNvSpPr>
      </xdr:nvSpPr>
      <xdr:spPr bwMode="auto">
        <a:xfrm>
          <a:off x="314325" y="6381750"/>
          <a:ext cx="9525" cy="51625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40</xdr:row>
      <xdr:rowOff>0</xdr:rowOff>
    </xdr:from>
    <xdr:to>
      <xdr:col>1</xdr:col>
      <xdr:colOff>9525</xdr:colOff>
      <xdr:row>65</xdr:row>
      <xdr:rowOff>0</xdr:rowOff>
    </xdr:to>
    <xdr:sp macro="" textlink="">
      <xdr:nvSpPr>
        <xdr:cNvPr id="429357" name="Line 12">
          <a:extLst>
            <a:ext uri="{FF2B5EF4-FFF2-40B4-BE49-F238E27FC236}">
              <a16:creationId xmlns:a16="http://schemas.microsoft.com/office/drawing/2014/main" id="{73EAFF40-D568-8AC2-9E18-4F8099258062}"/>
            </a:ext>
          </a:extLst>
        </xdr:cNvPr>
        <xdr:cNvSpPr>
          <a:spLocks noChangeShapeType="1"/>
        </xdr:cNvSpPr>
      </xdr:nvSpPr>
      <xdr:spPr bwMode="auto">
        <a:xfrm>
          <a:off x="314325" y="6381750"/>
          <a:ext cx="9525" cy="51625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40</xdr:row>
      <xdr:rowOff>0</xdr:rowOff>
    </xdr:from>
    <xdr:to>
      <xdr:col>1</xdr:col>
      <xdr:colOff>9525</xdr:colOff>
      <xdr:row>65</xdr:row>
      <xdr:rowOff>0</xdr:rowOff>
    </xdr:to>
    <xdr:sp macro="" textlink="">
      <xdr:nvSpPr>
        <xdr:cNvPr id="429358" name="Line 12">
          <a:extLst>
            <a:ext uri="{FF2B5EF4-FFF2-40B4-BE49-F238E27FC236}">
              <a16:creationId xmlns:a16="http://schemas.microsoft.com/office/drawing/2014/main" id="{1B22A9F6-1EEF-54A4-C9B7-5EF766697C4E}"/>
            </a:ext>
          </a:extLst>
        </xdr:cNvPr>
        <xdr:cNvSpPr>
          <a:spLocks noChangeShapeType="1"/>
        </xdr:cNvSpPr>
      </xdr:nvSpPr>
      <xdr:spPr bwMode="auto">
        <a:xfrm>
          <a:off x="314325" y="6381750"/>
          <a:ext cx="9525" cy="51625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28</xdr:row>
      <xdr:rowOff>0</xdr:rowOff>
    </xdr:from>
    <xdr:to>
      <xdr:col>1</xdr:col>
      <xdr:colOff>9525</xdr:colOff>
      <xdr:row>52</xdr:row>
      <xdr:rowOff>0</xdr:rowOff>
    </xdr:to>
    <xdr:sp macro="" textlink="">
      <xdr:nvSpPr>
        <xdr:cNvPr id="418363" name="Line 12">
          <a:extLst>
            <a:ext uri="{FF2B5EF4-FFF2-40B4-BE49-F238E27FC236}">
              <a16:creationId xmlns:a16="http://schemas.microsoft.com/office/drawing/2014/main" id="{02C2A956-8927-81BB-3071-648FC574FDEA}"/>
            </a:ext>
          </a:extLst>
        </xdr:cNvPr>
        <xdr:cNvSpPr>
          <a:spLocks noChangeShapeType="1"/>
        </xdr:cNvSpPr>
      </xdr:nvSpPr>
      <xdr:spPr bwMode="auto">
        <a:xfrm>
          <a:off x="400050" y="4295775"/>
          <a:ext cx="9525" cy="5276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28</xdr:row>
      <xdr:rowOff>0</xdr:rowOff>
    </xdr:from>
    <xdr:to>
      <xdr:col>1</xdr:col>
      <xdr:colOff>9525</xdr:colOff>
      <xdr:row>52</xdr:row>
      <xdr:rowOff>0</xdr:rowOff>
    </xdr:to>
    <xdr:sp macro="" textlink="">
      <xdr:nvSpPr>
        <xdr:cNvPr id="418364" name="Line 12">
          <a:extLst>
            <a:ext uri="{FF2B5EF4-FFF2-40B4-BE49-F238E27FC236}">
              <a16:creationId xmlns:a16="http://schemas.microsoft.com/office/drawing/2014/main" id="{0DFBA743-0398-1A15-3BCA-5FCE1C25D0C7}"/>
            </a:ext>
          </a:extLst>
        </xdr:cNvPr>
        <xdr:cNvSpPr>
          <a:spLocks noChangeShapeType="1"/>
        </xdr:cNvSpPr>
      </xdr:nvSpPr>
      <xdr:spPr bwMode="auto">
        <a:xfrm>
          <a:off x="400050" y="4295775"/>
          <a:ext cx="9525" cy="5276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28</xdr:row>
      <xdr:rowOff>0</xdr:rowOff>
    </xdr:from>
    <xdr:to>
      <xdr:col>1</xdr:col>
      <xdr:colOff>9525</xdr:colOff>
      <xdr:row>52</xdr:row>
      <xdr:rowOff>0</xdr:rowOff>
    </xdr:to>
    <xdr:sp macro="" textlink="">
      <xdr:nvSpPr>
        <xdr:cNvPr id="418365" name="Line 12">
          <a:extLst>
            <a:ext uri="{FF2B5EF4-FFF2-40B4-BE49-F238E27FC236}">
              <a16:creationId xmlns:a16="http://schemas.microsoft.com/office/drawing/2014/main" id="{32F55371-5943-8616-AE27-BC099BBB0038}"/>
            </a:ext>
          </a:extLst>
        </xdr:cNvPr>
        <xdr:cNvSpPr>
          <a:spLocks noChangeShapeType="1"/>
        </xdr:cNvSpPr>
      </xdr:nvSpPr>
      <xdr:spPr bwMode="auto">
        <a:xfrm>
          <a:off x="400050" y="4295775"/>
          <a:ext cx="9525" cy="5276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28</xdr:row>
      <xdr:rowOff>0</xdr:rowOff>
    </xdr:from>
    <xdr:to>
      <xdr:col>1</xdr:col>
      <xdr:colOff>9525</xdr:colOff>
      <xdr:row>52</xdr:row>
      <xdr:rowOff>0</xdr:rowOff>
    </xdr:to>
    <xdr:sp macro="" textlink="">
      <xdr:nvSpPr>
        <xdr:cNvPr id="418366" name="Line 12">
          <a:extLst>
            <a:ext uri="{FF2B5EF4-FFF2-40B4-BE49-F238E27FC236}">
              <a16:creationId xmlns:a16="http://schemas.microsoft.com/office/drawing/2014/main" id="{9F2C4E26-E37D-1EA0-0C76-35DD3929F454}"/>
            </a:ext>
          </a:extLst>
        </xdr:cNvPr>
        <xdr:cNvSpPr>
          <a:spLocks noChangeShapeType="1"/>
        </xdr:cNvSpPr>
      </xdr:nvSpPr>
      <xdr:spPr bwMode="auto">
        <a:xfrm>
          <a:off x="400050" y="4295775"/>
          <a:ext cx="9525" cy="5276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28</xdr:row>
      <xdr:rowOff>0</xdr:rowOff>
    </xdr:from>
    <xdr:to>
      <xdr:col>1</xdr:col>
      <xdr:colOff>9525</xdr:colOff>
      <xdr:row>52</xdr:row>
      <xdr:rowOff>0</xdr:rowOff>
    </xdr:to>
    <xdr:sp macro="" textlink="">
      <xdr:nvSpPr>
        <xdr:cNvPr id="418367" name="Line 12">
          <a:extLst>
            <a:ext uri="{FF2B5EF4-FFF2-40B4-BE49-F238E27FC236}">
              <a16:creationId xmlns:a16="http://schemas.microsoft.com/office/drawing/2014/main" id="{5EF13F12-19EC-15DC-3624-8FD73CBB5BA7}"/>
            </a:ext>
          </a:extLst>
        </xdr:cNvPr>
        <xdr:cNvSpPr>
          <a:spLocks noChangeShapeType="1"/>
        </xdr:cNvSpPr>
      </xdr:nvSpPr>
      <xdr:spPr bwMode="auto">
        <a:xfrm>
          <a:off x="400050" y="4295775"/>
          <a:ext cx="9525" cy="5276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28</xdr:row>
      <xdr:rowOff>0</xdr:rowOff>
    </xdr:from>
    <xdr:to>
      <xdr:col>1</xdr:col>
      <xdr:colOff>9525</xdr:colOff>
      <xdr:row>52</xdr:row>
      <xdr:rowOff>0</xdr:rowOff>
    </xdr:to>
    <xdr:sp macro="" textlink="">
      <xdr:nvSpPr>
        <xdr:cNvPr id="418368" name="Line 12">
          <a:extLst>
            <a:ext uri="{FF2B5EF4-FFF2-40B4-BE49-F238E27FC236}">
              <a16:creationId xmlns:a16="http://schemas.microsoft.com/office/drawing/2014/main" id="{30D19007-B577-B043-17F7-5E477F4270CE}"/>
            </a:ext>
          </a:extLst>
        </xdr:cNvPr>
        <xdr:cNvSpPr>
          <a:spLocks noChangeShapeType="1"/>
        </xdr:cNvSpPr>
      </xdr:nvSpPr>
      <xdr:spPr bwMode="auto">
        <a:xfrm>
          <a:off x="400050" y="4295775"/>
          <a:ext cx="9525" cy="5276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28</xdr:row>
      <xdr:rowOff>0</xdr:rowOff>
    </xdr:from>
    <xdr:to>
      <xdr:col>1</xdr:col>
      <xdr:colOff>9525</xdr:colOff>
      <xdr:row>52</xdr:row>
      <xdr:rowOff>0</xdr:rowOff>
    </xdr:to>
    <xdr:sp macro="" textlink="">
      <xdr:nvSpPr>
        <xdr:cNvPr id="418369" name="Line 12">
          <a:extLst>
            <a:ext uri="{FF2B5EF4-FFF2-40B4-BE49-F238E27FC236}">
              <a16:creationId xmlns:a16="http://schemas.microsoft.com/office/drawing/2014/main" id="{BB507CAC-B6D3-2892-66A5-8D2323753D23}"/>
            </a:ext>
          </a:extLst>
        </xdr:cNvPr>
        <xdr:cNvSpPr>
          <a:spLocks noChangeShapeType="1"/>
        </xdr:cNvSpPr>
      </xdr:nvSpPr>
      <xdr:spPr bwMode="auto">
        <a:xfrm>
          <a:off x="400050" y="4295775"/>
          <a:ext cx="9525" cy="5276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28</xdr:row>
      <xdr:rowOff>0</xdr:rowOff>
    </xdr:from>
    <xdr:to>
      <xdr:col>1</xdr:col>
      <xdr:colOff>9525</xdr:colOff>
      <xdr:row>52</xdr:row>
      <xdr:rowOff>0</xdr:rowOff>
    </xdr:to>
    <xdr:sp macro="" textlink="">
      <xdr:nvSpPr>
        <xdr:cNvPr id="418370" name="Line 12">
          <a:extLst>
            <a:ext uri="{FF2B5EF4-FFF2-40B4-BE49-F238E27FC236}">
              <a16:creationId xmlns:a16="http://schemas.microsoft.com/office/drawing/2014/main" id="{3424154F-DDCC-9065-5B5D-D04121C9B0F1}"/>
            </a:ext>
          </a:extLst>
        </xdr:cNvPr>
        <xdr:cNvSpPr>
          <a:spLocks noChangeShapeType="1"/>
        </xdr:cNvSpPr>
      </xdr:nvSpPr>
      <xdr:spPr bwMode="auto">
        <a:xfrm>
          <a:off x="400050" y="4295775"/>
          <a:ext cx="9525" cy="5276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28</xdr:row>
      <xdr:rowOff>0</xdr:rowOff>
    </xdr:from>
    <xdr:to>
      <xdr:col>1</xdr:col>
      <xdr:colOff>9525</xdr:colOff>
      <xdr:row>52</xdr:row>
      <xdr:rowOff>0</xdr:rowOff>
    </xdr:to>
    <xdr:sp macro="" textlink="">
      <xdr:nvSpPr>
        <xdr:cNvPr id="418371" name="Line 12">
          <a:extLst>
            <a:ext uri="{FF2B5EF4-FFF2-40B4-BE49-F238E27FC236}">
              <a16:creationId xmlns:a16="http://schemas.microsoft.com/office/drawing/2014/main" id="{04C1DA74-91B0-4FFB-DD82-C88BFA22089D}"/>
            </a:ext>
          </a:extLst>
        </xdr:cNvPr>
        <xdr:cNvSpPr>
          <a:spLocks noChangeShapeType="1"/>
        </xdr:cNvSpPr>
      </xdr:nvSpPr>
      <xdr:spPr bwMode="auto">
        <a:xfrm>
          <a:off x="400050" y="4295775"/>
          <a:ext cx="9525" cy="5276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28</xdr:row>
      <xdr:rowOff>0</xdr:rowOff>
    </xdr:from>
    <xdr:to>
      <xdr:col>1</xdr:col>
      <xdr:colOff>9525</xdr:colOff>
      <xdr:row>52</xdr:row>
      <xdr:rowOff>0</xdr:rowOff>
    </xdr:to>
    <xdr:sp macro="" textlink="">
      <xdr:nvSpPr>
        <xdr:cNvPr id="418372" name="Line 12">
          <a:extLst>
            <a:ext uri="{FF2B5EF4-FFF2-40B4-BE49-F238E27FC236}">
              <a16:creationId xmlns:a16="http://schemas.microsoft.com/office/drawing/2014/main" id="{42A194B4-CE25-807E-6946-545FF6B26AA0}"/>
            </a:ext>
          </a:extLst>
        </xdr:cNvPr>
        <xdr:cNvSpPr>
          <a:spLocks noChangeShapeType="1"/>
        </xdr:cNvSpPr>
      </xdr:nvSpPr>
      <xdr:spPr bwMode="auto">
        <a:xfrm>
          <a:off x="400050" y="4295775"/>
          <a:ext cx="9525" cy="5276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28</xdr:row>
      <xdr:rowOff>0</xdr:rowOff>
    </xdr:from>
    <xdr:to>
      <xdr:col>1</xdr:col>
      <xdr:colOff>9525</xdr:colOff>
      <xdr:row>52</xdr:row>
      <xdr:rowOff>0</xdr:rowOff>
    </xdr:to>
    <xdr:sp macro="" textlink="">
      <xdr:nvSpPr>
        <xdr:cNvPr id="418373" name="Line 12">
          <a:extLst>
            <a:ext uri="{FF2B5EF4-FFF2-40B4-BE49-F238E27FC236}">
              <a16:creationId xmlns:a16="http://schemas.microsoft.com/office/drawing/2014/main" id="{240461F6-BF31-4137-FA92-A776C910EDDF}"/>
            </a:ext>
          </a:extLst>
        </xdr:cNvPr>
        <xdr:cNvSpPr>
          <a:spLocks noChangeShapeType="1"/>
        </xdr:cNvSpPr>
      </xdr:nvSpPr>
      <xdr:spPr bwMode="auto">
        <a:xfrm>
          <a:off x="400050" y="4295775"/>
          <a:ext cx="9525" cy="5276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28</xdr:row>
      <xdr:rowOff>0</xdr:rowOff>
    </xdr:from>
    <xdr:to>
      <xdr:col>1</xdr:col>
      <xdr:colOff>9525</xdr:colOff>
      <xdr:row>52</xdr:row>
      <xdr:rowOff>0</xdr:rowOff>
    </xdr:to>
    <xdr:sp macro="" textlink="">
      <xdr:nvSpPr>
        <xdr:cNvPr id="418374" name="Line 12">
          <a:extLst>
            <a:ext uri="{FF2B5EF4-FFF2-40B4-BE49-F238E27FC236}">
              <a16:creationId xmlns:a16="http://schemas.microsoft.com/office/drawing/2014/main" id="{3A1CC461-49F6-E29C-A1A2-51FD51983E21}"/>
            </a:ext>
          </a:extLst>
        </xdr:cNvPr>
        <xdr:cNvSpPr>
          <a:spLocks noChangeShapeType="1"/>
        </xdr:cNvSpPr>
      </xdr:nvSpPr>
      <xdr:spPr bwMode="auto">
        <a:xfrm>
          <a:off x="400050" y="4295775"/>
          <a:ext cx="9525" cy="5276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28</xdr:row>
      <xdr:rowOff>0</xdr:rowOff>
    </xdr:from>
    <xdr:to>
      <xdr:col>1</xdr:col>
      <xdr:colOff>9525</xdr:colOff>
      <xdr:row>52</xdr:row>
      <xdr:rowOff>0</xdr:rowOff>
    </xdr:to>
    <xdr:sp macro="" textlink="">
      <xdr:nvSpPr>
        <xdr:cNvPr id="418375" name="Line 12">
          <a:extLst>
            <a:ext uri="{FF2B5EF4-FFF2-40B4-BE49-F238E27FC236}">
              <a16:creationId xmlns:a16="http://schemas.microsoft.com/office/drawing/2014/main" id="{B9CBDF9F-CEBC-F5ED-2D5B-1662FC79C215}"/>
            </a:ext>
          </a:extLst>
        </xdr:cNvPr>
        <xdr:cNvSpPr>
          <a:spLocks noChangeShapeType="1"/>
        </xdr:cNvSpPr>
      </xdr:nvSpPr>
      <xdr:spPr bwMode="auto">
        <a:xfrm>
          <a:off x="400050" y="4295775"/>
          <a:ext cx="9525" cy="5276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28</xdr:row>
      <xdr:rowOff>0</xdr:rowOff>
    </xdr:from>
    <xdr:to>
      <xdr:col>1</xdr:col>
      <xdr:colOff>9525</xdr:colOff>
      <xdr:row>52</xdr:row>
      <xdr:rowOff>0</xdr:rowOff>
    </xdr:to>
    <xdr:sp macro="" textlink="">
      <xdr:nvSpPr>
        <xdr:cNvPr id="418376" name="Line 12">
          <a:extLst>
            <a:ext uri="{FF2B5EF4-FFF2-40B4-BE49-F238E27FC236}">
              <a16:creationId xmlns:a16="http://schemas.microsoft.com/office/drawing/2014/main" id="{708B5718-7C0D-56F2-24C2-EEF9452461D2}"/>
            </a:ext>
          </a:extLst>
        </xdr:cNvPr>
        <xdr:cNvSpPr>
          <a:spLocks noChangeShapeType="1"/>
        </xdr:cNvSpPr>
      </xdr:nvSpPr>
      <xdr:spPr bwMode="auto">
        <a:xfrm>
          <a:off x="400050" y="4295775"/>
          <a:ext cx="9525" cy="5276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37</xdr:row>
      <xdr:rowOff>0</xdr:rowOff>
    </xdr:from>
    <xdr:to>
      <xdr:col>1</xdr:col>
      <xdr:colOff>9525</xdr:colOff>
      <xdr:row>46</xdr:row>
      <xdr:rowOff>0</xdr:rowOff>
    </xdr:to>
    <xdr:sp macro="" textlink="">
      <xdr:nvSpPr>
        <xdr:cNvPr id="419373" name="Line 12">
          <a:extLst>
            <a:ext uri="{FF2B5EF4-FFF2-40B4-BE49-F238E27FC236}">
              <a16:creationId xmlns:a16="http://schemas.microsoft.com/office/drawing/2014/main" id="{3EDB0785-246B-CC93-A7CB-09B54E988AC3}"/>
            </a:ext>
          </a:extLst>
        </xdr:cNvPr>
        <xdr:cNvSpPr>
          <a:spLocks noChangeShapeType="1"/>
        </xdr:cNvSpPr>
      </xdr:nvSpPr>
      <xdr:spPr bwMode="auto">
        <a:xfrm>
          <a:off x="400050" y="5800725"/>
          <a:ext cx="9525" cy="18954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37</xdr:row>
      <xdr:rowOff>0</xdr:rowOff>
    </xdr:from>
    <xdr:to>
      <xdr:col>1</xdr:col>
      <xdr:colOff>9525</xdr:colOff>
      <xdr:row>46</xdr:row>
      <xdr:rowOff>0</xdr:rowOff>
    </xdr:to>
    <xdr:sp macro="" textlink="">
      <xdr:nvSpPr>
        <xdr:cNvPr id="419374" name="Line 12">
          <a:extLst>
            <a:ext uri="{FF2B5EF4-FFF2-40B4-BE49-F238E27FC236}">
              <a16:creationId xmlns:a16="http://schemas.microsoft.com/office/drawing/2014/main" id="{5F5246CC-C894-D10D-8250-D633E7D53054}"/>
            </a:ext>
          </a:extLst>
        </xdr:cNvPr>
        <xdr:cNvSpPr>
          <a:spLocks noChangeShapeType="1"/>
        </xdr:cNvSpPr>
      </xdr:nvSpPr>
      <xdr:spPr bwMode="auto">
        <a:xfrm>
          <a:off x="400050" y="5800725"/>
          <a:ext cx="9525" cy="18954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37</xdr:row>
      <xdr:rowOff>0</xdr:rowOff>
    </xdr:from>
    <xdr:to>
      <xdr:col>1</xdr:col>
      <xdr:colOff>9525</xdr:colOff>
      <xdr:row>46</xdr:row>
      <xdr:rowOff>0</xdr:rowOff>
    </xdr:to>
    <xdr:sp macro="" textlink="">
      <xdr:nvSpPr>
        <xdr:cNvPr id="419375" name="Line 12">
          <a:extLst>
            <a:ext uri="{FF2B5EF4-FFF2-40B4-BE49-F238E27FC236}">
              <a16:creationId xmlns:a16="http://schemas.microsoft.com/office/drawing/2014/main" id="{1D3EA50B-7689-0939-390D-6B110597C141}"/>
            </a:ext>
          </a:extLst>
        </xdr:cNvPr>
        <xdr:cNvSpPr>
          <a:spLocks noChangeShapeType="1"/>
        </xdr:cNvSpPr>
      </xdr:nvSpPr>
      <xdr:spPr bwMode="auto">
        <a:xfrm>
          <a:off x="400050" y="5800725"/>
          <a:ext cx="9525" cy="18954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37</xdr:row>
      <xdr:rowOff>0</xdr:rowOff>
    </xdr:from>
    <xdr:to>
      <xdr:col>1</xdr:col>
      <xdr:colOff>9525</xdr:colOff>
      <xdr:row>46</xdr:row>
      <xdr:rowOff>0</xdr:rowOff>
    </xdr:to>
    <xdr:sp macro="" textlink="">
      <xdr:nvSpPr>
        <xdr:cNvPr id="419376" name="Line 12">
          <a:extLst>
            <a:ext uri="{FF2B5EF4-FFF2-40B4-BE49-F238E27FC236}">
              <a16:creationId xmlns:a16="http://schemas.microsoft.com/office/drawing/2014/main" id="{79EEB6FA-A3B7-2FF0-21FD-223BFA533E60}"/>
            </a:ext>
          </a:extLst>
        </xdr:cNvPr>
        <xdr:cNvSpPr>
          <a:spLocks noChangeShapeType="1"/>
        </xdr:cNvSpPr>
      </xdr:nvSpPr>
      <xdr:spPr bwMode="auto">
        <a:xfrm>
          <a:off x="400050" y="5800725"/>
          <a:ext cx="9525" cy="18954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37</xdr:row>
      <xdr:rowOff>0</xdr:rowOff>
    </xdr:from>
    <xdr:to>
      <xdr:col>1</xdr:col>
      <xdr:colOff>9525</xdr:colOff>
      <xdr:row>46</xdr:row>
      <xdr:rowOff>0</xdr:rowOff>
    </xdr:to>
    <xdr:sp macro="" textlink="">
      <xdr:nvSpPr>
        <xdr:cNvPr id="419377" name="Line 12">
          <a:extLst>
            <a:ext uri="{FF2B5EF4-FFF2-40B4-BE49-F238E27FC236}">
              <a16:creationId xmlns:a16="http://schemas.microsoft.com/office/drawing/2014/main" id="{2F8B6256-EA6A-F026-7849-3F9BC87F1BC7}"/>
            </a:ext>
          </a:extLst>
        </xdr:cNvPr>
        <xdr:cNvSpPr>
          <a:spLocks noChangeShapeType="1"/>
        </xdr:cNvSpPr>
      </xdr:nvSpPr>
      <xdr:spPr bwMode="auto">
        <a:xfrm>
          <a:off x="400050" y="5800725"/>
          <a:ext cx="9525" cy="18954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37</xdr:row>
      <xdr:rowOff>0</xdr:rowOff>
    </xdr:from>
    <xdr:to>
      <xdr:col>1</xdr:col>
      <xdr:colOff>9525</xdr:colOff>
      <xdr:row>46</xdr:row>
      <xdr:rowOff>0</xdr:rowOff>
    </xdr:to>
    <xdr:sp macro="" textlink="">
      <xdr:nvSpPr>
        <xdr:cNvPr id="419378" name="Line 12">
          <a:extLst>
            <a:ext uri="{FF2B5EF4-FFF2-40B4-BE49-F238E27FC236}">
              <a16:creationId xmlns:a16="http://schemas.microsoft.com/office/drawing/2014/main" id="{7D2D7D90-52CA-5825-97ED-9D94D9CEE65B}"/>
            </a:ext>
          </a:extLst>
        </xdr:cNvPr>
        <xdr:cNvSpPr>
          <a:spLocks noChangeShapeType="1"/>
        </xdr:cNvSpPr>
      </xdr:nvSpPr>
      <xdr:spPr bwMode="auto">
        <a:xfrm>
          <a:off x="400050" y="5800725"/>
          <a:ext cx="9525" cy="18954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37</xdr:row>
      <xdr:rowOff>0</xdr:rowOff>
    </xdr:from>
    <xdr:to>
      <xdr:col>1</xdr:col>
      <xdr:colOff>9525</xdr:colOff>
      <xdr:row>46</xdr:row>
      <xdr:rowOff>0</xdr:rowOff>
    </xdr:to>
    <xdr:sp macro="" textlink="">
      <xdr:nvSpPr>
        <xdr:cNvPr id="419379" name="Line 12">
          <a:extLst>
            <a:ext uri="{FF2B5EF4-FFF2-40B4-BE49-F238E27FC236}">
              <a16:creationId xmlns:a16="http://schemas.microsoft.com/office/drawing/2014/main" id="{1A52E077-5FDB-4AD8-E1DA-43DF6EBF94E5}"/>
            </a:ext>
          </a:extLst>
        </xdr:cNvPr>
        <xdr:cNvSpPr>
          <a:spLocks noChangeShapeType="1"/>
        </xdr:cNvSpPr>
      </xdr:nvSpPr>
      <xdr:spPr bwMode="auto">
        <a:xfrm>
          <a:off x="400050" y="5800725"/>
          <a:ext cx="9525" cy="18954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37</xdr:row>
      <xdr:rowOff>0</xdr:rowOff>
    </xdr:from>
    <xdr:to>
      <xdr:col>1</xdr:col>
      <xdr:colOff>9525</xdr:colOff>
      <xdr:row>46</xdr:row>
      <xdr:rowOff>0</xdr:rowOff>
    </xdr:to>
    <xdr:sp macro="" textlink="">
      <xdr:nvSpPr>
        <xdr:cNvPr id="419380" name="Line 12">
          <a:extLst>
            <a:ext uri="{FF2B5EF4-FFF2-40B4-BE49-F238E27FC236}">
              <a16:creationId xmlns:a16="http://schemas.microsoft.com/office/drawing/2014/main" id="{AAD2A580-30A7-DDE8-498F-530CD1ECD9C3}"/>
            </a:ext>
          </a:extLst>
        </xdr:cNvPr>
        <xdr:cNvSpPr>
          <a:spLocks noChangeShapeType="1"/>
        </xdr:cNvSpPr>
      </xdr:nvSpPr>
      <xdr:spPr bwMode="auto">
        <a:xfrm>
          <a:off x="400050" y="5800725"/>
          <a:ext cx="9525" cy="18954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37</xdr:row>
      <xdr:rowOff>0</xdr:rowOff>
    </xdr:from>
    <xdr:to>
      <xdr:col>1</xdr:col>
      <xdr:colOff>9525</xdr:colOff>
      <xdr:row>46</xdr:row>
      <xdr:rowOff>0</xdr:rowOff>
    </xdr:to>
    <xdr:sp macro="" textlink="">
      <xdr:nvSpPr>
        <xdr:cNvPr id="419381" name="Line 12">
          <a:extLst>
            <a:ext uri="{FF2B5EF4-FFF2-40B4-BE49-F238E27FC236}">
              <a16:creationId xmlns:a16="http://schemas.microsoft.com/office/drawing/2014/main" id="{5199E7F5-8EEE-7C78-E634-7E76D2B17419}"/>
            </a:ext>
          </a:extLst>
        </xdr:cNvPr>
        <xdr:cNvSpPr>
          <a:spLocks noChangeShapeType="1"/>
        </xdr:cNvSpPr>
      </xdr:nvSpPr>
      <xdr:spPr bwMode="auto">
        <a:xfrm>
          <a:off x="400050" y="5800725"/>
          <a:ext cx="9525" cy="18954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37</xdr:row>
      <xdr:rowOff>0</xdr:rowOff>
    </xdr:from>
    <xdr:to>
      <xdr:col>1</xdr:col>
      <xdr:colOff>9525</xdr:colOff>
      <xdr:row>46</xdr:row>
      <xdr:rowOff>0</xdr:rowOff>
    </xdr:to>
    <xdr:sp macro="" textlink="">
      <xdr:nvSpPr>
        <xdr:cNvPr id="419382" name="Line 12">
          <a:extLst>
            <a:ext uri="{FF2B5EF4-FFF2-40B4-BE49-F238E27FC236}">
              <a16:creationId xmlns:a16="http://schemas.microsoft.com/office/drawing/2014/main" id="{8CF72884-E30F-E063-80AF-90E9A18A4B95}"/>
            </a:ext>
          </a:extLst>
        </xdr:cNvPr>
        <xdr:cNvSpPr>
          <a:spLocks noChangeShapeType="1"/>
        </xdr:cNvSpPr>
      </xdr:nvSpPr>
      <xdr:spPr bwMode="auto">
        <a:xfrm>
          <a:off x="400050" y="5800725"/>
          <a:ext cx="9525" cy="18954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37</xdr:row>
      <xdr:rowOff>0</xdr:rowOff>
    </xdr:from>
    <xdr:to>
      <xdr:col>1</xdr:col>
      <xdr:colOff>9525</xdr:colOff>
      <xdr:row>46</xdr:row>
      <xdr:rowOff>0</xdr:rowOff>
    </xdr:to>
    <xdr:sp macro="" textlink="">
      <xdr:nvSpPr>
        <xdr:cNvPr id="419383" name="Line 12">
          <a:extLst>
            <a:ext uri="{FF2B5EF4-FFF2-40B4-BE49-F238E27FC236}">
              <a16:creationId xmlns:a16="http://schemas.microsoft.com/office/drawing/2014/main" id="{9C636664-E398-767B-256C-5743FB00F576}"/>
            </a:ext>
          </a:extLst>
        </xdr:cNvPr>
        <xdr:cNvSpPr>
          <a:spLocks noChangeShapeType="1"/>
        </xdr:cNvSpPr>
      </xdr:nvSpPr>
      <xdr:spPr bwMode="auto">
        <a:xfrm>
          <a:off x="400050" y="5800725"/>
          <a:ext cx="9525" cy="18954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37</xdr:row>
      <xdr:rowOff>0</xdr:rowOff>
    </xdr:from>
    <xdr:to>
      <xdr:col>1</xdr:col>
      <xdr:colOff>9525</xdr:colOff>
      <xdr:row>46</xdr:row>
      <xdr:rowOff>0</xdr:rowOff>
    </xdr:to>
    <xdr:sp macro="" textlink="">
      <xdr:nvSpPr>
        <xdr:cNvPr id="419384" name="Line 12">
          <a:extLst>
            <a:ext uri="{FF2B5EF4-FFF2-40B4-BE49-F238E27FC236}">
              <a16:creationId xmlns:a16="http://schemas.microsoft.com/office/drawing/2014/main" id="{BA7D31F0-BA5D-9B08-D7D4-918D766F5BAF}"/>
            </a:ext>
          </a:extLst>
        </xdr:cNvPr>
        <xdr:cNvSpPr>
          <a:spLocks noChangeShapeType="1"/>
        </xdr:cNvSpPr>
      </xdr:nvSpPr>
      <xdr:spPr bwMode="auto">
        <a:xfrm>
          <a:off x="400050" y="5800725"/>
          <a:ext cx="9525" cy="18954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37</xdr:row>
      <xdr:rowOff>0</xdr:rowOff>
    </xdr:from>
    <xdr:to>
      <xdr:col>1</xdr:col>
      <xdr:colOff>9525</xdr:colOff>
      <xdr:row>46</xdr:row>
      <xdr:rowOff>0</xdr:rowOff>
    </xdr:to>
    <xdr:sp macro="" textlink="">
      <xdr:nvSpPr>
        <xdr:cNvPr id="419385" name="Line 12">
          <a:extLst>
            <a:ext uri="{FF2B5EF4-FFF2-40B4-BE49-F238E27FC236}">
              <a16:creationId xmlns:a16="http://schemas.microsoft.com/office/drawing/2014/main" id="{17693B54-9881-8C6E-455D-F521ACF2FA38}"/>
            </a:ext>
          </a:extLst>
        </xdr:cNvPr>
        <xdr:cNvSpPr>
          <a:spLocks noChangeShapeType="1"/>
        </xdr:cNvSpPr>
      </xdr:nvSpPr>
      <xdr:spPr bwMode="auto">
        <a:xfrm>
          <a:off x="400050" y="5800725"/>
          <a:ext cx="9525" cy="18954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37</xdr:row>
      <xdr:rowOff>0</xdr:rowOff>
    </xdr:from>
    <xdr:to>
      <xdr:col>1</xdr:col>
      <xdr:colOff>9525</xdr:colOff>
      <xdr:row>46</xdr:row>
      <xdr:rowOff>0</xdr:rowOff>
    </xdr:to>
    <xdr:sp macro="" textlink="">
      <xdr:nvSpPr>
        <xdr:cNvPr id="419386" name="Line 12">
          <a:extLst>
            <a:ext uri="{FF2B5EF4-FFF2-40B4-BE49-F238E27FC236}">
              <a16:creationId xmlns:a16="http://schemas.microsoft.com/office/drawing/2014/main" id="{363102EB-129D-BB82-9428-047E7E7021E6}"/>
            </a:ext>
          </a:extLst>
        </xdr:cNvPr>
        <xdr:cNvSpPr>
          <a:spLocks noChangeShapeType="1"/>
        </xdr:cNvSpPr>
      </xdr:nvSpPr>
      <xdr:spPr bwMode="auto">
        <a:xfrm>
          <a:off x="400050" y="5800725"/>
          <a:ext cx="9525" cy="18954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47</xdr:row>
      <xdr:rowOff>0</xdr:rowOff>
    </xdr:from>
    <xdr:to>
      <xdr:col>1</xdr:col>
      <xdr:colOff>9525</xdr:colOff>
      <xdr:row>53</xdr:row>
      <xdr:rowOff>0</xdr:rowOff>
    </xdr:to>
    <xdr:sp macro="" textlink="">
      <xdr:nvSpPr>
        <xdr:cNvPr id="420383" name="Line 12">
          <a:extLst>
            <a:ext uri="{FF2B5EF4-FFF2-40B4-BE49-F238E27FC236}">
              <a16:creationId xmlns:a16="http://schemas.microsoft.com/office/drawing/2014/main" id="{B8CD554D-74B5-2881-F9DD-FB0AFA0D1D93}"/>
            </a:ext>
          </a:extLst>
        </xdr:cNvPr>
        <xdr:cNvSpPr>
          <a:spLocks noChangeShapeType="1"/>
        </xdr:cNvSpPr>
      </xdr:nvSpPr>
      <xdr:spPr bwMode="auto">
        <a:xfrm>
          <a:off x="400050" y="8039100"/>
          <a:ext cx="9525" cy="1295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47</xdr:row>
      <xdr:rowOff>0</xdr:rowOff>
    </xdr:from>
    <xdr:to>
      <xdr:col>1</xdr:col>
      <xdr:colOff>9525</xdr:colOff>
      <xdr:row>53</xdr:row>
      <xdr:rowOff>0</xdr:rowOff>
    </xdr:to>
    <xdr:sp macro="" textlink="">
      <xdr:nvSpPr>
        <xdr:cNvPr id="420384" name="Line 12">
          <a:extLst>
            <a:ext uri="{FF2B5EF4-FFF2-40B4-BE49-F238E27FC236}">
              <a16:creationId xmlns:a16="http://schemas.microsoft.com/office/drawing/2014/main" id="{273946E4-B8F0-D144-8878-DE4F50D866E6}"/>
            </a:ext>
          </a:extLst>
        </xdr:cNvPr>
        <xdr:cNvSpPr>
          <a:spLocks noChangeShapeType="1"/>
        </xdr:cNvSpPr>
      </xdr:nvSpPr>
      <xdr:spPr bwMode="auto">
        <a:xfrm>
          <a:off x="400050" y="8039100"/>
          <a:ext cx="9525" cy="1295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47</xdr:row>
      <xdr:rowOff>0</xdr:rowOff>
    </xdr:from>
    <xdr:to>
      <xdr:col>1</xdr:col>
      <xdr:colOff>9525</xdr:colOff>
      <xdr:row>53</xdr:row>
      <xdr:rowOff>0</xdr:rowOff>
    </xdr:to>
    <xdr:sp macro="" textlink="">
      <xdr:nvSpPr>
        <xdr:cNvPr id="420385" name="Line 12">
          <a:extLst>
            <a:ext uri="{FF2B5EF4-FFF2-40B4-BE49-F238E27FC236}">
              <a16:creationId xmlns:a16="http://schemas.microsoft.com/office/drawing/2014/main" id="{97699082-38F9-DA40-6653-F51D52EACBC0}"/>
            </a:ext>
          </a:extLst>
        </xdr:cNvPr>
        <xdr:cNvSpPr>
          <a:spLocks noChangeShapeType="1"/>
        </xdr:cNvSpPr>
      </xdr:nvSpPr>
      <xdr:spPr bwMode="auto">
        <a:xfrm>
          <a:off x="400050" y="8039100"/>
          <a:ext cx="9525" cy="1295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47</xdr:row>
      <xdr:rowOff>0</xdr:rowOff>
    </xdr:from>
    <xdr:to>
      <xdr:col>1</xdr:col>
      <xdr:colOff>9525</xdr:colOff>
      <xdr:row>53</xdr:row>
      <xdr:rowOff>0</xdr:rowOff>
    </xdr:to>
    <xdr:sp macro="" textlink="">
      <xdr:nvSpPr>
        <xdr:cNvPr id="420386" name="Line 12">
          <a:extLst>
            <a:ext uri="{FF2B5EF4-FFF2-40B4-BE49-F238E27FC236}">
              <a16:creationId xmlns:a16="http://schemas.microsoft.com/office/drawing/2014/main" id="{A891875C-6FA5-971C-D41A-2980F97C408A}"/>
            </a:ext>
          </a:extLst>
        </xdr:cNvPr>
        <xdr:cNvSpPr>
          <a:spLocks noChangeShapeType="1"/>
        </xdr:cNvSpPr>
      </xdr:nvSpPr>
      <xdr:spPr bwMode="auto">
        <a:xfrm>
          <a:off x="400050" y="8039100"/>
          <a:ext cx="9525" cy="1295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47</xdr:row>
      <xdr:rowOff>0</xdr:rowOff>
    </xdr:from>
    <xdr:to>
      <xdr:col>1</xdr:col>
      <xdr:colOff>9525</xdr:colOff>
      <xdr:row>53</xdr:row>
      <xdr:rowOff>0</xdr:rowOff>
    </xdr:to>
    <xdr:sp macro="" textlink="">
      <xdr:nvSpPr>
        <xdr:cNvPr id="420387" name="Line 12">
          <a:extLst>
            <a:ext uri="{FF2B5EF4-FFF2-40B4-BE49-F238E27FC236}">
              <a16:creationId xmlns:a16="http://schemas.microsoft.com/office/drawing/2014/main" id="{07A5D1CF-8CE1-7855-1679-23F74AD3E00A}"/>
            </a:ext>
          </a:extLst>
        </xdr:cNvPr>
        <xdr:cNvSpPr>
          <a:spLocks noChangeShapeType="1"/>
        </xdr:cNvSpPr>
      </xdr:nvSpPr>
      <xdr:spPr bwMode="auto">
        <a:xfrm>
          <a:off x="400050" y="8039100"/>
          <a:ext cx="9525" cy="1295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47</xdr:row>
      <xdr:rowOff>0</xdr:rowOff>
    </xdr:from>
    <xdr:to>
      <xdr:col>1</xdr:col>
      <xdr:colOff>9525</xdr:colOff>
      <xdr:row>53</xdr:row>
      <xdr:rowOff>0</xdr:rowOff>
    </xdr:to>
    <xdr:sp macro="" textlink="">
      <xdr:nvSpPr>
        <xdr:cNvPr id="420388" name="Line 12">
          <a:extLst>
            <a:ext uri="{FF2B5EF4-FFF2-40B4-BE49-F238E27FC236}">
              <a16:creationId xmlns:a16="http://schemas.microsoft.com/office/drawing/2014/main" id="{ED6CB830-9B4C-240A-F0A1-EA8AE962601E}"/>
            </a:ext>
          </a:extLst>
        </xdr:cNvPr>
        <xdr:cNvSpPr>
          <a:spLocks noChangeShapeType="1"/>
        </xdr:cNvSpPr>
      </xdr:nvSpPr>
      <xdr:spPr bwMode="auto">
        <a:xfrm>
          <a:off x="400050" y="8039100"/>
          <a:ext cx="9525" cy="1295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47</xdr:row>
      <xdr:rowOff>0</xdr:rowOff>
    </xdr:from>
    <xdr:to>
      <xdr:col>1</xdr:col>
      <xdr:colOff>9525</xdr:colOff>
      <xdr:row>53</xdr:row>
      <xdr:rowOff>0</xdr:rowOff>
    </xdr:to>
    <xdr:sp macro="" textlink="">
      <xdr:nvSpPr>
        <xdr:cNvPr id="420389" name="Line 12">
          <a:extLst>
            <a:ext uri="{FF2B5EF4-FFF2-40B4-BE49-F238E27FC236}">
              <a16:creationId xmlns:a16="http://schemas.microsoft.com/office/drawing/2014/main" id="{0BC6EBA7-5886-7FB6-7C11-3DFDFC71D4F0}"/>
            </a:ext>
          </a:extLst>
        </xdr:cNvPr>
        <xdr:cNvSpPr>
          <a:spLocks noChangeShapeType="1"/>
        </xdr:cNvSpPr>
      </xdr:nvSpPr>
      <xdr:spPr bwMode="auto">
        <a:xfrm>
          <a:off x="400050" y="8039100"/>
          <a:ext cx="9525" cy="1295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47</xdr:row>
      <xdr:rowOff>0</xdr:rowOff>
    </xdr:from>
    <xdr:to>
      <xdr:col>1</xdr:col>
      <xdr:colOff>9525</xdr:colOff>
      <xdr:row>53</xdr:row>
      <xdr:rowOff>0</xdr:rowOff>
    </xdr:to>
    <xdr:sp macro="" textlink="">
      <xdr:nvSpPr>
        <xdr:cNvPr id="420390" name="Line 12">
          <a:extLst>
            <a:ext uri="{FF2B5EF4-FFF2-40B4-BE49-F238E27FC236}">
              <a16:creationId xmlns:a16="http://schemas.microsoft.com/office/drawing/2014/main" id="{B0642564-00DC-B69C-348B-0DD674ABCFFB}"/>
            </a:ext>
          </a:extLst>
        </xdr:cNvPr>
        <xdr:cNvSpPr>
          <a:spLocks noChangeShapeType="1"/>
        </xdr:cNvSpPr>
      </xdr:nvSpPr>
      <xdr:spPr bwMode="auto">
        <a:xfrm>
          <a:off x="400050" y="8039100"/>
          <a:ext cx="9525" cy="1295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47</xdr:row>
      <xdr:rowOff>0</xdr:rowOff>
    </xdr:from>
    <xdr:to>
      <xdr:col>1</xdr:col>
      <xdr:colOff>9525</xdr:colOff>
      <xdr:row>53</xdr:row>
      <xdr:rowOff>0</xdr:rowOff>
    </xdr:to>
    <xdr:sp macro="" textlink="">
      <xdr:nvSpPr>
        <xdr:cNvPr id="420391" name="Line 12">
          <a:extLst>
            <a:ext uri="{FF2B5EF4-FFF2-40B4-BE49-F238E27FC236}">
              <a16:creationId xmlns:a16="http://schemas.microsoft.com/office/drawing/2014/main" id="{F074E316-54D8-24C2-FB67-552D3D72B711}"/>
            </a:ext>
          </a:extLst>
        </xdr:cNvPr>
        <xdr:cNvSpPr>
          <a:spLocks noChangeShapeType="1"/>
        </xdr:cNvSpPr>
      </xdr:nvSpPr>
      <xdr:spPr bwMode="auto">
        <a:xfrm>
          <a:off x="400050" y="8039100"/>
          <a:ext cx="9525" cy="1295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47</xdr:row>
      <xdr:rowOff>0</xdr:rowOff>
    </xdr:from>
    <xdr:to>
      <xdr:col>1</xdr:col>
      <xdr:colOff>9525</xdr:colOff>
      <xdr:row>53</xdr:row>
      <xdr:rowOff>0</xdr:rowOff>
    </xdr:to>
    <xdr:sp macro="" textlink="">
      <xdr:nvSpPr>
        <xdr:cNvPr id="420392" name="Line 12">
          <a:extLst>
            <a:ext uri="{FF2B5EF4-FFF2-40B4-BE49-F238E27FC236}">
              <a16:creationId xmlns:a16="http://schemas.microsoft.com/office/drawing/2014/main" id="{A38B32AC-DD1E-737A-E7CE-E54FF67B83F0}"/>
            </a:ext>
          </a:extLst>
        </xdr:cNvPr>
        <xdr:cNvSpPr>
          <a:spLocks noChangeShapeType="1"/>
        </xdr:cNvSpPr>
      </xdr:nvSpPr>
      <xdr:spPr bwMode="auto">
        <a:xfrm>
          <a:off x="400050" y="8039100"/>
          <a:ext cx="9525" cy="1295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47</xdr:row>
      <xdr:rowOff>0</xdr:rowOff>
    </xdr:from>
    <xdr:to>
      <xdr:col>1</xdr:col>
      <xdr:colOff>9525</xdr:colOff>
      <xdr:row>53</xdr:row>
      <xdr:rowOff>0</xdr:rowOff>
    </xdr:to>
    <xdr:sp macro="" textlink="">
      <xdr:nvSpPr>
        <xdr:cNvPr id="420393" name="Line 12">
          <a:extLst>
            <a:ext uri="{FF2B5EF4-FFF2-40B4-BE49-F238E27FC236}">
              <a16:creationId xmlns:a16="http://schemas.microsoft.com/office/drawing/2014/main" id="{24CFA42C-9F64-01D1-E071-1EC40C13BCE9}"/>
            </a:ext>
          </a:extLst>
        </xdr:cNvPr>
        <xdr:cNvSpPr>
          <a:spLocks noChangeShapeType="1"/>
        </xdr:cNvSpPr>
      </xdr:nvSpPr>
      <xdr:spPr bwMode="auto">
        <a:xfrm>
          <a:off x="400050" y="8039100"/>
          <a:ext cx="9525" cy="1295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47</xdr:row>
      <xdr:rowOff>0</xdr:rowOff>
    </xdr:from>
    <xdr:to>
      <xdr:col>1</xdr:col>
      <xdr:colOff>9525</xdr:colOff>
      <xdr:row>53</xdr:row>
      <xdr:rowOff>0</xdr:rowOff>
    </xdr:to>
    <xdr:sp macro="" textlink="">
      <xdr:nvSpPr>
        <xdr:cNvPr id="420394" name="Line 12">
          <a:extLst>
            <a:ext uri="{FF2B5EF4-FFF2-40B4-BE49-F238E27FC236}">
              <a16:creationId xmlns:a16="http://schemas.microsoft.com/office/drawing/2014/main" id="{1DC76B2E-A316-FDCB-03F8-D2D158AC1A30}"/>
            </a:ext>
          </a:extLst>
        </xdr:cNvPr>
        <xdr:cNvSpPr>
          <a:spLocks noChangeShapeType="1"/>
        </xdr:cNvSpPr>
      </xdr:nvSpPr>
      <xdr:spPr bwMode="auto">
        <a:xfrm>
          <a:off x="400050" y="8039100"/>
          <a:ext cx="9525" cy="1295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47</xdr:row>
      <xdr:rowOff>0</xdr:rowOff>
    </xdr:from>
    <xdr:to>
      <xdr:col>1</xdr:col>
      <xdr:colOff>9525</xdr:colOff>
      <xdr:row>53</xdr:row>
      <xdr:rowOff>0</xdr:rowOff>
    </xdr:to>
    <xdr:sp macro="" textlink="">
      <xdr:nvSpPr>
        <xdr:cNvPr id="420395" name="Line 12">
          <a:extLst>
            <a:ext uri="{FF2B5EF4-FFF2-40B4-BE49-F238E27FC236}">
              <a16:creationId xmlns:a16="http://schemas.microsoft.com/office/drawing/2014/main" id="{DFA55FB3-845B-6E4F-E9A6-ADD4B4F08506}"/>
            </a:ext>
          </a:extLst>
        </xdr:cNvPr>
        <xdr:cNvSpPr>
          <a:spLocks noChangeShapeType="1"/>
        </xdr:cNvSpPr>
      </xdr:nvSpPr>
      <xdr:spPr bwMode="auto">
        <a:xfrm>
          <a:off x="400050" y="8039100"/>
          <a:ext cx="9525" cy="1295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47</xdr:row>
      <xdr:rowOff>0</xdr:rowOff>
    </xdr:from>
    <xdr:to>
      <xdr:col>1</xdr:col>
      <xdr:colOff>9525</xdr:colOff>
      <xdr:row>53</xdr:row>
      <xdr:rowOff>0</xdr:rowOff>
    </xdr:to>
    <xdr:sp macro="" textlink="">
      <xdr:nvSpPr>
        <xdr:cNvPr id="420396" name="Line 12">
          <a:extLst>
            <a:ext uri="{FF2B5EF4-FFF2-40B4-BE49-F238E27FC236}">
              <a16:creationId xmlns:a16="http://schemas.microsoft.com/office/drawing/2014/main" id="{00BDEDDB-ECAC-A67A-4B49-6F6E478669BE}"/>
            </a:ext>
          </a:extLst>
        </xdr:cNvPr>
        <xdr:cNvSpPr>
          <a:spLocks noChangeShapeType="1"/>
        </xdr:cNvSpPr>
      </xdr:nvSpPr>
      <xdr:spPr bwMode="auto">
        <a:xfrm>
          <a:off x="400050" y="8039100"/>
          <a:ext cx="9525" cy="1295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40</xdr:row>
      <xdr:rowOff>0</xdr:rowOff>
    </xdr:from>
    <xdr:to>
      <xdr:col>1</xdr:col>
      <xdr:colOff>9525</xdr:colOff>
      <xdr:row>49</xdr:row>
      <xdr:rowOff>0</xdr:rowOff>
    </xdr:to>
    <xdr:sp macro="" textlink="">
      <xdr:nvSpPr>
        <xdr:cNvPr id="421351" name="Line 12">
          <a:extLst>
            <a:ext uri="{FF2B5EF4-FFF2-40B4-BE49-F238E27FC236}">
              <a16:creationId xmlns:a16="http://schemas.microsoft.com/office/drawing/2014/main" id="{2DE6C2E5-8399-3B21-56FB-6F2D24F8ABC7}"/>
            </a:ext>
          </a:extLst>
        </xdr:cNvPr>
        <xdr:cNvSpPr>
          <a:spLocks noChangeShapeType="1"/>
        </xdr:cNvSpPr>
      </xdr:nvSpPr>
      <xdr:spPr bwMode="auto">
        <a:xfrm>
          <a:off x="400050" y="6629400"/>
          <a:ext cx="9525" cy="16383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40</xdr:row>
      <xdr:rowOff>0</xdr:rowOff>
    </xdr:from>
    <xdr:to>
      <xdr:col>1</xdr:col>
      <xdr:colOff>9525</xdr:colOff>
      <xdr:row>49</xdr:row>
      <xdr:rowOff>0</xdr:rowOff>
    </xdr:to>
    <xdr:sp macro="" textlink="">
      <xdr:nvSpPr>
        <xdr:cNvPr id="421352" name="Line 12">
          <a:extLst>
            <a:ext uri="{FF2B5EF4-FFF2-40B4-BE49-F238E27FC236}">
              <a16:creationId xmlns:a16="http://schemas.microsoft.com/office/drawing/2014/main" id="{3474CD48-AACD-3EB6-AC64-0C5F2D8399FF}"/>
            </a:ext>
          </a:extLst>
        </xdr:cNvPr>
        <xdr:cNvSpPr>
          <a:spLocks noChangeShapeType="1"/>
        </xdr:cNvSpPr>
      </xdr:nvSpPr>
      <xdr:spPr bwMode="auto">
        <a:xfrm>
          <a:off x="400050" y="6629400"/>
          <a:ext cx="9525" cy="16383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40</xdr:row>
      <xdr:rowOff>0</xdr:rowOff>
    </xdr:from>
    <xdr:to>
      <xdr:col>1</xdr:col>
      <xdr:colOff>9525</xdr:colOff>
      <xdr:row>49</xdr:row>
      <xdr:rowOff>0</xdr:rowOff>
    </xdr:to>
    <xdr:sp macro="" textlink="">
      <xdr:nvSpPr>
        <xdr:cNvPr id="421353" name="Line 12">
          <a:extLst>
            <a:ext uri="{FF2B5EF4-FFF2-40B4-BE49-F238E27FC236}">
              <a16:creationId xmlns:a16="http://schemas.microsoft.com/office/drawing/2014/main" id="{A92783DA-68BF-372A-D4DC-6B2E333DB670}"/>
            </a:ext>
          </a:extLst>
        </xdr:cNvPr>
        <xdr:cNvSpPr>
          <a:spLocks noChangeShapeType="1"/>
        </xdr:cNvSpPr>
      </xdr:nvSpPr>
      <xdr:spPr bwMode="auto">
        <a:xfrm>
          <a:off x="400050" y="6629400"/>
          <a:ext cx="9525" cy="16383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40</xdr:row>
      <xdr:rowOff>0</xdr:rowOff>
    </xdr:from>
    <xdr:to>
      <xdr:col>1</xdr:col>
      <xdr:colOff>9525</xdr:colOff>
      <xdr:row>49</xdr:row>
      <xdr:rowOff>0</xdr:rowOff>
    </xdr:to>
    <xdr:sp macro="" textlink="">
      <xdr:nvSpPr>
        <xdr:cNvPr id="421354" name="Line 12">
          <a:extLst>
            <a:ext uri="{FF2B5EF4-FFF2-40B4-BE49-F238E27FC236}">
              <a16:creationId xmlns:a16="http://schemas.microsoft.com/office/drawing/2014/main" id="{F230BD10-85CC-5DC3-8D2D-FD19B7E09B4A}"/>
            </a:ext>
          </a:extLst>
        </xdr:cNvPr>
        <xdr:cNvSpPr>
          <a:spLocks noChangeShapeType="1"/>
        </xdr:cNvSpPr>
      </xdr:nvSpPr>
      <xdr:spPr bwMode="auto">
        <a:xfrm>
          <a:off x="400050" y="6629400"/>
          <a:ext cx="9525" cy="16383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40</xdr:row>
      <xdr:rowOff>0</xdr:rowOff>
    </xdr:from>
    <xdr:to>
      <xdr:col>1</xdr:col>
      <xdr:colOff>9525</xdr:colOff>
      <xdr:row>49</xdr:row>
      <xdr:rowOff>0</xdr:rowOff>
    </xdr:to>
    <xdr:sp macro="" textlink="">
      <xdr:nvSpPr>
        <xdr:cNvPr id="421355" name="Line 12">
          <a:extLst>
            <a:ext uri="{FF2B5EF4-FFF2-40B4-BE49-F238E27FC236}">
              <a16:creationId xmlns:a16="http://schemas.microsoft.com/office/drawing/2014/main" id="{DA216DD9-A220-EB61-E095-A75E3DB60997}"/>
            </a:ext>
          </a:extLst>
        </xdr:cNvPr>
        <xdr:cNvSpPr>
          <a:spLocks noChangeShapeType="1"/>
        </xdr:cNvSpPr>
      </xdr:nvSpPr>
      <xdr:spPr bwMode="auto">
        <a:xfrm>
          <a:off x="400050" y="6629400"/>
          <a:ext cx="9525" cy="16383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40</xdr:row>
      <xdr:rowOff>0</xdr:rowOff>
    </xdr:from>
    <xdr:to>
      <xdr:col>1</xdr:col>
      <xdr:colOff>9525</xdr:colOff>
      <xdr:row>49</xdr:row>
      <xdr:rowOff>0</xdr:rowOff>
    </xdr:to>
    <xdr:sp macro="" textlink="">
      <xdr:nvSpPr>
        <xdr:cNvPr id="421356" name="Line 12">
          <a:extLst>
            <a:ext uri="{FF2B5EF4-FFF2-40B4-BE49-F238E27FC236}">
              <a16:creationId xmlns:a16="http://schemas.microsoft.com/office/drawing/2014/main" id="{E09249AF-1DF2-E9D7-A640-EB04858F0437}"/>
            </a:ext>
          </a:extLst>
        </xdr:cNvPr>
        <xdr:cNvSpPr>
          <a:spLocks noChangeShapeType="1"/>
        </xdr:cNvSpPr>
      </xdr:nvSpPr>
      <xdr:spPr bwMode="auto">
        <a:xfrm>
          <a:off x="400050" y="6629400"/>
          <a:ext cx="9525" cy="16383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40</xdr:row>
      <xdr:rowOff>0</xdr:rowOff>
    </xdr:from>
    <xdr:to>
      <xdr:col>1</xdr:col>
      <xdr:colOff>9525</xdr:colOff>
      <xdr:row>49</xdr:row>
      <xdr:rowOff>0</xdr:rowOff>
    </xdr:to>
    <xdr:sp macro="" textlink="">
      <xdr:nvSpPr>
        <xdr:cNvPr id="421357" name="Line 12">
          <a:extLst>
            <a:ext uri="{FF2B5EF4-FFF2-40B4-BE49-F238E27FC236}">
              <a16:creationId xmlns:a16="http://schemas.microsoft.com/office/drawing/2014/main" id="{77554913-1A56-799A-95D6-8A260460975E}"/>
            </a:ext>
          </a:extLst>
        </xdr:cNvPr>
        <xdr:cNvSpPr>
          <a:spLocks noChangeShapeType="1"/>
        </xdr:cNvSpPr>
      </xdr:nvSpPr>
      <xdr:spPr bwMode="auto">
        <a:xfrm>
          <a:off x="400050" y="6629400"/>
          <a:ext cx="9525" cy="16383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40</xdr:row>
      <xdr:rowOff>0</xdr:rowOff>
    </xdr:from>
    <xdr:to>
      <xdr:col>1</xdr:col>
      <xdr:colOff>9525</xdr:colOff>
      <xdr:row>49</xdr:row>
      <xdr:rowOff>0</xdr:rowOff>
    </xdr:to>
    <xdr:sp macro="" textlink="">
      <xdr:nvSpPr>
        <xdr:cNvPr id="421358" name="Line 12">
          <a:extLst>
            <a:ext uri="{FF2B5EF4-FFF2-40B4-BE49-F238E27FC236}">
              <a16:creationId xmlns:a16="http://schemas.microsoft.com/office/drawing/2014/main" id="{5FD96C72-E602-AEE9-46BF-1C192C1024CE}"/>
            </a:ext>
          </a:extLst>
        </xdr:cNvPr>
        <xdr:cNvSpPr>
          <a:spLocks noChangeShapeType="1"/>
        </xdr:cNvSpPr>
      </xdr:nvSpPr>
      <xdr:spPr bwMode="auto">
        <a:xfrm>
          <a:off x="400050" y="6629400"/>
          <a:ext cx="9525" cy="16383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40</xdr:row>
      <xdr:rowOff>0</xdr:rowOff>
    </xdr:from>
    <xdr:to>
      <xdr:col>1</xdr:col>
      <xdr:colOff>9525</xdr:colOff>
      <xdr:row>49</xdr:row>
      <xdr:rowOff>0</xdr:rowOff>
    </xdr:to>
    <xdr:sp macro="" textlink="">
      <xdr:nvSpPr>
        <xdr:cNvPr id="421359" name="Line 12">
          <a:extLst>
            <a:ext uri="{FF2B5EF4-FFF2-40B4-BE49-F238E27FC236}">
              <a16:creationId xmlns:a16="http://schemas.microsoft.com/office/drawing/2014/main" id="{813192E4-91C4-1517-89EB-05A5624861BD}"/>
            </a:ext>
          </a:extLst>
        </xdr:cNvPr>
        <xdr:cNvSpPr>
          <a:spLocks noChangeShapeType="1"/>
        </xdr:cNvSpPr>
      </xdr:nvSpPr>
      <xdr:spPr bwMode="auto">
        <a:xfrm>
          <a:off x="400050" y="6629400"/>
          <a:ext cx="9525" cy="16383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40</xdr:row>
      <xdr:rowOff>0</xdr:rowOff>
    </xdr:from>
    <xdr:to>
      <xdr:col>1</xdr:col>
      <xdr:colOff>9525</xdr:colOff>
      <xdr:row>49</xdr:row>
      <xdr:rowOff>0</xdr:rowOff>
    </xdr:to>
    <xdr:sp macro="" textlink="">
      <xdr:nvSpPr>
        <xdr:cNvPr id="421360" name="Line 12">
          <a:extLst>
            <a:ext uri="{FF2B5EF4-FFF2-40B4-BE49-F238E27FC236}">
              <a16:creationId xmlns:a16="http://schemas.microsoft.com/office/drawing/2014/main" id="{3CBD9A92-1F8B-E15E-49F7-D78DAA632C12}"/>
            </a:ext>
          </a:extLst>
        </xdr:cNvPr>
        <xdr:cNvSpPr>
          <a:spLocks noChangeShapeType="1"/>
        </xdr:cNvSpPr>
      </xdr:nvSpPr>
      <xdr:spPr bwMode="auto">
        <a:xfrm>
          <a:off x="400050" y="6629400"/>
          <a:ext cx="9525" cy="16383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40</xdr:row>
      <xdr:rowOff>0</xdr:rowOff>
    </xdr:from>
    <xdr:to>
      <xdr:col>1</xdr:col>
      <xdr:colOff>9525</xdr:colOff>
      <xdr:row>49</xdr:row>
      <xdr:rowOff>0</xdr:rowOff>
    </xdr:to>
    <xdr:sp macro="" textlink="">
      <xdr:nvSpPr>
        <xdr:cNvPr id="421361" name="Line 12">
          <a:extLst>
            <a:ext uri="{FF2B5EF4-FFF2-40B4-BE49-F238E27FC236}">
              <a16:creationId xmlns:a16="http://schemas.microsoft.com/office/drawing/2014/main" id="{269FEA32-581C-9FE0-7566-CDF250AD30D7}"/>
            </a:ext>
          </a:extLst>
        </xdr:cNvPr>
        <xdr:cNvSpPr>
          <a:spLocks noChangeShapeType="1"/>
        </xdr:cNvSpPr>
      </xdr:nvSpPr>
      <xdr:spPr bwMode="auto">
        <a:xfrm>
          <a:off x="400050" y="6629400"/>
          <a:ext cx="9525" cy="16383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40</xdr:row>
      <xdr:rowOff>0</xdr:rowOff>
    </xdr:from>
    <xdr:to>
      <xdr:col>1</xdr:col>
      <xdr:colOff>9525</xdr:colOff>
      <xdr:row>49</xdr:row>
      <xdr:rowOff>0</xdr:rowOff>
    </xdr:to>
    <xdr:sp macro="" textlink="">
      <xdr:nvSpPr>
        <xdr:cNvPr id="421362" name="Line 12">
          <a:extLst>
            <a:ext uri="{FF2B5EF4-FFF2-40B4-BE49-F238E27FC236}">
              <a16:creationId xmlns:a16="http://schemas.microsoft.com/office/drawing/2014/main" id="{A32AA471-74FD-F5FC-4D73-27027517A957}"/>
            </a:ext>
          </a:extLst>
        </xdr:cNvPr>
        <xdr:cNvSpPr>
          <a:spLocks noChangeShapeType="1"/>
        </xdr:cNvSpPr>
      </xdr:nvSpPr>
      <xdr:spPr bwMode="auto">
        <a:xfrm>
          <a:off x="400050" y="6629400"/>
          <a:ext cx="9525" cy="16383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40</xdr:row>
      <xdr:rowOff>0</xdr:rowOff>
    </xdr:from>
    <xdr:to>
      <xdr:col>1</xdr:col>
      <xdr:colOff>9525</xdr:colOff>
      <xdr:row>49</xdr:row>
      <xdr:rowOff>0</xdr:rowOff>
    </xdr:to>
    <xdr:sp macro="" textlink="">
      <xdr:nvSpPr>
        <xdr:cNvPr id="421363" name="Line 12">
          <a:extLst>
            <a:ext uri="{FF2B5EF4-FFF2-40B4-BE49-F238E27FC236}">
              <a16:creationId xmlns:a16="http://schemas.microsoft.com/office/drawing/2014/main" id="{95478F87-898D-064D-45CF-E43D787C10FB}"/>
            </a:ext>
          </a:extLst>
        </xdr:cNvPr>
        <xdr:cNvSpPr>
          <a:spLocks noChangeShapeType="1"/>
        </xdr:cNvSpPr>
      </xdr:nvSpPr>
      <xdr:spPr bwMode="auto">
        <a:xfrm>
          <a:off x="400050" y="6629400"/>
          <a:ext cx="9525" cy="16383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40</xdr:row>
      <xdr:rowOff>0</xdr:rowOff>
    </xdr:from>
    <xdr:to>
      <xdr:col>1</xdr:col>
      <xdr:colOff>9525</xdr:colOff>
      <xdr:row>49</xdr:row>
      <xdr:rowOff>0</xdr:rowOff>
    </xdr:to>
    <xdr:sp macro="" textlink="">
      <xdr:nvSpPr>
        <xdr:cNvPr id="421364" name="Line 12">
          <a:extLst>
            <a:ext uri="{FF2B5EF4-FFF2-40B4-BE49-F238E27FC236}">
              <a16:creationId xmlns:a16="http://schemas.microsoft.com/office/drawing/2014/main" id="{ABE54CD5-1082-9E22-0659-62C66BD767D0}"/>
            </a:ext>
          </a:extLst>
        </xdr:cNvPr>
        <xdr:cNvSpPr>
          <a:spLocks noChangeShapeType="1"/>
        </xdr:cNvSpPr>
      </xdr:nvSpPr>
      <xdr:spPr bwMode="auto">
        <a:xfrm>
          <a:off x="400050" y="6629400"/>
          <a:ext cx="9525" cy="16383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39</xdr:row>
      <xdr:rowOff>0</xdr:rowOff>
    </xdr:from>
    <xdr:to>
      <xdr:col>1</xdr:col>
      <xdr:colOff>9525</xdr:colOff>
      <xdr:row>45</xdr:row>
      <xdr:rowOff>0</xdr:rowOff>
    </xdr:to>
    <xdr:sp macro="" textlink="">
      <xdr:nvSpPr>
        <xdr:cNvPr id="423773" name="Line 12">
          <a:extLst>
            <a:ext uri="{FF2B5EF4-FFF2-40B4-BE49-F238E27FC236}">
              <a16:creationId xmlns:a16="http://schemas.microsoft.com/office/drawing/2014/main" id="{A7F68FF8-E643-3B34-A810-0328D0A2369F}"/>
            </a:ext>
          </a:extLst>
        </xdr:cNvPr>
        <xdr:cNvSpPr>
          <a:spLocks noChangeShapeType="1"/>
        </xdr:cNvSpPr>
      </xdr:nvSpPr>
      <xdr:spPr bwMode="auto">
        <a:xfrm>
          <a:off x="400050" y="6305550"/>
          <a:ext cx="9525" cy="1609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39</xdr:row>
      <xdr:rowOff>0</xdr:rowOff>
    </xdr:from>
    <xdr:to>
      <xdr:col>1</xdr:col>
      <xdr:colOff>9525</xdr:colOff>
      <xdr:row>45</xdr:row>
      <xdr:rowOff>0</xdr:rowOff>
    </xdr:to>
    <xdr:sp macro="" textlink="">
      <xdr:nvSpPr>
        <xdr:cNvPr id="423774" name="Line 12">
          <a:extLst>
            <a:ext uri="{FF2B5EF4-FFF2-40B4-BE49-F238E27FC236}">
              <a16:creationId xmlns:a16="http://schemas.microsoft.com/office/drawing/2014/main" id="{2A1BF93F-3D26-9F31-9663-59D3984EC611}"/>
            </a:ext>
          </a:extLst>
        </xdr:cNvPr>
        <xdr:cNvSpPr>
          <a:spLocks noChangeShapeType="1"/>
        </xdr:cNvSpPr>
      </xdr:nvSpPr>
      <xdr:spPr bwMode="auto">
        <a:xfrm>
          <a:off x="400050" y="6305550"/>
          <a:ext cx="9525" cy="1609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39</xdr:row>
      <xdr:rowOff>0</xdr:rowOff>
    </xdr:from>
    <xdr:to>
      <xdr:col>1</xdr:col>
      <xdr:colOff>9525</xdr:colOff>
      <xdr:row>45</xdr:row>
      <xdr:rowOff>0</xdr:rowOff>
    </xdr:to>
    <xdr:sp macro="" textlink="">
      <xdr:nvSpPr>
        <xdr:cNvPr id="423775" name="Line 12">
          <a:extLst>
            <a:ext uri="{FF2B5EF4-FFF2-40B4-BE49-F238E27FC236}">
              <a16:creationId xmlns:a16="http://schemas.microsoft.com/office/drawing/2014/main" id="{3CE3E65E-0984-182B-CB45-DC75C0A276EA}"/>
            </a:ext>
          </a:extLst>
        </xdr:cNvPr>
        <xdr:cNvSpPr>
          <a:spLocks noChangeShapeType="1"/>
        </xdr:cNvSpPr>
      </xdr:nvSpPr>
      <xdr:spPr bwMode="auto">
        <a:xfrm>
          <a:off x="400050" y="6305550"/>
          <a:ext cx="9525" cy="1609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39</xdr:row>
      <xdr:rowOff>0</xdr:rowOff>
    </xdr:from>
    <xdr:to>
      <xdr:col>1</xdr:col>
      <xdr:colOff>9525</xdr:colOff>
      <xdr:row>45</xdr:row>
      <xdr:rowOff>0</xdr:rowOff>
    </xdr:to>
    <xdr:sp macro="" textlink="">
      <xdr:nvSpPr>
        <xdr:cNvPr id="423776" name="Line 12">
          <a:extLst>
            <a:ext uri="{FF2B5EF4-FFF2-40B4-BE49-F238E27FC236}">
              <a16:creationId xmlns:a16="http://schemas.microsoft.com/office/drawing/2014/main" id="{082EF54D-1953-8A88-8B47-C30600E659D8}"/>
            </a:ext>
          </a:extLst>
        </xdr:cNvPr>
        <xdr:cNvSpPr>
          <a:spLocks noChangeShapeType="1"/>
        </xdr:cNvSpPr>
      </xdr:nvSpPr>
      <xdr:spPr bwMode="auto">
        <a:xfrm>
          <a:off x="400050" y="6305550"/>
          <a:ext cx="9525" cy="1609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39</xdr:row>
      <xdr:rowOff>0</xdr:rowOff>
    </xdr:from>
    <xdr:to>
      <xdr:col>1</xdr:col>
      <xdr:colOff>9525</xdr:colOff>
      <xdr:row>45</xdr:row>
      <xdr:rowOff>0</xdr:rowOff>
    </xdr:to>
    <xdr:sp macro="" textlink="">
      <xdr:nvSpPr>
        <xdr:cNvPr id="423777" name="Line 12">
          <a:extLst>
            <a:ext uri="{FF2B5EF4-FFF2-40B4-BE49-F238E27FC236}">
              <a16:creationId xmlns:a16="http://schemas.microsoft.com/office/drawing/2014/main" id="{9E9AFF2D-FE95-2453-010A-05B123A77712}"/>
            </a:ext>
          </a:extLst>
        </xdr:cNvPr>
        <xdr:cNvSpPr>
          <a:spLocks noChangeShapeType="1"/>
        </xdr:cNvSpPr>
      </xdr:nvSpPr>
      <xdr:spPr bwMode="auto">
        <a:xfrm>
          <a:off x="400050" y="6305550"/>
          <a:ext cx="9525" cy="1609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39</xdr:row>
      <xdr:rowOff>0</xdr:rowOff>
    </xdr:from>
    <xdr:to>
      <xdr:col>1</xdr:col>
      <xdr:colOff>9525</xdr:colOff>
      <xdr:row>45</xdr:row>
      <xdr:rowOff>0</xdr:rowOff>
    </xdr:to>
    <xdr:sp macro="" textlink="">
      <xdr:nvSpPr>
        <xdr:cNvPr id="423778" name="Line 12">
          <a:extLst>
            <a:ext uri="{FF2B5EF4-FFF2-40B4-BE49-F238E27FC236}">
              <a16:creationId xmlns:a16="http://schemas.microsoft.com/office/drawing/2014/main" id="{4174B975-AF17-4D62-ACC4-344B5566F5A6}"/>
            </a:ext>
          </a:extLst>
        </xdr:cNvPr>
        <xdr:cNvSpPr>
          <a:spLocks noChangeShapeType="1"/>
        </xdr:cNvSpPr>
      </xdr:nvSpPr>
      <xdr:spPr bwMode="auto">
        <a:xfrm>
          <a:off x="400050" y="6305550"/>
          <a:ext cx="9525" cy="1609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39</xdr:row>
      <xdr:rowOff>0</xdr:rowOff>
    </xdr:from>
    <xdr:to>
      <xdr:col>1</xdr:col>
      <xdr:colOff>9525</xdr:colOff>
      <xdr:row>45</xdr:row>
      <xdr:rowOff>0</xdr:rowOff>
    </xdr:to>
    <xdr:sp macro="" textlink="">
      <xdr:nvSpPr>
        <xdr:cNvPr id="423779" name="Line 12">
          <a:extLst>
            <a:ext uri="{FF2B5EF4-FFF2-40B4-BE49-F238E27FC236}">
              <a16:creationId xmlns:a16="http://schemas.microsoft.com/office/drawing/2014/main" id="{CAAF3B5A-24D3-68F4-6A0B-5B8BC71064D4}"/>
            </a:ext>
          </a:extLst>
        </xdr:cNvPr>
        <xdr:cNvSpPr>
          <a:spLocks noChangeShapeType="1"/>
        </xdr:cNvSpPr>
      </xdr:nvSpPr>
      <xdr:spPr bwMode="auto">
        <a:xfrm>
          <a:off x="400050" y="6305550"/>
          <a:ext cx="9525" cy="1609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39</xdr:row>
      <xdr:rowOff>0</xdr:rowOff>
    </xdr:from>
    <xdr:to>
      <xdr:col>1</xdr:col>
      <xdr:colOff>9525</xdr:colOff>
      <xdr:row>45</xdr:row>
      <xdr:rowOff>0</xdr:rowOff>
    </xdr:to>
    <xdr:sp macro="" textlink="">
      <xdr:nvSpPr>
        <xdr:cNvPr id="423780" name="Line 12">
          <a:extLst>
            <a:ext uri="{FF2B5EF4-FFF2-40B4-BE49-F238E27FC236}">
              <a16:creationId xmlns:a16="http://schemas.microsoft.com/office/drawing/2014/main" id="{EC6DDF89-D34C-4B92-5286-FEB49BB4DCDD}"/>
            </a:ext>
          </a:extLst>
        </xdr:cNvPr>
        <xdr:cNvSpPr>
          <a:spLocks noChangeShapeType="1"/>
        </xdr:cNvSpPr>
      </xdr:nvSpPr>
      <xdr:spPr bwMode="auto">
        <a:xfrm>
          <a:off x="400050" y="6305550"/>
          <a:ext cx="9525" cy="1609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39</xdr:row>
      <xdr:rowOff>0</xdr:rowOff>
    </xdr:from>
    <xdr:to>
      <xdr:col>1</xdr:col>
      <xdr:colOff>9525</xdr:colOff>
      <xdr:row>45</xdr:row>
      <xdr:rowOff>0</xdr:rowOff>
    </xdr:to>
    <xdr:sp macro="" textlink="">
      <xdr:nvSpPr>
        <xdr:cNvPr id="423781" name="Line 12">
          <a:extLst>
            <a:ext uri="{FF2B5EF4-FFF2-40B4-BE49-F238E27FC236}">
              <a16:creationId xmlns:a16="http://schemas.microsoft.com/office/drawing/2014/main" id="{C61A5FAC-274A-B9A3-FDB2-0F1E2A1E7421}"/>
            </a:ext>
          </a:extLst>
        </xdr:cNvPr>
        <xdr:cNvSpPr>
          <a:spLocks noChangeShapeType="1"/>
        </xdr:cNvSpPr>
      </xdr:nvSpPr>
      <xdr:spPr bwMode="auto">
        <a:xfrm>
          <a:off x="400050" y="6305550"/>
          <a:ext cx="9525" cy="1609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39</xdr:row>
      <xdr:rowOff>0</xdr:rowOff>
    </xdr:from>
    <xdr:to>
      <xdr:col>1</xdr:col>
      <xdr:colOff>9525</xdr:colOff>
      <xdr:row>45</xdr:row>
      <xdr:rowOff>0</xdr:rowOff>
    </xdr:to>
    <xdr:sp macro="" textlink="">
      <xdr:nvSpPr>
        <xdr:cNvPr id="423782" name="Line 12">
          <a:extLst>
            <a:ext uri="{FF2B5EF4-FFF2-40B4-BE49-F238E27FC236}">
              <a16:creationId xmlns:a16="http://schemas.microsoft.com/office/drawing/2014/main" id="{5D188806-0770-32C9-FEA0-1012DB2C7B71}"/>
            </a:ext>
          </a:extLst>
        </xdr:cNvPr>
        <xdr:cNvSpPr>
          <a:spLocks noChangeShapeType="1"/>
        </xdr:cNvSpPr>
      </xdr:nvSpPr>
      <xdr:spPr bwMode="auto">
        <a:xfrm>
          <a:off x="400050" y="6305550"/>
          <a:ext cx="9525" cy="1609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39</xdr:row>
      <xdr:rowOff>0</xdr:rowOff>
    </xdr:from>
    <xdr:to>
      <xdr:col>1</xdr:col>
      <xdr:colOff>9525</xdr:colOff>
      <xdr:row>45</xdr:row>
      <xdr:rowOff>0</xdr:rowOff>
    </xdr:to>
    <xdr:sp macro="" textlink="">
      <xdr:nvSpPr>
        <xdr:cNvPr id="423783" name="Line 12">
          <a:extLst>
            <a:ext uri="{FF2B5EF4-FFF2-40B4-BE49-F238E27FC236}">
              <a16:creationId xmlns:a16="http://schemas.microsoft.com/office/drawing/2014/main" id="{9F7A6D68-938A-80CC-DF67-52873EA5805B}"/>
            </a:ext>
          </a:extLst>
        </xdr:cNvPr>
        <xdr:cNvSpPr>
          <a:spLocks noChangeShapeType="1"/>
        </xdr:cNvSpPr>
      </xdr:nvSpPr>
      <xdr:spPr bwMode="auto">
        <a:xfrm>
          <a:off x="400050" y="6305550"/>
          <a:ext cx="9525" cy="1609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39</xdr:row>
      <xdr:rowOff>0</xdr:rowOff>
    </xdr:from>
    <xdr:to>
      <xdr:col>1</xdr:col>
      <xdr:colOff>9525</xdr:colOff>
      <xdr:row>45</xdr:row>
      <xdr:rowOff>0</xdr:rowOff>
    </xdr:to>
    <xdr:sp macro="" textlink="">
      <xdr:nvSpPr>
        <xdr:cNvPr id="423784" name="Line 12">
          <a:extLst>
            <a:ext uri="{FF2B5EF4-FFF2-40B4-BE49-F238E27FC236}">
              <a16:creationId xmlns:a16="http://schemas.microsoft.com/office/drawing/2014/main" id="{A2FEDAE3-8E2A-0A05-80FF-4DB68DCB12D0}"/>
            </a:ext>
          </a:extLst>
        </xdr:cNvPr>
        <xdr:cNvSpPr>
          <a:spLocks noChangeShapeType="1"/>
        </xdr:cNvSpPr>
      </xdr:nvSpPr>
      <xdr:spPr bwMode="auto">
        <a:xfrm>
          <a:off x="400050" y="6305550"/>
          <a:ext cx="9525" cy="1609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39</xdr:row>
      <xdr:rowOff>0</xdr:rowOff>
    </xdr:from>
    <xdr:to>
      <xdr:col>1</xdr:col>
      <xdr:colOff>9525</xdr:colOff>
      <xdr:row>45</xdr:row>
      <xdr:rowOff>0</xdr:rowOff>
    </xdr:to>
    <xdr:sp macro="" textlink="">
      <xdr:nvSpPr>
        <xdr:cNvPr id="423785" name="Line 12">
          <a:extLst>
            <a:ext uri="{FF2B5EF4-FFF2-40B4-BE49-F238E27FC236}">
              <a16:creationId xmlns:a16="http://schemas.microsoft.com/office/drawing/2014/main" id="{F7BC5FA8-3373-F49A-D495-6EF26224391A}"/>
            </a:ext>
          </a:extLst>
        </xdr:cNvPr>
        <xdr:cNvSpPr>
          <a:spLocks noChangeShapeType="1"/>
        </xdr:cNvSpPr>
      </xdr:nvSpPr>
      <xdr:spPr bwMode="auto">
        <a:xfrm>
          <a:off x="400050" y="6305550"/>
          <a:ext cx="9525" cy="1609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39</xdr:row>
      <xdr:rowOff>0</xdr:rowOff>
    </xdr:from>
    <xdr:to>
      <xdr:col>1</xdr:col>
      <xdr:colOff>9525</xdr:colOff>
      <xdr:row>45</xdr:row>
      <xdr:rowOff>0</xdr:rowOff>
    </xdr:to>
    <xdr:sp macro="" textlink="">
      <xdr:nvSpPr>
        <xdr:cNvPr id="423786" name="Line 12">
          <a:extLst>
            <a:ext uri="{FF2B5EF4-FFF2-40B4-BE49-F238E27FC236}">
              <a16:creationId xmlns:a16="http://schemas.microsoft.com/office/drawing/2014/main" id="{13B2533B-169E-CBA0-CB18-5848C806405C}"/>
            </a:ext>
          </a:extLst>
        </xdr:cNvPr>
        <xdr:cNvSpPr>
          <a:spLocks noChangeShapeType="1"/>
        </xdr:cNvSpPr>
      </xdr:nvSpPr>
      <xdr:spPr bwMode="auto">
        <a:xfrm>
          <a:off x="400050" y="6305550"/>
          <a:ext cx="9525" cy="1609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35</xdr:row>
      <xdr:rowOff>0</xdr:rowOff>
    </xdr:from>
    <xdr:to>
      <xdr:col>1</xdr:col>
      <xdr:colOff>9525</xdr:colOff>
      <xdr:row>57</xdr:row>
      <xdr:rowOff>0</xdr:rowOff>
    </xdr:to>
    <xdr:sp macro="" textlink="">
      <xdr:nvSpPr>
        <xdr:cNvPr id="423787" name="Line 12">
          <a:extLst>
            <a:ext uri="{FF2B5EF4-FFF2-40B4-BE49-F238E27FC236}">
              <a16:creationId xmlns:a16="http://schemas.microsoft.com/office/drawing/2014/main" id="{4F73F9FE-C775-5E89-194B-0346F0A00947}"/>
            </a:ext>
          </a:extLst>
        </xdr:cNvPr>
        <xdr:cNvSpPr>
          <a:spLocks noChangeShapeType="1"/>
        </xdr:cNvSpPr>
      </xdr:nvSpPr>
      <xdr:spPr bwMode="auto">
        <a:xfrm>
          <a:off x="400050" y="5534025"/>
          <a:ext cx="9525" cy="4867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35</xdr:row>
      <xdr:rowOff>0</xdr:rowOff>
    </xdr:from>
    <xdr:to>
      <xdr:col>1</xdr:col>
      <xdr:colOff>9525</xdr:colOff>
      <xdr:row>57</xdr:row>
      <xdr:rowOff>0</xdr:rowOff>
    </xdr:to>
    <xdr:sp macro="" textlink="">
      <xdr:nvSpPr>
        <xdr:cNvPr id="423788" name="Line 12">
          <a:extLst>
            <a:ext uri="{FF2B5EF4-FFF2-40B4-BE49-F238E27FC236}">
              <a16:creationId xmlns:a16="http://schemas.microsoft.com/office/drawing/2014/main" id="{F817E16E-B94A-1352-5AB9-EEF0914818B5}"/>
            </a:ext>
          </a:extLst>
        </xdr:cNvPr>
        <xdr:cNvSpPr>
          <a:spLocks noChangeShapeType="1"/>
        </xdr:cNvSpPr>
      </xdr:nvSpPr>
      <xdr:spPr bwMode="auto">
        <a:xfrm>
          <a:off x="400050" y="5534025"/>
          <a:ext cx="9525" cy="4867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35</xdr:row>
      <xdr:rowOff>0</xdr:rowOff>
    </xdr:from>
    <xdr:to>
      <xdr:col>1</xdr:col>
      <xdr:colOff>9525</xdr:colOff>
      <xdr:row>57</xdr:row>
      <xdr:rowOff>0</xdr:rowOff>
    </xdr:to>
    <xdr:sp macro="" textlink="">
      <xdr:nvSpPr>
        <xdr:cNvPr id="423789" name="Line 12">
          <a:extLst>
            <a:ext uri="{FF2B5EF4-FFF2-40B4-BE49-F238E27FC236}">
              <a16:creationId xmlns:a16="http://schemas.microsoft.com/office/drawing/2014/main" id="{AADE0DB4-1E0C-7DD9-AC36-3E24AE0D9571}"/>
            </a:ext>
          </a:extLst>
        </xdr:cNvPr>
        <xdr:cNvSpPr>
          <a:spLocks noChangeShapeType="1"/>
        </xdr:cNvSpPr>
      </xdr:nvSpPr>
      <xdr:spPr bwMode="auto">
        <a:xfrm>
          <a:off x="400050" y="5534025"/>
          <a:ext cx="9525" cy="4867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35</xdr:row>
      <xdr:rowOff>0</xdr:rowOff>
    </xdr:from>
    <xdr:to>
      <xdr:col>1</xdr:col>
      <xdr:colOff>9525</xdr:colOff>
      <xdr:row>57</xdr:row>
      <xdr:rowOff>0</xdr:rowOff>
    </xdr:to>
    <xdr:sp macro="" textlink="">
      <xdr:nvSpPr>
        <xdr:cNvPr id="423790" name="Line 12">
          <a:extLst>
            <a:ext uri="{FF2B5EF4-FFF2-40B4-BE49-F238E27FC236}">
              <a16:creationId xmlns:a16="http://schemas.microsoft.com/office/drawing/2014/main" id="{1E83C317-54C1-293F-FF75-406F54411CE5}"/>
            </a:ext>
          </a:extLst>
        </xdr:cNvPr>
        <xdr:cNvSpPr>
          <a:spLocks noChangeShapeType="1"/>
        </xdr:cNvSpPr>
      </xdr:nvSpPr>
      <xdr:spPr bwMode="auto">
        <a:xfrm>
          <a:off x="400050" y="5534025"/>
          <a:ext cx="9525" cy="4867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35</xdr:row>
      <xdr:rowOff>0</xdr:rowOff>
    </xdr:from>
    <xdr:to>
      <xdr:col>1</xdr:col>
      <xdr:colOff>9525</xdr:colOff>
      <xdr:row>57</xdr:row>
      <xdr:rowOff>0</xdr:rowOff>
    </xdr:to>
    <xdr:sp macro="" textlink="">
      <xdr:nvSpPr>
        <xdr:cNvPr id="423791" name="Line 12">
          <a:extLst>
            <a:ext uri="{FF2B5EF4-FFF2-40B4-BE49-F238E27FC236}">
              <a16:creationId xmlns:a16="http://schemas.microsoft.com/office/drawing/2014/main" id="{2F32D6A7-8A36-947B-A7A1-C0787FE66636}"/>
            </a:ext>
          </a:extLst>
        </xdr:cNvPr>
        <xdr:cNvSpPr>
          <a:spLocks noChangeShapeType="1"/>
        </xdr:cNvSpPr>
      </xdr:nvSpPr>
      <xdr:spPr bwMode="auto">
        <a:xfrm>
          <a:off x="400050" y="5534025"/>
          <a:ext cx="9525" cy="4867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35</xdr:row>
      <xdr:rowOff>0</xdr:rowOff>
    </xdr:from>
    <xdr:to>
      <xdr:col>1</xdr:col>
      <xdr:colOff>9525</xdr:colOff>
      <xdr:row>57</xdr:row>
      <xdr:rowOff>0</xdr:rowOff>
    </xdr:to>
    <xdr:sp macro="" textlink="">
      <xdr:nvSpPr>
        <xdr:cNvPr id="423792" name="Line 12">
          <a:extLst>
            <a:ext uri="{FF2B5EF4-FFF2-40B4-BE49-F238E27FC236}">
              <a16:creationId xmlns:a16="http://schemas.microsoft.com/office/drawing/2014/main" id="{3C4075E1-A19F-C76C-2A2E-0B59B6813F8C}"/>
            </a:ext>
          </a:extLst>
        </xdr:cNvPr>
        <xdr:cNvSpPr>
          <a:spLocks noChangeShapeType="1"/>
        </xdr:cNvSpPr>
      </xdr:nvSpPr>
      <xdr:spPr bwMode="auto">
        <a:xfrm>
          <a:off x="400050" y="5534025"/>
          <a:ext cx="9525" cy="4867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35</xdr:row>
      <xdr:rowOff>0</xdr:rowOff>
    </xdr:from>
    <xdr:to>
      <xdr:col>1</xdr:col>
      <xdr:colOff>9525</xdr:colOff>
      <xdr:row>57</xdr:row>
      <xdr:rowOff>0</xdr:rowOff>
    </xdr:to>
    <xdr:sp macro="" textlink="">
      <xdr:nvSpPr>
        <xdr:cNvPr id="423793" name="Line 12">
          <a:extLst>
            <a:ext uri="{FF2B5EF4-FFF2-40B4-BE49-F238E27FC236}">
              <a16:creationId xmlns:a16="http://schemas.microsoft.com/office/drawing/2014/main" id="{482B49C4-A463-A411-A5C7-AC578438B34F}"/>
            </a:ext>
          </a:extLst>
        </xdr:cNvPr>
        <xdr:cNvSpPr>
          <a:spLocks noChangeShapeType="1"/>
        </xdr:cNvSpPr>
      </xdr:nvSpPr>
      <xdr:spPr bwMode="auto">
        <a:xfrm>
          <a:off x="400050" y="5534025"/>
          <a:ext cx="9525" cy="4867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35</xdr:row>
      <xdr:rowOff>0</xdr:rowOff>
    </xdr:from>
    <xdr:to>
      <xdr:col>1</xdr:col>
      <xdr:colOff>9525</xdr:colOff>
      <xdr:row>57</xdr:row>
      <xdr:rowOff>0</xdr:rowOff>
    </xdr:to>
    <xdr:sp macro="" textlink="">
      <xdr:nvSpPr>
        <xdr:cNvPr id="423794" name="Line 12">
          <a:extLst>
            <a:ext uri="{FF2B5EF4-FFF2-40B4-BE49-F238E27FC236}">
              <a16:creationId xmlns:a16="http://schemas.microsoft.com/office/drawing/2014/main" id="{5B7A7147-F984-E168-D365-4B7135D04B27}"/>
            </a:ext>
          </a:extLst>
        </xdr:cNvPr>
        <xdr:cNvSpPr>
          <a:spLocks noChangeShapeType="1"/>
        </xdr:cNvSpPr>
      </xdr:nvSpPr>
      <xdr:spPr bwMode="auto">
        <a:xfrm>
          <a:off x="400050" y="5534025"/>
          <a:ext cx="9525" cy="4867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35</xdr:row>
      <xdr:rowOff>0</xdr:rowOff>
    </xdr:from>
    <xdr:to>
      <xdr:col>1</xdr:col>
      <xdr:colOff>9525</xdr:colOff>
      <xdr:row>57</xdr:row>
      <xdr:rowOff>0</xdr:rowOff>
    </xdr:to>
    <xdr:sp macro="" textlink="">
      <xdr:nvSpPr>
        <xdr:cNvPr id="423795" name="Line 12">
          <a:extLst>
            <a:ext uri="{FF2B5EF4-FFF2-40B4-BE49-F238E27FC236}">
              <a16:creationId xmlns:a16="http://schemas.microsoft.com/office/drawing/2014/main" id="{F951AFD8-466D-1226-EC6D-8EE4DEBDDA58}"/>
            </a:ext>
          </a:extLst>
        </xdr:cNvPr>
        <xdr:cNvSpPr>
          <a:spLocks noChangeShapeType="1"/>
        </xdr:cNvSpPr>
      </xdr:nvSpPr>
      <xdr:spPr bwMode="auto">
        <a:xfrm>
          <a:off x="400050" y="5534025"/>
          <a:ext cx="9525" cy="4867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35</xdr:row>
      <xdr:rowOff>0</xdr:rowOff>
    </xdr:from>
    <xdr:to>
      <xdr:col>1</xdr:col>
      <xdr:colOff>9525</xdr:colOff>
      <xdr:row>57</xdr:row>
      <xdr:rowOff>0</xdr:rowOff>
    </xdr:to>
    <xdr:sp macro="" textlink="">
      <xdr:nvSpPr>
        <xdr:cNvPr id="423796" name="Line 12">
          <a:extLst>
            <a:ext uri="{FF2B5EF4-FFF2-40B4-BE49-F238E27FC236}">
              <a16:creationId xmlns:a16="http://schemas.microsoft.com/office/drawing/2014/main" id="{DB91DB68-74AC-BF19-3C75-7692597620B8}"/>
            </a:ext>
          </a:extLst>
        </xdr:cNvPr>
        <xdr:cNvSpPr>
          <a:spLocks noChangeShapeType="1"/>
        </xdr:cNvSpPr>
      </xdr:nvSpPr>
      <xdr:spPr bwMode="auto">
        <a:xfrm>
          <a:off x="400050" y="5534025"/>
          <a:ext cx="9525" cy="4867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35</xdr:row>
      <xdr:rowOff>0</xdr:rowOff>
    </xdr:from>
    <xdr:to>
      <xdr:col>1</xdr:col>
      <xdr:colOff>9525</xdr:colOff>
      <xdr:row>57</xdr:row>
      <xdr:rowOff>0</xdr:rowOff>
    </xdr:to>
    <xdr:sp macro="" textlink="">
      <xdr:nvSpPr>
        <xdr:cNvPr id="423797" name="Line 12">
          <a:extLst>
            <a:ext uri="{FF2B5EF4-FFF2-40B4-BE49-F238E27FC236}">
              <a16:creationId xmlns:a16="http://schemas.microsoft.com/office/drawing/2014/main" id="{169B1D57-3655-4951-6A25-EC699F39E008}"/>
            </a:ext>
          </a:extLst>
        </xdr:cNvPr>
        <xdr:cNvSpPr>
          <a:spLocks noChangeShapeType="1"/>
        </xdr:cNvSpPr>
      </xdr:nvSpPr>
      <xdr:spPr bwMode="auto">
        <a:xfrm>
          <a:off x="400050" y="5534025"/>
          <a:ext cx="9525" cy="4867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35</xdr:row>
      <xdr:rowOff>0</xdr:rowOff>
    </xdr:from>
    <xdr:to>
      <xdr:col>1</xdr:col>
      <xdr:colOff>9525</xdr:colOff>
      <xdr:row>57</xdr:row>
      <xdr:rowOff>0</xdr:rowOff>
    </xdr:to>
    <xdr:sp macro="" textlink="">
      <xdr:nvSpPr>
        <xdr:cNvPr id="423798" name="Line 12">
          <a:extLst>
            <a:ext uri="{FF2B5EF4-FFF2-40B4-BE49-F238E27FC236}">
              <a16:creationId xmlns:a16="http://schemas.microsoft.com/office/drawing/2014/main" id="{40E29911-F87D-1541-EE90-8E493D81B255}"/>
            </a:ext>
          </a:extLst>
        </xdr:cNvPr>
        <xdr:cNvSpPr>
          <a:spLocks noChangeShapeType="1"/>
        </xdr:cNvSpPr>
      </xdr:nvSpPr>
      <xdr:spPr bwMode="auto">
        <a:xfrm>
          <a:off x="400050" y="5534025"/>
          <a:ext cx="9525" cy="4867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35</xdr:row>
      <xdr:rowOff>0</xdr:rowOff>
    </xdr:from>
    <xdr:to>
      <xdr:col>1</xdr:col>
      <xdr:colOff>9525</xdr:colOff>
      <xdr:row>57</xdr:row>
      <xdr:rowOff>0</xdr:rowOff>
    </xdr:to>
    <xdr:sp macro="" textlink="">
      <xdr:nvSpPr>
        <xdr:cNvPr id="423799" name="Line 12">
          <a:extLst>
            <a:ext uri="{FF2B5EF4-FFF2-40B4-BE49-F238E27FC236}">
              <a16:creationId xmlns:a16="http://schemas.microsoft.com/office/drawing/2014/main" id="{ED2A47DE-7497-8C9E-518C-4A792561AC54}"/>
            </a:ext>
          </a:extLst>
        </xdr:cNvPr>
        <xdr:cNvSpPr>
          <a:spLocks noChangeShapeType="1"/>
        </xdr:cNvSpPr>
      </xdr:nvSpPr>
      <xdr:spPr bwMode="auto">
        <a:xfrm>
          <a:off x="400050" y="5534025"/>
          <a:ext cx="9525" cy="4867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35</xdr:row>
      <xdr:rowOff>0</xdr:rowOff>
    </xdr:from>
    <xdr:to>
      <xdr:col>1</xdr:col>
      <xdr:colOff>9525</xdr:colOff>
      <xdr:row>57</xdr:row>
      <xdr:rowOff>0</xdr:rowOff>
    </xdr:to>
    <xdr:sp macro="" textlink="">
      <xdr:nvSpPr>
        <xdr:cNvPr id="423800" name="Line 12">
          <a:extLst>
            <a:ext uri="{FF2B5EF4-FFF2-40B4-BE49-F238E27FC236}">
              <a16:creationId xmlns:a16="http://schemas.microsoft.com/office/drawing/2014/main" id="{01244054-1B09-9B45-47B4-24BD84C57E27}"/>
            </a:ext>
          </a:extLst>
        </xdr:cNvPr>
        <xdr:cNvSpPr>
          <a:spLocks noChangeShapeType="1"/>
        </xdr:cNvSpPr>
      </xdr:nvSpPr>
      <xdr:spPr bwMode="auto">
        <a:xfrm>
          <a:off x="400050" y="5534025"/>
          <a:ext cx="9525" cy="4867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33</xdr:row>
      <xdr:rowOff>0</xdr:rowOff>
    </xdr:from>
    <xdr:to>
      <xdr:col>1</xdr:col>
      <xdr:colOff>9525</xdr:colOff>
      <xdr:row>42</xdr:row>
      <xdr:rowOff>0</xdr:rowOff>
    </xdr:to>
    <xdr:sp macro="" textlink="">
      <xdr:nvSpPr>
        <xdr:cNvPr id="424367" name="Line 12">
          <a:extLst>
            <a:ext uri="{FF2B5EF4-FFF2-40B4-BE49-F238E27FC236}">
              <a16:creationId xmlns:a16="http://schemas.microsoft.com/office/drawing/2014/main" id="{F67B1CAE-5F6F-E939-FB61-832C2812B495}"/>
            </a:ext>
          </a:extLst>
        </xdr:cNvPr>
        <xdr:cNvSpPr>
          <a:spLocks noChangeShapeType="1"/>
        </xdr:cNvSpPr>
      </xdr:nvSpPr>
      <xdr:spPr bwMode="auto">
        <a:xfrm>
          <a:off x="400050" y="5400675"/>
          <a:ext cx="9525" cy="20764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9525</xdr:colOff>
      <xdr:row>42</xdr:row>
      <xdr:rowOff>0</xdr:rowOff>
    </xdr:to>
    <xdr:sp macro="" textlink="">
      <xdr:nvSpPr>
        <xdr:cNvPr id="424368" name="Line 12">
          <a:extLst>
            <a:ext uri="{FF2B5EF4-FFF2-40B4-BE49-F238E27FC236}">
              <a16:creationId xmlns:a16="http://schemas.microsoft.com/office/drawing/2014/main" id="{2303CFBC-4B82-46A9-2627-33DB646037EF}"/>
            </a:ext>
          </a:extLst>
        </xdr:cNvPr>
        <xdr:cNvSpPr>
          <a:spLocks noChangeShapeType="1"/>
        </xdr:cNvSpPr>
      </xdr:nvSpPr>
      <xdr:spPr bwMode="auto">
        <a:xfrm>
          <a:off x="400050" y="5400675"/>
          <a:ext cx="9525" cy="20764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9525</xdr:colOff>
      <xdr:row>42</xdr:row>
      <xdr:rowOff>0</xdr:rowOff>
    </xdr:to>
    <xdr:sp macro="" textlink="">
      <xdr:nvSpPr>
        <xdr:cNvPr id="424369" name="Line 12">
          <a:extLst>
            <a:ext uri="{FF2B5EF4-FFF2-40B4-BE49-F238E27FC236}">
              <a16:creationId xmlns:a16="http://schemas.microsoft.com/office/drawing/2014/main" id="{4E5FF9E0-18FA-7366-7C96-9E4A72FADB00}"/>
            </a:ext>
          </a:extLst>
        </xdr:cNvPr>
        <xdr:cNvSpPr>
          <a:spLocks noChangeShapeType="1"/>
        </xdr:cNvSpPr>
      </xdr:nvSpPr>
      <xdr:spPr bwMode="auto">
        <a:xfrm>
          <a:off x="400050" y="5400675"/>
          <a:ext cx="9525" cy="20764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9525</xdr:colOff>
      <xdr:row>42</xdr:row>
      <xdr:rowOff>0</xdr:rowOff>
    </xdr:to>
    <xdr:sp macro="" textlink="">
      <xdr:nvSpPr>
        <xdr:cNvPr id="424370" name="Line 12">
          <a:extLst>
            <a:ext uri="{FF2B5EF4-FFF2-40B4-BE49-F238E27FC236}">
              <a16:creationId xmlns:a16="http://schemas.microsoft.com/office/drawing/2014/main" id="{54ADCF63-1511-20FC-8BB6-253D1902E9DB}"/>
            </a:ext>
          </a:extLst>
        </xdr:cNvPr>
        <xdr:cNvSpPr>
          <a:spLocks noChangeShapeType="1"/>
        </xdr:cNvSpPr>
      </xdr:nvSpPr>
      <xdr:spPr bwMode="auto">
        <a:xfrm>
          <a:off x="400050" y="5400675"/>
          <a:ext cx="9525" cy="20764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9525</xdr:colOff>
      <xdr:row>42</xdr:row>
      <xdr:rowOff>0</xdr:rowOff>
    </xdr:to>
    <xdr:sp macro="" textlink="">
      <xdr:nvSpPr>
        <xdr:cNvPr id="424371" name="Line 12">
          <a:extLst>
            <a:ext uri="{FF2B5EF4-FFF2-40B4-BE49-F238E27FC236}">
              <a16:creationId xmlns:a16="http://schemas.microsoft.com/office/drawing/2014/main" id="{ECF7A479-9DF5-48E9-BA36-4DE3FB532C6A}"/>
            </a:ext>
          </a:extLst>
        </xdr:cNvPr>
        <xdr:cNvSpPr>
          <a:spLocks noChangeShapeType="1"/>
        </xdr:cNvSpPr>
      </xdr:nvSpPr>
      <xdr:spPr bwMode="auto">
        <a:xfrm>
          <a:off x="400050" y="5400675"/>
          <a:ext cx="9525" cy="20764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9525</xdr:colOff>
      <xdr:row>42</xdr:row>
      <xdr:rowOff>0</xdr:rowOff>
    </xdr:to>
    <xdr:sp macro="" textlink="">
      <xdr:nvSpPr>
        <xdr:cNvPr id="424372" name="Line 12">
          <a:extLst>
            <a:ext uri="{FF2B5EF4-FFF2-40B4-BE49-F238E27FC236}">
              <a16:creationId xmlns:a16="http://schemas.microsoft.com/office/drawing/2014/main" id="{929C37C0-B03C-784F-4D7D-25E9A889A2C6}"/>
            </a:ext>
          </a:extLst>
        </xdr:cNvPr>
        <xdr:cNvSpPr>
          <a:spLocks noChangeShapeType="1"/>
        </xdr:cNvSpPr>
      </xdr:nvSpPr>
      <xdr:spPr bwMode="auto">
        <a:xfrm>
          <a:off x="400050" y="5400675"/>
          <a:ext cx="9525" cy="20764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9525</xdr:colOff>
      <xdr:row>42</xdr:row>
      <xdr:rowOff>0</xdr:rowOff>
    </xdr:to>
    <xdr:sp macro="" textlink="">
      <xdr:nvSpPr>
        <xdr:cNvPr id="424373" name="Line 12">
          <a:extLst>
            <a:ext uri="{FF2B5EF4-FFF2-40B4-BE49-F238E27FC236}">
              <a16:creationId xmlns:a16="http://schemas.microsoft.com/office/drawing/2014/main" id="{3FFFF570-51A2-E870-55D5-EFD2890FBF10}"/>
            </a:ext>
          </a:extLst>
        </xdr:cNvPr>
        <xdr:cNvSpPr>
          <a:spLocks noChangeShapeType="1"/>
        </xdr:cNvSpPr>
      </xdr:nvSpPr>
      <xdr:spPr bwMode="auto">
        <a:xfrm>
          <a:off x="400050" y="5400675"/>
          <a:ext cx="9525" cy="20764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9525</xdr:colOff>
      <xdr:row>42</xdr:row>
      <xdr:rowOff>0</xdr:rowOff>
    </xdr:to>
    <xdr:sp macro="" textlink="">
      <xdr:nvSpPr>
        <xdr:cNvPr id="424374" name="Line 12">
          <a:extLst>
            <a:ext uri="{FF2B5EF4-FFF2-40B4-BE49-F238E27FC236}">
              <a16:creationId xmlns:a16="http://schemas.microsoft.com/office/drawing/2014/main" id="{0AE02E07-D2CB-A699-4E20-EF55286BD123}"/>
            </a:ext>
          </a:extLst>
        </xdr:cNvPr>
        <xdr:cNvSpPr>
          <a:spLocks noChangeShapeType="1"/>
        </xdr:cNvSpPr>
      </xdr:nvSpPr>
      <xdr:spPr bwMode="auto">
        <a:xfrm>
          <a:off x="400050" y="5400675"/>
          <a:ext cx="9525" cy="20764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9525</xdr:colOff>
      <xdr:row>42</xdr:row>
      <xdr:rowOff>0</xdr:rowOff>
    </xdr:to>
    <xdr:sp macro="" textlink="">
      <xdr:nvSpPr>
        <xdr:cNvPr id="424375" name="Line 12">
          <a:extLst>
            <a:ext uri="{FF2B5EF4-FFF2-40B4-BE49-F238E27FC236}">
              <a16:creationId xmlns:a16="http://schemas.microsoft.com/office/drawing/2014/main" id="{978818E6-3EFB-9E16-76F2-BBF54BE4BEE5}"/>
            </a:ext>
          </a:extLst>
        </xdr:cNvPr>
        <xdr:cNvSpPr>
          <a:spLocks noChangeShapeType="1"/>
        </xdr:cNvSpPr>
      </xdr:nvSpPr>
      <xdr:spPr bwMode="auto">
        <a:xfrm>
          <a:off x="400050" y="5400675"/>
          <a:ext cx="9525" cy="20764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9525</xdr:colOff>
      <xdr:row>42</xdr:row>
      <xdr:rowOff>0</xdr:rowOff>
    </xdr:to>
    <xdr:sp macro="" textlink="">
      <xdr:nvSpPr>
        <xdr:cNvPr id="424376" name="Line 12">
          <a:extLst>
            <a:ext uri="{FF2B5EF4-FFF2-40B4-BE49-F238E27FC236}">
              <a16:creationId xmlns:a16="http://schemas.microsoft.com/office/drawing/2014/main" id="{9CB68D9C-B6FF-B5F8-9093-F1B168F385DA}"/>
            </a:ext>
          </a:extLst>
        </xdr:cNvPr>
        <xdr:cNvSpPr>
          <a:spLocks noChangeShapeType="1"/>
        </xdr:cNvSpPr>
      </xdr:nvSpPr>
      <xdr:spPr bwMode="auto">
        <a:xfrm>
          <a:off x="400050" y="5400675"/>
          <a:ext cx="9525" cy="20764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9525</xdr:colOff>
      <xdr:row>42</xdr:row>
      <xdr:rowOff>0</xdr:rowOff>
    </xdr:to>
    <xdr:sp macro="" textlink="">
      <xdr:nvSpPr>
        <xdr:cNvPr id="424377" name="Line 12">
          <a:extLst>
            <a:ext uri="{FF2B5EF4-FFF2-40B4-BE49-F238E27FC236}">
              <a16:creationId xmlns:a16="http://schemas.microsoft.com/office/drawing/2014/main" id="{25D6880F-BFB2-8DDA-E16B-46E788A84649}"/>
            </a:ext>
          </a:extLst>
        </xdr:cNvPr>
        <xdr:cNvSpPr>
          <a:spLocks noChangeShapeType="1"/>
        </xdr:cNvSpPr>
      </xdr:nvSpPr>
      <xdr:spPr bwMode="auto">
        <a:xfrm>
          <a:off x="400050" y="5400675"/>
          <a:ext cx="9525" cy="20764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9525</xdr:colOff>
      <xdr:row>42</xdr:row>
      <xdr:rowOff>0</xdr:rowOff>
    </xdr:to>
    <xdr:sp macro="" textlink="">
      <xdr:nvSpPr>
        <xdr:cNvPr id="424378" name="Line 12">
          <a:extLst>
            <a:ext uri="{FF2B5EF4-FFF2-40B4-BE49-F238E27FC236}">
              <a16:creationId xmlns:a16="http://schemas.microsoft.com/office/drawing/2014/main" id="{041A6DAD-CF80-EDEE-1205-680C63B38494}"/>
            </a:ext>
          </a:extLst>
        </xdr:cNvPr>
        <xdr:cNvSpPr>
          <a:spLocks noChangeShapeType="1"/>
        </xdr:cNvSpPr>
      </xdr:nvSpPr>
      <xdr:spPr bwMode="auto">
        <a:xfrm>
          <a:off x="400050" y="5400675"/>
          <a:ext cx="9525" cy="20764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9525</xdr:colOff>
      <xdr:row>42</xdr:row>
      <xdr:rowOff>0</xdr:rowOff>
    </xdr:to>
    <xdr:sp macro="" textlink="">
      <xdr:nvSpPr>
        <xdr:cNvPr id="424379" name="Line 12">
          <a:extLst>
            <a:ext uri="{FF2B5EF4-FFF2-40B4-BE49-F238E27FC236}">
              <a16:creationId xmlns:a16="http://schemas.microsoft.com/office/drawing/2014/main" id="{F881AD97-4281-E8F7-2DA3-3E9735377220}"/>
            </a:ext>
          </a:extLst>
        </xdr:cNvPr>
        <xdr:cNvSpPr>
          <a:spLocks noChangeShapeType="1"/>
        </xdr:cNvSpPr>
      </xdr:nvSpPr>
      <xdr:spPr bwMode="auto">
        <a:xfrm>
          <a:off x="400050" y="5400675"/>
          <a:ext cx="9525" cy="20764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9525</xdr:colOff>
      <xdr:row>42</xdr:row>
      <xdr:rowOff>0</xdr:rowOff>
    </xdr:to>
    <xdr:sp macro="" textlink="">
      <xdr:nvSpPr>
        <xdr:cNvPr id="424380" name="Line 12">
          <a:extLst>
            <a:ext uri="{FF2B5EF4-FFF2-40B4-BE49-F238E27FC236}">
              <a16:creationId xmlns:a16="http://schemas.microsoft.com/office/drawing/2014/main" id="{B44C5342-2A5C-B42C-31EA-3F83284D7FFC}"/>
            </a:ext>
          </a:extLst>
        </xdr:cNvPr>
        <xdr:cNvSpPr>
          <a:spLocks noChangeShapeType="1"/>
        </xdr:cNvSpPr>
      </xdr:nvSpPr>
      <xdr:spPr bwMode="auto">
        <a:xfrm>
          <a:off x="400050" y="5400675"/>
          <a:ext cx="9525" cy="20764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38</xdr:row>
      <xdr:rowOff>0</xdr:rowOff>
    </xdr:from>
    <xdr:to>
      <xdr:col>1</xdr:col>
      <xdr:colOff>9525</xdr:colOff>
      <xdr:row>45</xdr:row>
      <xdr:rowOff>0</xdr:rowOff>
    </xdr:to>
    <xdr:sp macro="" textlink="">
      <xdr:nvSpPr>
        <xdr:cNvPr id="422643" name="Line 12">
          <a:extLst>
            <a:ext uri="{FF2B5EF4-FFF2-40B4-BE49-F238E27FC236}">
              <a16:creationId xmlns:a16="http://schemas.microsoft.com/office/drawing/2014/main" id="{0E4BA439-C447-816D-8114-F003A4208D15}"/>
            </a:ext>
          </a:extLst>
        </xdr:cNvPr>
        <xdr:cNvSpPr>
          <a:spLocks noChangeShapeType="1"/>
        </xdr:cNvSpPr>
      </xdr:nvSpPr>
      <xdr:spPr bwMode="auto">
        <a:xfrm>
          <a:off x="400050" y="6191250"/>
          <a:ext cx="9525" cy="18002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38</xdr:row>
      <xdr:rowOff>0</xdr:rowOff>
    </xdr:from>
    <xdr:to>
      <xdr:col>1</xdr:col>
      <xdr:colOff>9525</xdr:colOff>
      <xdr:row>45</xdr:row>
      <xdr:rowOff>0</xdr:rowOff>
    </xdr:to>
    <xdr:sp macro="" textlink="">
      <xdr:nvSpPr>
        <xdr:cNvPr id="422644" name="Line 12">
          <a:extLst>
            <a:ext uri="{FF2B5EF4-FFF2-40B4-BE49-F238E27FC236}">
              <a16:creationId xmlns:a16="http://schemas.microsoft.com/office/drawing/2014/main" id="{17F67FC8-9AB3-4344-EA35-8E40B1D060E2}"/>
            </a:ext>
          </a:extLst>
        </xdr:cNvPr>
        <xdr:cNvSpPr>
          <a:spLocks noChangeShapeType="1"/>
        </xdr:cNvSpPr>
      </xdr:nvSpPr>
      <xdr:spPr bwMode="auto">
        <a:xfrm>
          <a:off x="400050" y="6191250"/>
          <a:ext cx="9525" cy="18002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38</xdr:row>
      <xdr:rowOff>0</xdr:rowOff>
    </xdr:from>
    <xdr:to>
      <xdr:col>1</xdr:col>
      <xdr:colOff>9525</xdr:colOff>
      <xdr:row>45</xdr:row>
      <xdr:rowOff>0</xdr:rowOff>
    </xdr:to>
    <xdr:sp macro="" textlink="">
      <xdr:nvSpPr>
        <xdr:cNvPr id="422645" name="Line 12">
          <a:extLst>
            <a:ext uri="{FF2B5EF4-FFF2-40B4-BE49-F238E27FC236}">
              <a16:creationId xmlns:a16="http://schemas.microsoft.com/office/drawing/2014/main" id="{C5CDA992-2A4D-9AEF-E913-10888A7ABA20}"/>
            </a:ext>
          </a:extLst>
        </xdr:cNvPr>
        <xdr:cNvSpPr>
          <a:spLocks noChangeShapeType="1"/>
        </xdr:cNvSpPr>
      </xdr:nvSpPr>
      <xdr:spPr bwMode="auto">
        <a:xfrm>
          <a:off x="400050" y="6191250"/>
          <a:ext cx="9525" cy="18002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38</xdr:row>
      <xdr:rowOff>0</xdr:rowOff>
    </xdr:from>
    <xdr:to>
      <xdr:col>1</xdr:col>
      <xdr:colOff>9525</xdr:colOff>
      <xdr:row>45</xdr:row>
      <xdr:rowOff>0</xdr:rowOff>
    </xdr:to>
    <xdr:sp macro="" textlink="">
      <xdr:nvSpPr>
        <xdr:cNvPr id="422646" name="Line 12">
          <a:extLst>
            <a:ext uri="{FF2B5EF4-FFF2-40B4-BE49-F238E27FC236}">
              <a16:creationId xmlns:a16="http://schemas.microsoft.com/office/drawing/2014/main" id="{84282D6D-DFBD-4633-1A82-560FE6B07777}"/>
            </a:ext>
          </a:extLst>
        </xdr:cNvPr>
        <xdr:cNvSpPr>
          <a:spLocks noChangeShapeType="1"/>
        </xdr:cNvSpPr>
      </xdr:nvSpPr>
      <xdr:spPr bwMode="auto">
        <a:xfrm>
          <a:off x="400050" y="6191250"/>
          <a:ext cx="9525" cy="18002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38</xdr:row>
      <xdr:rowOff>0</xdr:rowOff>
    </xdr:from>
    <xdr:to>
      <xdr:col>1</xdr:col>
      <xdr:colOff>9525</xdr:colOff>
      <xdr:row>45</xdr:row>
      <xdr:rowOff>0</xdr:rowOff>
    </xdr:to>
    <xdr:sp macro="" textlink="">
      <xdr:nvSpPr>
        <xdr:cNvPr id="422647" name="Line 12">
          <a:extLst>
            <a:ext uri="{FF2B5EF4-FFF2-40B4-BE49-F238E27FC236}">
              <a16:creationId xmlns:a16="http://schemas.microsoft.com/office/drawing/2014/main" id="{9D99732D-9259-8F71-7115-5169608D96DD}"/>
            </a:ext>
          </a:extLst>
        </xdr:cNvPr>
        <xdr:cNvSpPr>
          <a:spLocks noChangeShapeType="1"/>
        </xdr:cNvSpPr>
      </xdr:nvSpPr>
      <xdr:spPr bwMode="auto">
        <a:xfrm>
          <a:off x="400050" y="6191250"/>
          <a:ext cx="9525" cy="18002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38</xdr:row>
      <xdr:rowOff>0</xdr:rowOff>
    </xdr:from>
    <xdr:to>
      <xdr:col>1</xdr:col>
      <xdr:colOff>9525</xdr:colOff>
      <xdr:row>45</xdr:row>
      <xdr:rowOff>0</xdr:rowOff>
    </xdr:to>
    <xdr:sp macro="" textlink="">
      <xdr:nvSpPr>
        <xdr:cNvPr id="422648" name="Line 12">
          <a:extLst>
            <a:ext uri="{FF2B5EF4-FFF2-40B4-BE49-F238E27FC236}">
              <a16:creationId xmlns:a16="http://schemas.microsoft.com/office/drawing/2014/main" id="{1AC536FD-60E3-6713-1E6B-D62D7204259F}"/>
            </a:ext>
          </a:extLst>
        </xdr:cNvPr>
        <xdr:cNvSpPr>
          <a:spLocks noChangeShapeType="1"/>
        </xdr:cNvSpPr>
      </xdr:nvSpPr>
      <xdr:spPr bwMode="auto">
        <a:xfrm>
          <a:off x="400050" y="6191250"/>
          <a:ext cx="9525" cy="18002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38</xdr:row>
      <xdr:rowOff>0</xdr:rowOff>
    </xdr:from>
    <xdr:to>
      <xdr:col>1</xdr:col>
      <xdr:colOff>9525</xdr:colOff>
      <xdr:row>45</xdr:row>
      <xdr:rowOff>0</xdr:rowOff>
    </xdr:to>
    <xdr:sp macro="" textlink="">
      <xdr:nvSpPr>
        <xdr:cNvPr id="422649" name="Line 12">
          <a:extLst>
            <a:ext uri="{FF2B5EF4-FFF2-40B4-BE49-F238E27FC236}">
              <a16:creationId xmlns:a16="http://schemas.microsoft.com/office/drawing/2014/main" id="{2D1E74A4-4A55-6A88-5C7B-0ECFBA3139E3}"/>
            </a:ext>
          </a:extLst>
        </xdr:cNvPr>
        <xdr:cNvSpPr>
          <a:spLocks noChangeShapeType="1"/>
        </xdr:cNvSpPr>
      </xdr:nvSpPr>
      <xdr:spPr bwMode="auto">
        <a:xfrm>
          <a:off x="400050" y="6191250"/>
          <a:ext cx="9525" cy="18002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38</xdr:row>
      <xdr:rowOff>0</xdr:rowOff>
    </xdr:from>
    <xdr:to>
      <xdr:col>1</xdr:col>
      <xdr:colOff>9525</xdr:colOff>
      <xdr:row>45</xdr:row>
      <xdr:rowOff>0</xdr:rowOff>
    </xdr:to>
    <xdr:sp macro="" textlink="">
      <xdr:nvSpPr>
        <xdr:cNvPr id="422650" name="Line 12">
          <a:extLst>
            <a:ext uri="{FF2B5EF4-FFF2-40B4-BE49-F238E27FC236}">
              <a16:creationId xmlns:a16="http://schemas.microsoft.com/office/drawing/2014/main" id="{B923B4E8-E9E9-64C6-4182-D0B8018C6F8F}"/>
            </a:ext>
          </a:extLst>
        </xdr:cNvPr>
        <xdr:cNvSpPr>
          <a:spLocks noChangeShapeType="1"/>
        </xdr:cNvSpPr>
      </xdr:nvSpPr>
      <xdr:spPr bwMode="auto">
        <a:xfrm>
          <a:off x="400050" y="6191250"/>
          <a:ext cx="9525" cy="18002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38</xdr:row>
      <xdr:rowOff>0</xdr:rowOff>
    </xdr:from>
    <xdr:to>
      <xdr:col>1</xdr:col>
      <xdr:colOff>9525</xdr:colOff>
      <xdr:row>45</xdr:row>
      <xdr:rowOff>0</xdr:rowOff>
    </xdr:to>
    <xdr:sp macro="" textlink="">
      <xdr:nvSpPr>
        <xdr:cNvPr id="422651" name="Line 12">
          <a:extLst>
            <a:ext uri="{FF2B5EF4-FFF2-40B4-BE49-F238E27FC236}">
              <a16:creationId xmlns:a16="http://schemas.microsoft.com/office/drawing/2014/main" id="{E88FD696-68DE-022D-975F-C9DC2C337203}"/>
            </a:ext>
          </a:extLst>
        </xdr:cNvPr>
        <xdr:cNvSpPr>
          <a:spLocks noChangeShapeType="1"/>
        </xdr:cNvSpPr>
      </xdr:nvSpPr>
      <xdr:spPr bwMode="auto">
        <a:xfrm>
          <a:off x="400050" y="6191250"/>
          <a:ext cx="9525" cy="18002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38</xdr:row>
      <xdr:rowOff>0</xdr:rowOff>
    </xdr:from>
    <xdr:to>
      <xdr:col>1</xdr:col>
      <xdr:colOff>9525</xdr:colOff>
      <xdr:row>45</xdr:row>
      <xdr:rowOff>0</xdr:rowOff>
    </xdr:to>
    <xdr:sp macro="" textlink="">
      <xdr:nvSpPr>
        <xdr:cNvPr id="422652" name="Line 12">
          <a:extLst>
            <a:ext uri="{FF2B5EF4-FFF2-40B4-BE49-F238E27FC236}">
              <a16:creationId xmlns:a16="http://schemas.microsoft.com/office/drawing/2014/main" id="{452E576E-3BF2-202B-18C7-261A91A56B4B}"/>
            </a:ext>
          </a:extLst>
        </xdr:cNvPr>
        <xdr:cNvSpPr>
          <a:spLocks noChangeShapeType="1"/>
        </xdr:cNvSpPr>
      </xdr:nvSpPr>
      <xdr:spPr bwMode="auto">
        <a:xfrm>
          <a:off x="400050" y="6191250"/>
          <a:ext cx="9525" cy="18002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40</xdr:row>
      <xdr:rowOff>0</xdr:rowOff>
    </xdr:from>
    <xdr:to>
      <xdr:col>1</xdr:col>
      <xdr:colOff>9525</xdr:colOff>
      <xdr:row>45</xdr:row>
      <xdr:rowOff>0</xdr:rowOff>
    </xdr:to>
    <xdr:sp macro="" textlink="">
      <xdr:nvSpPr>
        <xdr:cNvPr id="422653" name="Line 12">
          <a:extLst>
            <a:ext uri="{FF2B5EF4-FFF2-40B4-BE49-F238E27FC236}">
              <a16:creationId xmlns:a16="http://schemas.microsoft.com/office/drawing/2014/main" id="{8B6512D2-BA49-89C7-A2E5-6F263E241662}"/>
            </a:ext>
          </a:extLst>
        </xdr:cNvPr>
        <xdr:cNvSpPr>
          <a:spLocks noChangeShapeType="1"/>
        </xdr:cNvSpPr>
      </xdr:nvSpPr>
      <xdr:spPr bwMode="auto">
        <a:xfrm>
          <a:off x="400050" y="6781800"/>
          <a:ext cx="9525" cy="12096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40</xdr:row>
      <xdr:rowOff>0</xdr:rowOff>
    </xdr:from>
    <xdr:to>
      <xdr:col>1</xdr:col>
      <xdr:colOff>9525</xdr:colOff>
      <xdr:row>45</xdr:row>
      <xdr:rowOff>0</xdr:rowOff>
    </xdr:to>
    <xdr:sp macro="" textlink="">
      <xdr:nvSpPr>
        <xdr:cNvPr id="422654" name="Line 12">
          <a:extLst>
            <a:ext uri="{FF2B5EF4-FFF2-40B4-BE49-F238E27FC236}">
              <a16:creationId xmlns:a16="http://schemas.microsoft.com/office/drawing/2014/main" id="{AB4681B7-2FAB-7529-EDAF-216E2147B82E}"/>
            </a:ext>
          </a:extLst>
        </xdr:cNvPr>
        <xdr:cNvSpPr>
          <a:spLocks noChangeShapeType="1"/>
        </xdr:cNvSpPr>
      </xdr:nvSpPr>
      <xdr:spPr bwMode="auto">
        <a:xfrm>
          <a:off x="400050" y="6781800"/>
          <a:ext cx="9525" cy="12096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40</xdr:row>
      <xdr:rowOff>0</xdr:rowOff>
    </xdr:from>
    <xdr:to>
      <xdr:col>1</xdr:col>
      <xdr:colOff>9525</xdr:colOff>
      <xdr:row>45</xdr:row>
      <xdr:rowOff>0</xdr:rowOff>
    </xdr:to>
    <xdr:sp macro="" textlink="">
      <xdr:nvSpPr>
        <xdr:cNvPr id="422655" name="Line 12">
          <a:extLst>
            <a:ext uri="{FF2B5EF4-FFF2-40B4-BE49-F238E27FC236}">
              <a16:creationId xmlns:a16="http://schemas.microsoft.com/office/drawing/2014/main" id="{E23253DF-B72E-5C62-C6DE-F3C012D81B9B}"/>
            </a:ext>
          </a:extLst>
        </xdr:cNvPr>
        <xdr:cNvSpPr>
          <a:spLocks noChangeShapeType="1"/>
        </xdr:cNvSpPr>
      </xdr:nvSpPr>
      <xdr:spPr bwMode="auto">
        <a:xfrm>
          <a:off x="400050" y="6781800"/>
          <a:ext cx="9525" cy="12096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40</xdr:row>
      <xdr:rowOff>0</xdr:rowOff>
    </xdr:from>
    <xdr:to>
      <xdr:col>1</xdr:col>
      <xdr:colOff>9525</xdr:colOff>
      <xdr:row>45</xdr:row>
      <xdr:rowOff>0</xdr:rowOff>
    </xdr:to>
    <xdr:sp macro="" textlink="">
      <xdr:nvSpPr>
        <xdr:cNvPr id="422656" name="Line 12">
          <a:extLst>
            <a:ext uri="{FF2B5EF4-FFF2-40B4-BE49-F238E27FC236}">
              <a16:creationId xmlns:a16="http://schemas.microsoft.com/office/drawing/2014/main" id="{1C6376C9-76AA-5917-1F9B-2B184C0387F9}"/>
            </a:ext>
          </a:extLst>
        </xdr:cNvPr>
        <xdr:cNvSpPr>
          <a:spLocks noChangeShapeType="1"/>
        </xdr:cNvSpPr>
      </xdr:nvSpPr>
      <xdr:spPr bwMode="auto">
        <a:xfrm>
          <a:off x="400050" y="6781800"/>
          <a:ext cx="9525" cy="12096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40</xdr:row>
      <xdr:rowOff>0</xdr:rowOff>
    </xdr:from>
    <xdr:to>
      <xdr:col>1</xdr:col>
      <xdr:colOff>9525</xdr:colOff>
      <xdr:row>45</xdr:row>
      <xdr:rowOff>0</xdr:rowOff>
    </xdr:to>
    <xdr:sp macro="" textlink="">
      <xdr:nvSpPr>
        <xdr:cNvPr id="422657" name="Line 12">
          <a:extLst>
            <a:ext uri="{FF2B5EF4-FFF2-40B4-BE49-F238E27FC236}">
              <a16:creationId xmlns:a16="http://schemas.microsoft.com/office/drawing/2014/main" id="{EBB69326-B92C-9650-4DA3-CFEE7F86276F}"/>
            </a:ext>
          </a:extLst>
        </xdr:cNvPr>
        <xdr:cNvSpPr>
          <a:spLocks noChangeShapeType="1"/>
        </xdr:cNvSpPr>
      </xdr:nvSpPr>
      <xdr:spPr bwMode="auto">
        <a:xfrm>
          <a:off x="400050" y="6781800"/>
          <a:ext cx="9525" cy="12096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40</xdr:row>
      <xdr:rowOff>0</xdr:rowOff>
    </xdr:from>
    <xdr:to>
      <xdr:col>1</xdr:col>
      <xdr:colOff>9525</xdr:colOff>
      <xdr:row>45</xdr:row>
      <xdr:rowOff>0</xdr:rowOff>
    </xdr:to>
    <xdr:sp macro="" textlink="">
      <xdr:nvSpPr>
        <xdr:cNvPr id="422658" name="Line 12">
          <a:extLst>
            <a:ext uri="{FF2B5EF4-FFF2-40B4-BE49-F238E27FC236}">
              <a16:creationId xmlns:a16="http://schemas.microsoft.com/office/drawing/2014/main" id="{4EEC9EF1-803B-9AA7-7C29-1C11634E8A22}"/>
            </a:ext>
          </a:extLst>
        </xdr:cNvPr>
        <xdr:cNvSpPr>
          <a:spLocks noChangeShapeType="1"/>
        </xdr:cNvSpPr>
      </xdr:nvSpPr>
      <xdr:spPr bwMode="auto">
        <a:xfrm>
          <a:off x="400050" y="6781800"/>
          <a:ext cx="9525" cy="12096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40</xdr:row>
      <xdr:rowOff>0</xdr:rowOff>
    </xdr:from>
    <xdr:to>
      <xdr:col>1</xdr:col>
      <xdr:colOff>9525</xdr:colOff>
      <xdr:row>45</xdr:row>
      <xdr:rowOff>0</xdr:rowOff>
    </xdr:to>
    <xdr:sp macro="" textlink="">
      <xdr:nvSpPr>
        <xdr:cNvPr id="422659" name="Line 12">
          <a:extLst>
            <a:ext uri="{FF2B5EF4-FFF2-40B4-BE49-F238E27FC236}">
              <a16:creationId xmlns:a16="http://schemas.microsoft.com/office/drawing/2014/main" id="{A0D52CC1-96A0-A351-9166-B15265893955}"/>
            </a:ext>
          </a:extLst>
        </xdr:cNvPr>
        <xdr:cNvSpPr>
          <a:spLocks noChangeShapeType="1"/>
        </xdr:cNvSpPr>
      </xdr:nvSpPr>
      <xdr:spPr bwMode="auto">
        <a:xfrm>
          <a:off x="400050" y="6781800"/>
          <a:ext cx="9525" cy="12096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40</xdr:row>
      <xdr:rowOff>0</xdr:rowOff>
    </xdr:from>
    <xdr:to>
      <xdr:col>1</xdr:col>
      <xdr:colOff>9525</xdr:colOff>
      <xdr:row>45</xdr:row>
      <xdr:rowOff>0</xdr:rowOff>
    </xdr:to>
    <xdr:sp macro="" textlink="">
      <xdr:nvSpPr>
        <xdr:cNvPr id="422660" name="Line 12">
          <a:extLst>
            <a:ext uri="{FF2B5EF4-FFF2-40B4-BE49-F238E27FC236}">
              <a16:creationId xmlns:a16="http://schemas.microsoft.com/office/drawing/2014/main" id="{C873E865-73AD-0FAF-5D40-E465F6992819}"/>
            </a:ext>
          </a:extLst>
        </xdr:cNvPr>
        <xdr:cNvSpPr>
          <a:spLocks noChangeShapeType="1"/>
        </xdr:cNvSpPr>
      </xdr:nvSpPr>
      <xdr:spPr bwMode="auto">
        <a:xfrm>
          <a:off x="400050" y="6781800"/>
          <a:ext cx="9525" cy="12096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40</xdr:row>
      <xdr:rowOff>0</xdr:rowOff>
    </xdr:from>
    <xdr:to>
      <xdr:col>1</xdr:col>
      <xdr:colOff>9525</xdr:colOff>
      <xdr:row>45</xdr:row>
      <xdr:rowOff>0</xdr:rowOff>
    </xdr:to>
    <xdr:sp macro="" textlink="">
      <xdr:nvSpPr>
        <xdr:cNvPr id="422661" name="Line 12">
          <a:extLst>
            <a:ext uri="{FF2B5EF4-FFF2-40B4-BE49-F238E27FC236}">
              <a16:creationId xmlns:a16="http://schemas.microsoft.com/office/drawing/2014/main" id="{0AC25326-6612-7722-B8EB-BB7EBA8474D6}"/>
            </a:ext>
          </a:extLst>
        </xdr:cNvPr>
        <xdr:cNvSpPr>
          <a:spLocks noChangeShapeType="1"/>
        </xdr:cNvSpPr>
      </xdr:nvSpPr>
      <xdr:spPr bwMode="auto">
        <a:xfrm>
          <a:off x="400050" y="6781800"/>
          <a:ext cx="9525" cy="12096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40</xdr:row>
      <xdr:rowOff>0</xdr:rowOff>
    </xdr:from>
    <xdr:to>
      <xdr:col>1</xdr:col>
      <xdr:colOff>9525</xdr:colOff>
      <xdr:row>45</xdr:row>
      <xdr:rowOff>0</xdr:rowOff>
    </xdr:to>
    <xdr:sp macro="" textlink="">
      <xdr:nvSpPr>
        <xdr:cNvPr id="422662" name="Line 12">
          <a:extLst>
            <a:ext uri="{FF2B5EF4-FFF2-40B4-BE49-F238E27FC236}">
              <a16:creationId xmlns:a16="http://schemas.microsoft.com/office/drawing/2014/main" id="{D8B683D7-D9D9-0DF8-7999-34B79233AF1A}"/>
            </a:ext>
          </a:extLst>
        </xdr:cNvPr>
        <xdr:cNvSpPr>
          <a:spLocks noChangeShapeType="1"/>
        </xdr:cNvSpPr>
      </xdr:nvSpPr>
      <xdr:spPr bwMode="auto">
        <a:xfrm>
          <a:off x="400050" y="6781800"/>
          <a:ext cx="9525" cy="12096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40</xdr:row>
      <xdr:rowOff>0</xdr:rowOff>
    </xdr:from>
    <xdr:to>
      <xdr:col>1</xdr:col>
      <xdr:colOff>9525</xdr:colOff>
      <xdr:row>45</xdr:row>
      <xdr:rowOff>0</xdr:rowOff>
    </xdr:to>
    <xdr:sp macro="" textlink="">
      <xdr:nvSpPr>
        <xdr:cNvPr id="422663" name="Line 12">
          <a:extLst>
            <a:ext uri="{FF2B5EF4-FFF2-40B4-BE49-F238E27FC236}">
              <a16:creationId xmlns:a16="http://schemas.microsoft.com/office/drawing/2014/main" id="{62F4E9A4-45D4-0574-4909-BDDE96EB224E}"/>
            </a:ext>
          </a:extLst>
        </xdr:cNvPr>
        <xdr:cNvSpPr>
          <a:spLocks noChangeShapeType="1"/>
        </xdr:cNvSpPr>
      </xdr:nvSpPr>
      <xdr:spPr bwMode="auto">
        <a:xfrm>
          <a:off x="400050" y="6781800"/>
          <a:ext cx="9525" cy="12096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40</xdr:row>
      <xdr:rowOff>0</xdr:rowOff>
    </xdr:from>
    <xdr:to>
      <xdr:col>1</xdr:col>
      <xdr:colOff>9525</xdr:colOff>
      <xdr:row>45</xdr:row>
      <xdr:rowOff>0</xdr:rowOff>
    </xdr:to>
    <xdr:sp macro="" textlink="">
      <xdr:nvSpPr>
        <xdr:cNvPr id="422664" name="Line 12">
          <a:extLst>
            <a:ext uri="{FF2B5EF4-FFF2-40B4-BE49-F238E27FC236}">
              <a16:creationId xmlns:a16="http://schemas.microsoft.com/office/drawing/2014/main" id="{EA4F6E3F-64EC-9E61-F570-239BDCC370ED}"/>
            </a:ext>
          </a:extLst>
        </xdr:cNvPr>
        <xdr:cNvSpPr>
          <a:spLocks noChangeShapeType="1"/>
        </xdr:cNvSpPr>
      </xdr:nvSpPr>
      <xdr:spPr bwMode="auto">
        <a:xfrm>
          <a:off x="400050" y="6781800"/>
          <a:ext cx="9525" cy="12096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44</xdr:row>
      <xdr:rowOff>0</xdr:rowOff>
    </xdr:from>
    <xdr:to>
      <xdr:col>1</xdr:col>
      <xdr:colOff>9525</xdr:colOff>
      <xdr:row>53</xdr:row>
      <xdr:rowOff>0</xdr:rowOff>
    </xdr:to>
    <xdr:sp macro="" textlink="">
      <xdr:nvSpPr>
        <xdr:cNvPr id="425349" name="Line 12">
          <a:extLst>
            <a:ext uri="{FF2B5EF4-FFF2-40B4-BE49-F238E27FC236}">
              <a16:creationId xmlns:a16="http://schemas.microsoft.com/office/drawing/2014/main" id="{0FBE3AFD-5160-B22B-1287-2EFEB7218DCD}"/>
            </a:ext>
          </a:extLst>
        </xdr:cNvPr>
        <xdr:cNvSpPr>
          <a:spLocks noChangeShapeType="1"/>
        </xdr:cNvSpPr>
      </xdr:nvSpPr>
      <xdr:spPr bwMode="auto">
        <a:xfrm>
          <a:off x="400050" y="7620000"/>
          <a:ext cx="9525" cy="1609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44</xdr:row>
      <xdr:rowOff>0</xdr:rowOff>
    </xdr:from>
    <xdr:to>
      <xdr:col>1</xdr:col>
      <xdr:colOff>9525</xdr:colOff>
      <xdr:row>53</xdr:row>
      <xdr:rowOff>0</xdr:rowOff>
    </xdr:to>
    <xdr:sp macro="" textlink="">
      <xdr:nvSpPr>
        <xdr:cNvPr id="425350" name="Line 12">
          <a:extLst>
            <a:ext uri="{FF2B5EF4-FFF2-40B4-BE49-F238E27FC236}">
              <a16:creationId xmlns:a16="http://schemas.microsoft.com/office/drawing/2014/main" id="{120D1572-AFA6-F5DE-ECB1-0749253B75C5}"/>
            </a:ext>
          </a:extLst>
        </xdr:cNvPr>
        <xdr:cNvSpPr>
          <a:spLocks noChangeShapeType="1"/>
        </xdr:cNvSpPr>
      </xdr:nvSpPr>
      <xdr:spPr bwMode="auto">
        <a:xfrm>
          <a:off x="400050" y="7620000"/>
          <a:ext cx="9525" cy="1609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44</xdr:row>
      <xdr:rowOff>0</xdr:rowOff>
    </xdr:from>
    <xdr:to>
      <xdr:col>1</xdr:col>
      <xdr:colOff>9525</xdr:colOff>
      <xdr:row>53</xdr:row>
      <xdr:rowOff>0</xdr:rowOff>
    </xdr:to>
    <xdr:sp macro="" textlink="">
      <xdr:nvSpPr>
        <xdr:cNvPr id="425351" name="Line 12">
          <a:extLst>
            <a:ext uri="{FF2B5EF4-FFF2-40B4-BE49-F238E27FC236}">
              <a16:creationId xmlns:a16="http://schemas.microsoft.com/office/drawing/2014/main" id="{0190BDCB-E8F3-0485-2473-ED60CA1EE3EC}"/>
            </a:ext>
          </a:extLst>
        </xdr:cNvPr>
        <xdr:cNvSpPr>
          <a:spLocks noChangeShapeType="1"/>
        </xdr:cNvSpPr>
      </xdr:nvSpPr>
      <xdr:spPr bwMode="auto">
        <a:xfrm>
          <a:off x="400050" y="7620000"/>
          <a:ext cx="9525" cy="1609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44</xdr:row>
      <xdr:rowOff>0</xdr:rowOff>
    </xdr:from>
    <xdr:to>
      <xdr:col>1</xdr:col>
      <xdr:colOff>9525</xdr:colOff>
      <xdr:row>53</xdr:row>
      <xdr:rowOff>0</xdr:rowOff>
    </xdr:to>
    <xdr:sp macro="" textlink="">
      <xdr:nvSpPr>
        <xdr:cNvPr id="425352" name="Line 12">
          <a:extLst>
            <a:ext uri="{FF2B5EF4-FFF2-40B4-BE49-F238E27FC236}">
              <a16:creationId xmlns:a16="http://schemas.microsoft.com/office/drawing/2014/main" id="{B31B7638-94AF-F841-FD22-9F711F7E6AD5}"/>
            </a:ext>
          </a:extLst>
        </xdr:cNvPr>
        <xdr:cNvSpPr>
          <a:spLocks noChangeShapeType="1"/>
        </xdr:cNvSpPr>
      </xdr:nvSpPr>
      <xdr:spPr bwMode="auto">
        <a:xfrm>
          <a:off x="400050" y="7620000"/>
          <a:ext cx="9525" cy="1609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44</xdr:row>
      <xdr:rowOff>0</xdr:rowOff>
    </xdr:from>
    <xdr:to>
      <xdr:col>1</xdr:col>
      <xdr:colOff>9525</xdr:colOff>
      <xdr:row>53</xdr:row>
      <xdr:rowOff>0</xdr:rowOff>
    </xdr:to>
    <xdr:sp macro="" textlink="">
      <xdr:nvSpPr>
        <xdr:cNvPr id="425353" name="Line 12">
          <a:extLst>
            <a:ext uri="{FF2B5EF4-FFF2-40B4-BE49-F238E27FC236}">
              <a16:creationId xmlns:a16="http://schemas.microsoft.com/office/drawing/2014/main" id="{31C3A49C-AAA9-07B5-9495-F60A3D01B8F9}"/>
            </a:ext>
          </a:extLst>
        </xdr:cNvPr>
        <xdr:cNvSpPr>
          <a:spLocks noChangeShapeType="1"/>
        </xdr:cNvSpPr>
      </xdr:nvSpPr>
      <xdr:spPr bwMode="auto">
        <a:xfrm>
          <a:off x="400050" y="7620000"/>
          <a:ext cx="9525" cy="1609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44</xdr:row>
      <xdr:rowOff>0</xdr:rowOff>
    </xdr:from>
    <xdr:to>
      <xdr:col>1</xdr:col>
      <xdr:colOff>9525</xdr:colOff>
      <xdr:row>53</xdr:row>
      <xdr:rowOff>0</xdr:rowOff>
    </xdr:to>
    <xdr:sp macro="" textlink="">
      <xdr:nvSpPr>
        <xdr:cNvPr id="425354" name="Line 12">
          <a:extLst>
            <a:ext uri="{FF2B5EF4-FFF2-40B4-BE49-F238E27FC236}">
              <a16:creationId xmlns:a16="http://schemas.microsoft.com/office/drawing/2014/main" id="{46B18D9A-6565-B287-3575-C505C7F1257E}"/>
            </a:ext>
          </a:extLst>
        </xdr:cNvPr>
        <xdr:cNvSpPr>
          <a:spLocks noChangeShapeType="1"/>
        </xdr:cNvSpPr>
      </xdr:nvSpPr>
      <xdr:spPr bwMode="auto">
        <a:xfrm>
          <a:off x="400050" y="7620000"/>
          <a:ext cx="9525" cy="1609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44</xdr:row>
      <xdr:rowOff>0</xdr:rowOff>
    </xdr:from>
    <xdr:to>
      <xdr:col>1</xdr:col>
      <xdr:colOff>9525</xdr:colOff>
      <xdr:row>53</xdr:row>
      <xdr:rowOff>0</xdr:rowOff>
    </xdr:to>
    <xdr:sp macro="" textlink="">
      <xdr:nvSpPr>
        <xdr:cNvPr id="425355" name="Line 12">
          <a:extLst>
            <a:ext uri="{FF2B5EF4-FFF2-40B4-BE49-F238E27FC236}">
              <a16:creationId xmlns:a16="http://schemas.microsoft.com/office/drawing/2014/main" id="{EF46801A-A736-3492-C8CC-7E1AE0C5D0BD}"/>
            </a:ext>
          </a:extLst>
        </xdr:cNvPr>
        <xdr:cNvSpPr>
          <a:spLocks noChangeShapeType="1"/>
        </xdr:cNvSpPr>
      </xdr:nvSpPr>
      <xdr:spPr bwMode="auto">
        <a:xfrm>
          <a:off x="400050" y="7620000"/>
          <a:ext cx="9525" cy="1609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44</xdr:row>
      <xdr:rowOff>0</xdr:rowOff>
    </xdr:from>
    <xdr:to>
      <xdr:col>1</xdr:col>
      <xdr:colOff>9525</xdr:colOff>
      <xdr:row>53</xdr:row>
      <xdr:rowOff>0</xdr:rowOff>
    </xdr:to>
    <xdr:sp macro="" textlink="">
      <xdr:nvSpPr>
        <xdr:cNvPr id="425356" name="Line 12">
          <a:extLst>
            <a:ext uri="{FF2B5EF4-FFF2-40B4-BE49-F238E27FC236}">
              <a16:creationId xmlns:a16="http://schemas.microsoft.com/office/drawing/2014/main" id="{323DC202-0A4C-393D-A1D1-9334DC9615C0}"/>
            </a:ext>
          </a:extLst>
        </xdr:cNvPr>
        <xdr:cNvSpPr>
          <a:spLocks noChangeShapeType="1"/>
        </xdr:cNvSpPr>
      </xdr:nvSpPr>
      <xdr:spPr bwMode="auto">
        <a:xfrm>
          <a:off x="400050" y="7620000"/>
          <a:ext cx="9525" cy="1609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44</xdr:row>
      <xdr:rowOff>0</xdr:rowOff>
    </xdr:from>
    <xdr:to>
      <xdr:col>1</xdr:col>
      <xdr:colOff>9525</xdr:colOff>
      <xdr:row>53</xdr:row>
      <xdr:rowOff>0</xdr:rowOff>
    </xdr:to>
    <xdr:sp macro="" textlink="">
      <xdr:nvSpPr>
        <xdr:cNvPr id="425357" name="Line 12">
          <a:extLst>
            <a:ext uri="{FF2B5EF4-FFF2-40B4-BE49-F238E27FC236}">
              <a16:creationId xmlns:a16="http://schemas.microsoft.com/office/drawing/2014/main" id="{7742F722-0CF8-856C-2C8C-5E66775664C2}"/>
            </a:ext>
          </a:extLst>
        </xdr:cNvPr>
        <xdr:cNvSpPr>
          <a:spLocks noChangeShapeType="1"/>
        </xdr:cNvSpPr>
      </xdr:nvSpPr>
      <xdr:spPr bwMode="auto">
        <a:xfrm>
          <a:off x="400050" y="7620000"/>
          <a:ext cx="9525" cy="1609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44</xdr:row>
      <xdr:rowOff>0</xdr:rowOff>
    </xdr:from>
    <xdr:to>
      <xdr:col>1</xdr:col>
      <xdr:colOff>9525</xdr:colOff>
      <xdr:row>53</xdr:row>
      <xdr:rowOff>0</xdr:rowOff>
    </xdr:to>
    <xdr:sp macro="" textlink="">
      <xdr:nvSpPr>
        <xdr:cNvPr id="425358" name="Line 12">
          <a:extLst>
            <a:ext uri="{FF2B5EF4-FFF2-40B4-BE49-F238E27FC236}">
              <a16:creationId xmlns:a16="http://schemas.microsoft.com/office/drawing/2014/main" id="{D6776C57-F697-35F7-647D-0E0F81BCFC43}"/>
            </a:ext>
          </a:extLst>
        </xdr:cNvPr>
        <xdr:cNvSpPr>
          <a:spLocks noChangeShapeType="1"/>
        </xdr:cNvSpPr>
      </xdr:nvSpPr>
      <xdr:spPr bwMode="auto">
        <a:xfrm>
          <a:off x="400050" y="7620000"/>
          <a:ext cx="9525" cy="1609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44</xdr:row>
      <xdr:rowOff>0</xdr:rowOff>
    </xdr:from>
    <xdr:to>
      <xdr:col>1</xdr:col>
      <xdr:colOff>9525</xdr:colOff>
      <xdr:row>53</xdr:row>
      <xdr:rowOff>0</xdr:rowOff>
    </xdr:to>
    <xdr:sp macro="" textlink="">
      <xdr:nvSpPr>
        <xdr:cNvPr id="425359" name="Line 12">
          <a:extLst>
            <a:ext uri="{FF2B5EF4-FFF2-40B4-BE49-F238E27FC236}">
              <a16:creationId xmlns:a16="http://schemas.microsoft.com/office/drawing/2014/main" id="{0BA70650-DEC8-C323-0C40-CB90691552C1}"/>
            </a:ext>
          </a:extLst>
        </xdr:cNvPr>
        <xdr:cNvSpPr>
          <a:spLocks noChangeShapeType="1"/>
        </xdr:cNvSpPr>
      </xdr:nvSpPr>
      <xdr:spPr bwMode="auto">
        <a:xfrm>
          <a:off x="400050" y="7620000"/>
          <a:ext cx="9525" cy="1609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44</xdr:row>
      <xdr:rowOff>0</xdr:rowOff>
    </xdr:from>
    <xdr:to>
      <xdr:col>1</xdr:col>
      <xdr:colOff>9525</xdr:colOff>
      <xdr:row>53</xdr:row>
      <xdr:rowOff>0</xdr:rowOff>
    </xdr:to>
    <xdr:sp macro="" textlink="">
      <xdr:nvSpPr>
        <xdr:cNvPr id="425360" name="Line 12">
          <a:extLst>
            <a:ext uri="{FF2B5EF4-FFF2-40B4-BE49-F238E27FC236}">
              <a16:creationId xmlns:a16="http://schemas.microsoft.com/office/drawing/2014/main" id="{CEBF8A92-FAF6-B4F6-44C0-FA78530800F2}"/>
            </a:ext>
          </a:extLst>
        </xdr:cNvPr>
        <xdr:cNvSpPr>
          <a:spLocks noChangeShapeType="1"/>
        </xdr:cNvSpPr>
      </xdr:nvSpPr>
      <xdr:spPr bwMode="auto">
        <a:xfrm>
          <a:off x="400050" y="7620000"/>
          <a:ext cx="9525" cy="1609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44</xdr:row>
      <xdr:rowOff>0</xdr:rowOff>
    </xdr:from>
    <xdr:to>
      <xdr:col>1</xdr:col>
      <xdr:colOff>9525</xdr:colOff>
      <xdr:row>53</xdr:row>
      <xdr:rowOff>0</xdr:rowOff>
    </xdr:to>
    <xdr:sp macro="" textlink="">
      <xdr:nvSpPr>
        <xdr:cNvPr id="425361" name="Line 12">
          <a:extLst>
            <a:ext uri="{FF2B5EF4-FFF2-40B4-BE49-F238E27FC236}">
              <a16:creationId xmlns:a16="http://schemas.microsoft.com/office/drawing/2014/main" id="{311CA5F2-978D-9854-1B98-D9B063C6A7D2}"/>
            </a:ext>
          </a:extLst>
        </xdr:cNvPr>
        <xdr:cNvSpPr>
          <a:spLocks noChangeShapeType="1"/>
        </xdr:cNvSpPr>
      </xdr:nvSpPr>
      <xdr:spPr bwMode="auto">
        <a:xfrm>
          <a:off x="400050" y="7620000"/>
          <a:ext cx="9525" cy="1609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44</xdr:row>
      <xdr:rowOff>0</xdr:rowOff>
    </xdr:from>
    <xdr:to>
      <xdr:col>1</xdr:col>
      <xdr:colOff>9525</xdr:colOff>
      <xdr:row>53</xdr:row>
      <xdr:rowOff>0</xdr:rowOff>
    </xdr:to>
    <xdr:sp macro="" textlink="">
      <xdr:nvSpPr>
        <xdr:cNvPr id="425362" name="Line 12">
          <a:extLst>
            <a:ext uri="{FF2B5EF4-FFF2-40B4-BE49-F238E27FC236}">
              <a16:creationId xmlns:a16="http://schemas.microsoft.com/office/drawing/2014/main" id="{AA06FAF0-8EB2-8FCC-A564-A94A72A43E17}"/>
            </a:ext>
          </a:extLst>
        </xdr:cNvPr>
        <xdr:cNvSpPr>
          <a:spLocks noChangeShapeType="1"/>
        </xdr:cNvSpPr>
      </xdr:nvSpPr>
      <xdr:spPr bwMode="auto">
        <a:xfrm>
          <a:off x="400050" y="7620000"/>
          <a:ext cx="9525" cy="1609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39</xdr:row>
      <xdr:rowOff>0</xdr:rowOff>
    </xdr:from>
    <xdr:to>
      <xdr:col>1</xdr:col>
      <xdr:colOff>9525</xdr:colOff>
      <xdr:row>47</xdr:row>
      <xdr:rowOff>0</xdr:rowOff>
    </xdr:to>
    <xdr:sp macro="" textlink="">
      <xdr:nvSpPr>
        <xdr:cNvPr id="426373" name="Line 12">
          <a:extLst>
            <a:ext uri="{FF2B5EF4-FFF2-40B4-BE49-F238E27FC236}">
              <a16:creationId xmlns:a16="http://schemas.microsoft.com/office/drawing/2014/main" id="{BBD7F4F5-32D8-F21B-EA92-0D1DD7EC784D}"/>
            </a:ext>
          </a:extLst>
        </xdr:cNvPr>
        <xdr:cNvSpPr>
          <a:spLocks noChangeShapeType="1"/>
        </xdr:cNvSpPr>
      </xdr:nvSpPr>
      <xdr:spPr bwMode="auto">
        <a:xfrm>
          <a:off x="400050" y="7019925"/>
          <a:ext cx="9525" cy="15811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39</xdr:row>
      <xdr:rowOff>0</xdr:rowOff>
    </xdr:from>
    <xdr:to>
      <xdr:col>1</xdr:col>
      <xdr:colOff>9525</xdr:colOff>
      <xdr:row>47</xdr:row>
      <xdr:rowOff>0</xdr:rowOff>
    </xdr:to>
    <xdr:sp macro="" textlink="">
      <xdr:nvSpPr>
        <xdr:cNvPr id="426374" name="Line 12">
          <a:extLst>
            <a:ext uri="{FF2B5EF4-FFF2-40B4-BE49-F238E27FC236}">
              <a16:creationId xmlns:a16="http://schemas.microsoft.com/office/drawing/2014/main" id="{61852347-951F-309F-89C6-42A15219BE60}"/>
            </a:ext>
          </a:extLst>
        </xdr:cNvPr>
        <xdr:cNvSpPr>
          <a:spLocks noChangeShapeType="1"/>
        </xdr:cNvSpPr>
      </xdr:nvSpPr>
      <xdr:spPr bwMode="auto">
        <a:xfrm>
          <a:off x="400050" y="7019925"/>
          <a:ext cx="9525" cy="15811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39</xdr:row>
      <xdr:rowOff>0</xdr:rowOff>
    </xdr:from>
    <xdr:to>
      <xdr:col>1</xdr:col>
      <xdr:colOff>9525</xdr:colOff>
      <xdr:row>47</xdr:row>
      <xdr:rowOff>0</xdr:rowOff>
    </xdr:to>
    <xdr:sp macro="" textlink="">
      <xdr:nvSpPr>
        <xdr:cNvPr id="426375" name="Line 12">
          <a:extLst>
            <a:ext uri="{FF2B5EF4-FFF2-40B4-BE49-F238E27FC236}">
              <a16:creationId xmlns:a16="http://schemas.microsoft.com/office/drawing/2014/main" id="{0948EEF1-22B3-8328-29C3-847967E4897C}"/>
            </a:ext>
          </a:extLst>
        </xdr:cNvPr>
        <xdr:cNvSpPr>
          <a:spLocks noChangeShapeType="1"/>
        </xdr:cNvSpPr>
      </xdr:nvSpPr>
      <xdr:spPr bwMode="auto">
        <a:xfrm>
          <a:off x="400050" y="7019925"/>
          <a:ext cx="9525" cy="15811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39</xdr:row>
      <xdr:rowOff>0</xdr:rowOff>
    </xdr:from>
    <xdr:to>
      <xdr:col>1</xdr:col>
      <xdr:colOff>9525</xdr:colOff>
      <xdr:row>47</xdr:row>
      <xdr:rowOff>0</xdr:rowOff>
    </xdr:to>
    <xdr:sp macro="" textlink="">
      <xdr:nvSpPr>
        <xdr:cNvPr id="426376" name="Line 12">
          <a:extLst>
            <a:ext uri="{FF2B5EF4-FFF2-40B4-BE49-F238E27FC236}">
              <a16:creationId xmlns:a16="http://schemas.microsoft.com/office/drawing/2014/main" id="{EBE6C459-C210-017F-BCC6-DAE7C945CF13}"/>
            </a:ext>
          </a:extLst>
        </xdr:cNvPr>
        <xdr:cNvSpPr>
          <a:spLocks noChangeShapeType="1"/>
        </xdr:cNvSpPr>
      </xdr:nvSpPr>
      <xdr:spPr bwMode="auto">
        <a:xfrm>
          <a:off x="400050" y="7019925"/>
          <a:ext cx="9525" cy="15811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39</xdr:row>
      <xdr:rowOff>0</xdr:rowOff>
    </xdr:from>
    <xdr:to>
      <xdr:col>1</xdr:col>
      <xdr:colOff>9525</xdr:colOff>
      <xdr:row>47</xdr:row>
      <xdr:rowOff>0</xdr:rowOff>
    </xdr:to>
    <xdr:sp macro="" textlink="">
      <xdr:nvSpPr>
        <xdr:cNvPr id="426377" name="Line 12">
          <a:extLst>
            <a:ext uri="{FF2B5EF4-FFF2-40B4-BE49-F238E27FC236}">
              <a16:creationId xmlns:a16="http://schemas.microsoft.com/office/drawing/2014/main" id="{474ADAAD-14CB-6CF5-71FA-9FA6CD97A8B3}"/>
            </a:ext>
          </a:extLst>
        </xdr:cNvPr>
        <xdr:cNvSpPr>
          <a:spLocks noChangeShapeType="1"/>
        </xdr:cNvSpPr>
      </xdr:nvSpPr>
      <xdr:spPr bwMode="auto">
        <a:xfrm>
          <a:off x="400050" y="7019925"/>
          <a:ext cx="9525" cy="15811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39</xdr:row>
      <xdr:rowOff>0</xdr:rowOff>
    </xdr:from>
    <xdr:to>
      <xdr:col>1</xdr:col>
      <xdr:colOff>9525</xdr:colOff>
      <xdr:row>47</xdr:row>
      <xdr:rowOff>0</xdr:rowOff>
    </xdr:to>
    <xdr:sp macro="" textlink="">
      <xdr:nvSpPr>
        <xdr:cNvPr id="426378" name="Line 12">
          <a:extLst>
            <a:ext uri="{FF2B5EF4-FFF2-40B4-BE49-F238E27FC236}">
              <a16:creationId xmlns:a16="http://schemas.microsoft.com/office/drawing/2014/main" id="{BB632AC0-E69C-EE64-9107-941C55A0F944}"/>
            </a:ext>
          </a:extLst>
        </xdr:cNvPr>
        <xdr:cNvSpPr>
          <a:spLocks noChangeShapeType="1"/>
        </xdr:cNvSpPr>
      </xdr:nvSpPr>
      <xdr:spPr bwMode="auto">
        <a:xfrm>
          <a:off x="400050" y="7019925"/>
          <a:ext cx="9525" cy="15811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39</xdr:row>
      <xdr:rowOff>0</xdr:rowOff>
    </xdr:from>
    <xdr:to>
      <xdr:col>1</xdr:col>
      <xdr:colOff>9525</xdr:colOff>
      <xdr:row>47</xdr:row>
      <xdr:rowOff>0</xdr:rowOff>
    </xdr:to>
    <xdr:sp macro="" textlink="">
      <xdr:nvSpPr>
        <xdr:cNvPr id="426379" name="Line 12">
          <a:extLst>
            <a:ext uri="{FF2B5EF4-FFF2-40B4-BE49-F238E27FC236}">
              <a16:creationId xmlns:a16="http://schemas.microsoft.com/office/drawing/2014/main" id="{5394F661-C55B-F451-60A6-E11D23496C7B}"/>
            </a:ext>
          </a:extLst>
        </xdr:cNvPr>
        <xdr:cNvSpPr>
          <a:spLocks noChangeShapeType="1"/>
        </xdr:cNvSpPr>
      </xdr:nvSpPr>
      <xdr:spPr bwMode="auto">
        <a:xfrm>
          <a:off x="400050" y="7019925"/>
          <a:ext cx="9525" cy="15811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39</xdr:row>
      <xdr:rowOff>0</xdr:rowOff>
    </xdr:from>
    <xdr:to>
      <xdr:col>1</xdr:col>
      <xdr:colOff>9525</xdr:colOff>
      <xdr:row>47</xdr:row>
      <xdr:rowOff>0</xdr:rowOff>
    </xdr:to>
    <xdr:sp macro="" textlink="">
      <xdr:nvSpPr>
        <xdr:cNvPr id="426380" name="Line 12">
          <a:extLst>
            <a:ext uri="{FF2B5EF4-FFF2-40B4-BE49-F238E27FC236}">
              <a16:creationId xmlns:a16="http://schemas.microsoft.com/office/drawing/2014/main" id="{E4CB2E23-EF50-F45C-06FA-1EDFC937D5C2}"/>
            </a:ext>
          </a:extLst>
        </xdr:cNvPr>
        <xdr:cNvSpPr>
          <a:spLocks noChangeShapeType="1"/>
        </xdr:cNvSpPr>
      </xdr:nvSpPr>
      <xdr:spPr bwMode="auto">
        <a:xfrm>
          <a:off x="400050" y="7019925"/>
          <a:ext cx="9525" cy="15811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39</xdr:row>
      <xdr:rowOff>0</xdr:rowOff>
    </xdr:from>
    <xdr:to>
      <xdr:col>1</xdr:col>
      <xdr:colOff>9525</xdr:colOff>
      <xdr:row>47</xdr:row>
      <xdr:rowOff>0</xdr:rowOff>
    </xdr:to>
    <xdr:sp macro="" textlink="">
      <xdr:nvSpPr>
        <xdr:cNvPr id="426381" name="Line 12">
          <a:extLst>
            <a:ext uri="{FF2B5EF4-FFF2-40B4-BE49-F238E27FC236}">
              <a16:creationId xmlns:a16="http://schemas.microsoft.com/office/drawing/2014/main" id="{9BB93F82-C3C0-3404-FA93-930181174C21}"/>
            </a:ext>
          </a:extLst>
        </xdr:cNvPr>
        <xdr:cNvSpPr>
          <a:spLocks noChangeShapeType="1"/>
        </xdr:cNvSpPr>
      </xdr:nvSpPr>
      <xdr:spPr bwMode="auto">
        <a:xfrm>
          <a:off x="400050" y="7019925"/>
          <a:ext cx="9525" cy="15811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39</xdr:row>
      <xdr:rowOff>0</xdr:rowOff>
    </xdr:from>
    <xdr:to>
      <xdr:col>1</xdr:col>
      <xdr:colOff>9525</xdr:colOff>
      <xdr:row>47</xdr:row>
      <xdr:rowOff>0</xdr:rowOff>
    </xdr:to>
    <xdr:sp macro="" textlink="">
      <xdr:nvSpPr>
        <xdr:cNvPr id="426382" name="Line 12">
          <a:extLst>
            <a:ext uri="{FF2B5EF4-FFF2-40B4-BE49-F238E27FC236}">
              <a16:creationId xmlns:a16="http://schemas.microsoft.com/office/drawing/2014/main" id="{A73F85BB-FB95-939A-FF5E-CCB599D10FB0}"/>
            </a:ext>
          </a:extLst>
        </xdr:cNvPr>
        <xdr:cNvSpPr>
          <a:spLocks noChangeShapeType="1"/>
        </xdr:cNvSpPr>
      </xdr:nvSpPr>
      <xdr:spPr bwMode="auto">
        <a:xfrm>
          <a:off x="400050" y="7019925"/>
          <a:ext cx="9525" cy="15811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39</xdr:row>
      <xdr:rowOff>0</xdr:rowOff>
    </xdr:from>
    <xdr:to>
      <xdr:col>1</xdr:col>
      <xdr:colOff>9525</xdr:colOff>
      <xdr:row>47</xdr:row>
      <xdr:rowOff>0</xdr:rowOff>
    </xdr:to>
    <xdr:sp macro="" textlink="">
      <xdr:nvSpPr>
        <xdr:cNvPr id="426383" name="Line 12">
          <a:extLst>
            <a:ext uri="{FF2B5EF4-FFF2-40B4-BE49-F238E27FC236}">
              <a16:creationId xmlns:a16="http://schemas.microsoft.com/office/drawing/2014/main" id="{6FB5F8CD-6B02-E28F-BE6A-499B5E0AF4D5}"/>
            </a:ext>
          </a:extLst>
        </xdr:cNvPr>
        <xdr:cNvSpPr>
          <a:spLocks noChangeShapeType="1"/>
        </xdr:cNvSpPr>
      </xdr:nvSpPr>
      <xdr:spPr bwMode="auto">
        <a:xfrm>
          <a:off x="400050" y="7019925"/>
          <a:ext cx="9525" cy="15811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39</xdr:row>
      <xdr:rowOff>0</xdr:rowOff>
    </xdr:from>
    <xdr:to>
      <xdr:col>1</xdr:col>
      <xdr:colOff>9525</xdr:colOff>
      <xdr:row>47</xdr:row>
      <xdr:rowOff>0</xdr:rowOff>
    </xdr:to>
    <xdr:sp macro="" textlink="">
      <xdr:nvSpPr>
        <xdr:cNvPr id="426384" name="Line 12">
          <a:extLst>
            <a:ext uri="{FF2B5EF4-FFF2-40B4-BE49-F238E27FC236}">
              <a16:creationId xmlns:a16="http://schemas.microsoft.com/office/drawing/2014/main" id="{042FAA81-E81A-CDE6-1F32-D1F8CCF76A31}"/>
            </a:ext>
          </a:extLst>
        </xdr:cNvPr>
        <xdr:cNvSpPr>
          <a:spLocks noChangeShapeType="1"/>
        </xdr:cNvSpPr>
      </xdr:nvSpPr>
      <xdr:spPr bwMode="auto">
        <a:xfrm>
          <a:off x="400050" y="7019925"/>
          <a:ext cx="9525" cy="15811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39</xdr:row>
      <xdr:rowOff>0</xdr:rowOff>
    </xdr:from>
    <xdr:to>
      <xdr:col>1</xdr:col>
      <xdr:colOff>9525</xdr:colOff>
      <xdr:row>47</xdr:row>
      <xdr:rowOff>0</xdr:rowOff>
    </xdr:to>
    <xdr:sp macro="" textlink="">
      <xdr:nvSpPr>
        <xdr:cNvPr id="426385" name="Line 12">
          <a:extLst>
            <a:ext uri="{FF2B5EF4-FFF2-40B4-BE49-F238E27FC236}">
              <a16:creationId xmlns:a16="http://schemas.microsoft.com/office/drawing/2014/main" id="{6460F746-36DC-2CBA-6467-BC58F2359398}"/>
            </a:ext>
          </a:extLst>
        </xdr:cNvPr>
        <xdr:cNvSpPr>
          <a:spLocks noChangeShapeType="1"/>
        </xdr:cNvSpPr>
      </xdr:nvSpPr>
      <xdr:spPr bwMode="auto">
        <a:xfrm>
          <a:off x="400050" y="7019925"/>
          <a:ext cx="9525" cy="15811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39</xdr:row>
      <xdr:rowOff>0</xdr:rowOff>
    </xdr:from>
    <xdr:to>
      <xdr:col>1</xdr:col>
      <xdr:colOff>9525</xdr:colOff>
      <xdr:row>47</xdr:row>
      <xdr:rowOff>0</xdr:rowOff>
    </xdr:to>
    <xdr:sp macro="" textlink="">
      <xdr:nvSpPr>
        <xdr:cNvPr id="426386" name="Line 12">
          <a:extLst>
            <a:ext uri="{FF2B5EF4-FFF2-40B4-BE49-F238E27FC236}">
              <a16:creationId xmlns:a16="http://schemas.microsoft.com/office/drawing/2014/main" id="{97F789E3-83DD-7F9F-C2F6-9BD26972CF20}"/>
            </a:ext>
          </a:extLst>
        </xdr:cNvPr>
        <xdr:cNvSpPr>
          <a:spLocks noChangeShapeType="1"/>
        </xdr:cNvSpPr>
      </xdr:nvSpPr>
      <xdr:spPr bwMode="auto">
        <a:xfrm>
          <a:off x="400050" y="7019925"/>
          <a:ext cx="9525" cy="15811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45</xdr:row>
      <xdr:rowOff>0</xdr:rowOff>
    </xdr:from>
    <xdr:to>
      <xdr:col>1</xdr:col>
      <xdr:colOff>9525</xdr:colOff>
      <xdr:row>54</xdr:row>
      <xdr:rowOff>0</xdr:rowOff>
    </xdr:to>
    <xdr:sp macro="" textlink="">
      <xdr:nvSpPr>
        <xdr:cNvPr id="428337" name="Line 12">
          <a:extLst>
            <a:ext uri="{FF2B5EF4-FFF2-40B4-BE49-F238E27FC236}">
              <a16:creationId xmlns:a16="http://schemas.microsoft.com/office/drawing/2014/main" id="{929C626A-A7E3-5CD0-73DF-FB16084AA626}"/>
            </a:ext>
          </a:extLst>
        </xdr:cNvPr>
        <xdr:cNvSpPr>
          <a:spLocks noChangeShapeType="1"/>
        </xdr:cNvSpPr>
      </xdr:nvSpPr>
      <xdr:spPr bwMode="auto">
        <a:xfrm>
          <a:off x="400050" y="7686675"/>
          <a:ext cx="9525" cy="16383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45</xdr:row>
      <xdr:rowOff>0</xdr:rowOff>
    </xdr:from>
    <xdr:to>
      <xdr:col>1</xdr:col>
      <xdr:colOff>9525</xdr:colOff>
      <xdr:row>54</xdr:row>
      <xdr:rowOff>0</xdr:rowOff>
    </xdr:to>
    <xdr:sp macro="" textlink="">
      <xdr:nvSpPr>
        <xdr:cNvPr id="428338" name="Line 12">
          <a:extLst>
            <a:ext uri="{FF2B5EF4-FFF2-40B4-BE49-F238E27FC236}">
              <a16:creationId xmlns:a16="http://schemas.microsoft.com/office/drawing/2014/main" id="{A38A8E59-0088-5462-B939-23389CD10E20}"/>
            </a:ext>
          </a:extLst>
        </xdr:cNvPr>
        <xdr:cNvSpPr>
          <a:spLocks noChangeShapeType="1"/>
        </xdr:cNvSpPr>
      </xdr:nvSpPr>
      <xdr:spPr bwMode="auto">
        <a:xfrm>
          <a:off x="400050" y="7686675"/>
          <a:ext cx="9525" cy="16383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45</xdr:row>
      <xdr:rowOff>0</xdr:rowOff>
    </xdr:from>
    <xdr:to>
      <xdr:col>1</xdr:col>
      <xdr:colOff>9525</xdr:colOff>
      <xdr:row>54</xdr:row>
      <xdr:rowOff>0</xdr:rowOff>
    </xdr:to>
    <xdr:sp macro="" textlink="">
      <xdr:nvSpPr>
        <xdr:cNvPr id="428339" name="Line 12">
          <a:extLst>
            <a:ext uri="{FF2B5EF4-FFF2-40B4-BE49-F238E27FC236}">
              <a16:creationId xmlns:a16="http://schemas.microsoft.com/office/drawing/2014/main" id="{B08F4CF6-CE53-E63B-0628-80919A02B110}"/>
            </a:ext>
          </a:extLst>
        </xdr:cNvPr>
        <xdr:cNvSpPr>
          <a:spLocks noChangeShapeType="1"/>
        </xdr:cNvSpPr>
      </xdr:nvSpPr>
      <xdr:spPr bwMode="auto">
        <a:xfrm>
          <a:off x="400050" y="7686675"/>
          <a:ext cx="9525" cy="16383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45</xdr:row>
      <xdr:rowOff>0</xdr:rowOff>
    </xdr:from>
    <xdr:to>
      <xdr:col>1</xdr:col>
      <xdr:colOff>9525</xdr:colOff>
      <xdr:row>54</xdr:row>
      <xdr:rowOff>0</xdr:rowOff>
    </xdr:to>
    <xdr:sp macro="" textlink="">
      <xdr:nvSpPr>
        <xdr:cNvPr id="428340" name="Line 12">
          <a:extLst>
            <a:ext uri="{FF2B5EF4-FFF2-40B4-BE49-F238E27FC236}">
              <a16:creationId xmlns:a16="http://schemas.microsoft.com/office/drawing/2014/main" id="{3221B6BF-A8D1-31FE-BD77-90B2633DBDB7}"/>
            </a:ext>
          </a:extLst>
        </xdr:cNvPr>
        <xdr:cNvSpPr>
          <a:spLocks noChangeShapeType="1"/>
        </xdr:cNvSpPr>
      </xdr:nvSpPr>
      <xdr:spPr bwMode="auto">
        <a:xfrm>
          <a:off x="400050" y="7686675"/>
          <a:ext cx="9525" cy="16383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45</xdr:row>
      <xdr:rowOff>0</xdr:rowOff>
    </xdr:from>
    <xdr:to>
      <xdr:col>1</xdr:col>
      <xdr:colOff>9525</xdr:colOff>
      <xdr:row>54</xdr:row>
      <xdr:rowOff>0</xdr:rowOff>
    </xdr:to>
    <xdr:sp macro="" textlink="">
      <xdr:nvSpPr>
        <xdr:cNvPr id="428341" name="Line 12">
          <a:extLst>
            <a:ext uri="{FF2B5EF4-FFF2-40B4-BE49-F238E27FC236}">
              <a16:creationId xmlns:a16="http://schemas.microsoft.com/office/drawing/2014/main" id="{A0573D38-77CE-5863-46BE-1F2FCEB7AE91}"/>
            </a:ext>
          </a:extLst>
        </xdr:cNvPr>
        <xdr:cNvSpPr>
          <a:spLocks noChangeShapeType="1"/>
        </xdr:cNvSpPr>
      </xdr:nvSpPr>
      <xdr:spPr bwMode="auto">
        <a:xfrm>
          <a:off x="400050" y="7686675"/>
          <a:ext cx="9525" cy="16383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45</xdr:row>
      <xdr:rowOff>0</xdr:rowOff>
    </xdr:from>
    <xdr:to>
      <xdr:col>1</xdr:col>
      <xdr:colOff>9525</xdr:colOff>
      <xdr:row>54</xdr:row>
      <xdr:rowOff>0</xdr:rowOff>
    </xdr:to>
    <xdr:sp macro="" textlink="">
      <xdr:nvSpPr>
        <xdr:cNvPr id="428342" name="Line 12">
          <a:extLst>
            <a:ext uri="{FF2B5EF4-FFF2-40B4-BE49-F238E27FC236}">
              <a16:creationId xmlns:a16="http://schemas.microsoft.com/office/drawing/2014/main" id="{3763E253-4865-1A23-DD7A-6EA167D3783E}"/>
            </a:ext>
          </a:extLst>
        </xdr:cNvPr>
        <xdr:cNvSpPr>
          <a:spLocks noChangeShapeType="1"/>
        </xdr:cNvSpPr>
      </xdr:nvSpPr>
      <xdr:spPr bwMode="auto">
        <a:xfrm>
          <a:off x="400050" y="7686675"/>
          <a:ext cx="9525" cy="16383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45</xdr:row>
      <xdr:rowOff>0</xdr:rowOff>
    </xdr:from>
    <xdr:to>
      <xdr:col>1</xdr:col>
      <xdr:colOff>9525</xdr:colOff>
      <xdr:row>54</xdr:row>
      <xdr:rowOff>0</xdr:rowOff>
    </xdr:to>
    <xdr:sp macro="" textlink="">
      <xdr:nvSpPr>
        <xdr:cNvPr id="428343" name="Line 12">
          <a:extLst>
            <a:ext uri="{FF2B5EF4-FFF2-40B4-BE49-F238E27FC236}">
              <a16:creationId xmlns:a16="http://schemas.microsoft.com/office/drawing/2014/main" id="{D4D4130B-423D-E06E-CF41-DC4FEFDFA978}"/>
            </a:ext>
          </a:extLst>
        </xdr:cNvPr>
        <xdr:cNvSpPr>
          <a:spLocks noChangeShapeType="1"/>
        </xdr:cNvSpPr>
      </xdr:nvSpPr>
      <xdr:spPr bwMode="auto">
        <a:xfrm>
          <a:off x="400050" y="7686675"/>
          <a:ext cx="9525" cy="16383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45</xdr:row>
      <xdr:rowOff>0</xdr:rowOff>
    </xdr:from>
    <xdr:to>
      <xdr:col>1</xdr:col>
      <xdr:colOff>9525</xdr:colOff>
      <xdr:row>54</xdr:row>
      <xdr:rowOff>0</xdr:rowOff>
    </xdr:to>
    <xdr:sp macro="" textlink="">
      <xdr:nvSpPr>
        <xdr:cNvPr id="428344" name="Line 12">
          <a:extLst>
            <a:ext uri="{FF2B5EF4-FFF2-40B4-BE49-F238E27FC236}">
              <a16:creationId xmlns:a16="http://schemas.microsoft.com/office/drawing/2014/main" id="{40C87710-2DD0-816A-8D77-3870CC52CF65}"/>
            </a:ext>
          </a:extLst>
        </xdr:cNvPr>
        <xdr:cNvSpPr>
          <a:spLocks noChangeShapeType="1"/>
        </xdr:cNvSpPr>
      </xdr:nvSpPr>
      <xdr:spPr bwMode="auto">
        <a:xfrm>
          <a:off x="400050" y="7686675"/>
          <a:ext cx="9525" cy="16383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45</xdr:row>
      <xdr:rowOff>0</xdr:rowOff>
    </xdr:from>
    <xdr:to>
      <xdr:col>1</xdr:col>
      <xdr:colOff>9525</xdr:colOff>
      <xdr:row>54</xdr:row>
      <xdr:rowOff>0</xdr:rowOff>
    </xdr:to>
    <xdr:sp macro="" textlink="">
      <xdr:nvSpPr>
        <xdr:cNvPr id="428345" name="Line 12">
          <a:extLst>
            <a:ext uri="{FF2B5EF4-FFF2-40B4-BE49-F238E27FC236}">
              <a16:creationId xmlns:a16="http://schemas.microsoft.com/office/drawing/2014/main" id="{9162D1FC-0E4E-AA2A-2393-FD1135221206}"/>
            </a:ext>
          </a:extLst>
        </xdr:cNvPr>
        <xdr:cNvSpPr>
          <a:spLocks noChangeShapeType="1"/>
        </xdr:cNvSpPr>
      </xdr:nvSpPr>
      <xdr:spPr bwMode="auto">
        <a:xfrm>
          <a:off x="400050" y="7686675"/>
          <a:ext cx="9525" cy="16383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45</xdr:row>
      <xdr:rowOff>0</xdr:rowOff>
    </xdr:from>
    <xdr:to>
      <xdr:col>1</xdr:col>
      <xdr:colOff>9525</xdr:colOff>
      <xdr:row>54</xdr:row>
      <xdr:rowOff>0</xdr:rowOff>
    </xdr:to>
    <xdr:sp macro="" textlink="">
      <xdr:nvSpPr>
        <xdr:cNvPr id="428346" name="Line 12">
          <a:extLst>
            <a:ext uri="{FF2B5EF4-FFF2-40B4-BE49-F238E27FC236}">
              <a16:creationId xmlns:a16="http://schemas.microsoft.com/office/drawing/2014/main" id="{038A7464-3048-FA96-60B0-A615E0E476FA}"/>
            </a:ext>
          </a:extLst>
        </xdr:cNvPr>
        <xdr:cNvSpPr>
          <a:spLocks noChangeShapeType="1"/>
        </xdr:cNvSpPr>
      </xdr:nvSpPr>
      <xdr:spPr bwMode="auto">
        <a:xfrm>
          <a:off x="400050" y="7686675"/>
          <a:ext cx="9525" cy="16383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45</xdr:row>
      <xdr:rowOff>0</xdr:rowOff>
    </xdr:from>
    <xdr:to>
      <xdr:col>1</xdr:col>
      <xdr:colOff>9525</xdr:colOff>
      <xdr:row>54</xdr:row>
      <xdr:rowOff>0</xdr:rowOff>
    </xdr:to>
    <xdr:sp macro="" textlink="">
      <xdr:nvSpPr>
        <xdr:cNvPr id="428347" name="Line 12">
          <a:extLst>
            <a:ext uri="{FF2B5EF4-FFF2-40B4-BE49-F238E27FC236}">
              <a16:creationId xmlns:a16="http://schemas.microsoft.com/office/drawing/2014/main" id="{9E3BBB62-B524-AC5A-E8EA-B36AD9556B6A}"/>
            </a:ext>
          </a:extLst>
        </xdr:cNvPr>
        <xdr:cNvSpPr>
          <a:spLocks noChangeShapeType="1"/>
        </xdr:cNvSpPr>
      </xdr:nvSpPr>
      <xdr:spPr bwMode="auto">
        <a:xfrm>
          <a:off x="400050" y="7686675"/>
          <a:ext cx="9525" cy="16383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45</xdr:row>
      <xdr:rowOff>0</xdr:rowOff>
    </xdr:from>
    <xdr:to>
      <xdr:col>1</xdr:col>
      <xdr:colOff>9525</xdr:colOff>
      <xdr:row>54</xdr:row>
      <xdr:rowOff>0</xdr:rowOff>
    </xdr:to>
    <xdr:sp macro="" textlink="">
      <xdr:nvSpPr>
        <xdr:cNvPr id="428348" name="Line 12">
          <a:extLst>
            <a:ext uri="{FF2B5EF4-FFF2-40B4-BE49-F238E27FC236}">
              <a16:creationId xmlns:a16="http://schemas.microsoft.com/office/drawing/2014/main" id="{67F8FB21-D1D1-DC32-FBA7-7262BEB5032F}"/>
            </a:ext>
          </a:extLst>
        </xdr:cNvPr>
        <xdr:cNvSpPr>
          <a:spLocks noChangeShapeType="1"/>
        </xdr:cNvSpPr>
      </xdr:nvSpPr>
      <xdr:spPr bwMode="auto">
        <a:xfrm>
          <a:off x="400050" y="7686675"/>
          <a:ext cx="9525" cy="16383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45</xdr:row>
      <xdr:rowOff>0</xdr:rowOff>
    </xdr:from>
    <xdr:to>
      <xdr:col>1</xdr:col>
      <xdr:colOff>9525</xdr:colOff>
      <xdr:row>54</xdr:row>
      <xdr:rowOff>0</xdr:rowOff>
    </xdr:to>
    <xdr:sp macro="" textlink="">
      <xdr:nvSpPr>
        <xdr:cNvPr id="428349" name="Line 12">
          <a:extLst>
            <a:ext uri="{FF2B5EF4-FFF2-40B4-BE49-F238E27FC236}">
              <a16:creationId xmlns:a16="http://schemas.microsoft.com/office/drawing/2014/main" id="{AB97BFD9-DEC5-0A0A-B89E-8BCCAF56DAE7}"/>
            </a:ext>
          </a:extLst>
        </xdr:cNvPr>
        <xdr:cNvSpPr>
          <a:spLocks noChangeShapeType="1"/>
        </xdr:cNvSpPr>
      </xdr:nvSpPr>
      <xdr:spPr bwMode="auto">
        <a:xfrm>
          <a:off x="400050" y="7686675"/>
          <a:ext cx="9525" cy="16383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45</xdr:row>
      <xdr:rowOff>0</xdr:rowOff>
    </xdr:from>
    <xdr:to>
      <xdr:col>1</xdr:col>
      <xdr:colOff>9525</xdr:colOff>
      <xdr:row>54</xdr:row>
      <xdr:rowOff>0</xdr:rowOff>
    </xdr:to>
    <xdr:sp macro="" textlink="">
      <xdr:nvSpPr>
        <xdr:cNvPr id="428350" name="Line 12">
          <a:extLst>
            <a:ext uri="{FF2B5EF4-FFF2-40B4-BE49-F238E27FC236}">
              <a16:creationId xmlns:a16="http://schemas.microsoft.com/office/drawing/2014/main" id="{9FB8E319-420F-4B58-6D3C-BDA08A3CB068}"/>
            </a:ext>
          </a:extLst>
        </xdr:cNvPr>
        <xdr:cNvSpPr>
          <a:spLocks noChangeShapeType="1"/>
        </xdr:cNvSpPr>
      </xdr:nvSpPr>
      <xdr:spPr bwMode="auto">
        <a:xfrm>
          <a:off x="400050" y="7686675"/>
          <a:ext cx="9525" cy="16383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43</xdr:row>
      <xdr:rowOff>0</xdr:rowOff>
    </xdr:from>
    <xdr:to>
      <xdr:col>1</xdr:col>
      <xdr:colOff>9525</xdr:colOff>
      <xdr:row>53</xdr:row>
      <xdr:rowOff>0</xdr:rowOff>
    </xdr:to>
    <xdr:sp macro="" textlink="">
      <xdr:nvSpPr>
        <xdr:cNvPr id="430369" name="Line 12">
          <a:extLst>
            <a:ext uri="{FF2B5EF4-FFF2-40B4-BE49-F238E27FC236}">
              <a16:creationId xmlns:a16="http://schemas.microsoft.com/office/drawing/2014/main" id="{96AB7A64-08D3-B731-B3E4-836A575BA359}"/>
            </a:ext>
          </a:extLst>
        </xdr:cNvPr>
        <xdr:cNvSpPr>
          <a:spLocks noChangeShapeType="1"/>
        </xdr:cNvSpPr>
      </xdr:nvSpPr>
      <xdr:spPr bwMode="auto">
        <a:xfrm>
          <a:off x="314325" y="7534275"/>
          <a:ext cx="9525" cy="1790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43</xdr:row>
      <xdr:rowOff>0</xdr:rowOff>
    </xdr:from>
    <xdr:to>
      <xdr:col>1</xdr:col>
      <xdr:colOff>9525</xdr:colOff>
      <xdr:row>53</xdr:row>
      <xdr:rowOff>0</xdr:rowOff>
    </xdr:to>
    <xdr:sp macro="" textlink="">
      <xdr:nvSpPr>
        <xdr:cNvPr id="430370" name="Line 12">
          <a:extLst>
            <a:ext uri="{FF2B5EF4-FFF2-40B4-BE49-F238E27FC236}">
              <a16:creationId xmlns:a16="http://schemas.microsoft.com/office/drawing/2014/main" id="{D98478D2-CC7D-0E94-0C96-EE7A5029643E}"/>
            </a:ext>
          </a:extLst>
        </xdr:cNvPr>
        <xdr:cNvSpPr>
          <a:spLocks noChangeShapeType="1"/>
        </xdr:cNvSpPr>
      </xdr:nvSpPr>
      <xdr:spPr bwMode="auto">
        <a:xfrm>
          <a:off x="314325" y="7534275"/>
          <a:ext cx="9525" cy="1790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43</xdr:row>
      <xdr:rowOff>0</xdr:rowOff>
    </xdr:from>
    <xdr:to>
      <xdr:col>1</xdr:col>
      <xdr:colOff>9525</xdr:colOff>
      <xdr:row>53</xdr:row>
      <xdr:rowOff>0</xdr:rowOff>
    </xdr:to>
    <xdr:sp macro="" textlink="">
      <xdr:nvSpPr>
        <xdr:cNvPr id="430371" name="Line 12">
          <a:extLst>
            <a:ext uri="{FF2B5EF4-FFF2-40B4-BE49-F238E27FC236}">
              <a16:creationId xmlns:a16="http://schemas.microsoft.com/office/drawing/2014/main" id="{44515FF7-5480-8598-1A8B-A6A3C4225AC4}"/>
            </a:ext>
          </a:extLst>
        </xdr:cNvPr>
        <xdr:cNvSpPr>
          <a:spLocks noChangeShapeType="1"/>
        </xdr:cNvSpPr>
      </xdr:nvSpPr>
      <xdr:spPr bwMode="auto">
        <a:xfrm>
          <a:off x="314325" y="7534275"/>
          <a:ext cx="9525" cy="1790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43</xdr:row>
      <xdr:rowOff>0</xdr:rowOff>
    </xdr:from>
    <xdr:to>
      <xdr:col>1</xdr:col>
      <xdr:colOff>9525</xdr:colOff>
      <xdr:row>53</xdr:row>
      <xdr:rowOff>0</xdr:rowOff>
    </xdr:to>
    <xdr:sp macro="" textlink="">
      <xdr:nvSpPr>
        <xdr:cNvPr id="430372" name="Line 12">
          <a:extLst>
            <a:ext uri="{FF2B5EF4-FFF2-40B4-BE49-F238E27FC236}">
              <a16:creationId xmlns:a16="http://schemas.microsoft.com/office/drawing/2014/main" id="{C4CFB808-AE16-A2DA-A960-BF1A8031BB08}"/>
            </a:ext>
          </a:extLst>
        </xdr:cNvPr>
        <xdr:cNvSpPr>
          <a:spLocks noChangeShapeType="1"/>
        </xdr:cNvSpPr>
      </xdr:nvSpPr>
      <xdr:spPr bwMode="auto">
        <a:xfrm>
          <a:off x="314325" y="7534275"/>
          <a:ext cx="9525" cy="1790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43</xdr:row>
      <xdr:rowOff>0</xdr:rowOff>
    </xdr:from>
    <xdr:to>
      <xdr:col>1</xdr:col>
      <xdr:colOff>9525</xdr:colOff>
      <xdr:row>53</xdr:row>
      <xdr:rowOff>0</xdr:rowOff>
    </xdr:to>
    <xdr:sp macro="" textlink="">
      <xdr:nvSpPr>
        <xdr:cNvPr id="430373" name="Line 12">
          <a:extLst>
            <a:ext uri="{FF2B5EF4-FFF2-40B4-BE49-F238E27FC236}">
              <a16:creationId xmlns:a16="http://schemas.microsoft.com/office/drawing/2014/main" id="{75DFF1C3-4313-876A-ADDB-C975A5A3E2E3}"/>
            </a:ext>
          </a:extLst>
        </xdr:cNvPr>
        <xdr:cNvSpPr>
          <a:spLocks noChangeShapeType="1"/>
        </xdr:cNvSpPr>
      </xdr:nvSpPr>
      <xdr:spPr bwMode="auto">
        <a:xfrm>
          <a:off x="314325" y="7534275"/>
          <a:ext cx="9525" cy="1790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43</xdr:row>
      <xdr:rowOff>0</xdr:rowOff>
    </xdr:from>
    <xdr:to>
      <xdr:col>1</xdr:col>
      <xdr:colOff>9525</xdr:colOff>
      <xdr:row>53</xdr:row>
      <xdr:rowOff>0</xdr:rowOff>
    </xdr:to>
    <xdr:sp macro="" textlink="">
      <xdr:nvSpPr>
        <xdr:cNvPr id="430374" name="Line 12">
          <a:extLst>
            <a:ext uri="{FF2B5EF4-FFF2-40B4-BE49-F238E27FC236}">
              <a16:creationId xmlns:a16="http://schemas.microsoft.com/office/drawing/2014/main" id="{44F3C1B7-CEF5-2BC2-0701-3E6D946B3719}"/>
            </a:ext>
          </a:extLst>
        </xdr:cNvPr>
        <xdr:cNvSpPr>
          <a:spLocks noChangeShapeType="1"/>
        </xdr:cNvSpPr>
      </xdr:nvSpPr>
      <xdr:spPr bwMode="auto">
        <a:xfrm>
          <a:off x="314325" y="7534275"/>
          <a:ext cx="9525" cy="1790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43</xdr:row>
      <xdr:rowOff>0</xdr:rowOff>
    </xdr:from>
    <xdr:to>
      <xdr:col>1</xdr:col>
      <xdr:colOff>9525</xdr:colOff>
      <xdr:row>53</xdr:row>
      <xdr:rowOff>0</xdr:rowOff>
    </xdr:to>
    <xdr:sp macro="" textlink="">
      <xdr:nvSpPr>
        <xdr:cNvPr id="430375" name="Line 12">
          <a:extLst>
            <a:ext uri="{FF2B5EF4-FFF2-40B4-BE49-F238E27FC236}">
              <a16:creationId xmlns:a16="http://schemas.microsoft.com/office/drawing/2014/main" id="{DABBAC16-43A1-24ED-5A55-A992444D96F1}"/>
            </a:ext>
          </a:extLst>
        </xdr:cNvPr>
        <xdr:cNvSpPr>
          <a:spLocks noChangeShapeType="1"/>
        </xdr:cNvSpPr>
      </xdr:nvSpPr>
      <xdr:spPr bwMode="auto">
        <a:xfrm>
          <a:off x="314325" y="7534275"/>
          <a:ext cx="9525" cy="1790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43</xdr:row>
      <xdr:rowOff>0</xdr:rowOff>
    </xdr:from>
    <xdr:to>
      <xdr:col>1</xdr:col>
      <xdr:colOff>9525</xdr:colOff>
      <xdr:row>53</xdr:row>
      <xdr:rowOff>0</xdr:rowOff>
    </xdr:to>
    <xdr:sp macro="" textlink="">
      <xdr:nvSpPr>
        <xdr:cNvPr id="430376" name="Line 12">
          <a:extLst>
            <a:ext uri="{FF2B5EF4-FFF2-40B4-BE49-F238E27FC236}">
              <a16:creationId xmlns:a16="http://schemas.microsoft.com/office/drawing/2014/main" id="{58D17371-5894-0DDC-98E3-8A8C76EB8B46}"/>
            </a:ext>
          </a:extLst>
        </xdr:cNvPr>
        <xdr:cNvSpPr>
          <a:spLocks noChangeShapeType="1"/>
        </xdr:cNvSpPr>
      </xdr:nvSpPr>
      <xdr:spPr bwMode="auto">
        <a:xfrm>
          <a:off x="314325" y="7534275"/>
          <a:ext cx="9525" cy="1790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43</xdr:row>
      <xdr:rowOff>0</xdr:rowOff>
    </xdr:from>
    <xdr:to>
      <xdr:col>1</xdr:col>
      <xdr:colOff>9525</xdr:colOff>
      <xdr:row>53</xdr:row>
      <xdr:rowOff>0</xdr:rowOff>
    </xdr:to>
    <xdr:sp macro="" textlink="">
      <xdr:nvSpPr>
        <xdr:cNvPr id="430377" name="Line 12">
          <a:extLst>
            <a:ext uri="{FF2B5EF4-FFF2-40B4-BE49-F238E27FC236}">
              <a16:creationId xmlns:a16="http://schemas.microsoft.com/office/drawing/2014/main" id="{FA8666D0-4E9B-573F-D9E1-40EE4C44F9CB}"/>
            </a:ext>
          </a:extLst>
        </xdr:cNvPr>
        <xdr:cNvSpPr>
          <a:spLocks noChangeShapeType="1"/>
        </xdr:cNvSpPr>
      </xdr:nvSpPr>
      <xdr:spPr bwMode="auto">
        <a:xfrm>
          <a:off x="314325" y="7534275"/>
          <a:ext cx="9525" cy="1790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43</xdr:row>
      <xdr:rowOff>0</xdr:rowOff>
    </xdr:from>
    <xdr:to>
      <xdr:col>1</xdr:col>
      <xdr:colOff>9525</xdr:colOff>
      <xdr:row>53</xdr:row>
      <xdr:rowOff>0</xdr:rowOff>
    </xdr:to>
    <xdr:sp macro="" textlink="">
      <xdr:nvSpPr>
        <xdr:cNvPr id="430378" name="Line 12">
          <a:extLst>
            <a:ext uri="{FF2B5EF4-FFF2-40B4-BE49-F238E27FC236}">
              <a16:creationId xmlns:a16="http://schemas.microsoft.com/office/drawing/2014/main" id="{B32EC2E0-8947-509B-4265-DC1C8F47D3EE}"/>
            </a:ext>
          </a:extLst>
        </xdr:cNvPr>
        <xdr:cNvSpPr>
          <a:spLocks noChangeShapeType="1"/>
        </xdr:cNvSpPr>
      </xdr:nvSpPr>
      <xdr:spPr bwMode="auto">
        <a:xfrm>
          <a:off x="314325" y="7534275"/>
          <a:ext cx="9525" cy="1790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43</xdr:row>
      <xdr:rowOff>0</xdr:rowOff>
    </xdr:from>
    <xdr:to>
      <xdr:col>1</xdr:col>
      <xdr:colOff>9525</xdr:colOff>
      <xdr:row>53</xdr:row>
      <xdr:rowOff>0</xdr:rowOff>
    </xdr:to>
    <xdr:sp macro="" textlink="">
      <xdr:nvSpPr>
        <xdr:cNvPr id="430379" name="Line 12">
          <a:extLst>
            <a:ext uri="{FF2B5EF4-FFF2-40B4-BE49-F238E27FC236}">
              <a16:creationId xmlns:a16="http://schemas.microsoft.com/office/drawing/2014/main" id="{EE272A78-E790-AB76-E78F-5A5048CF22FB}"/>
            </a:ext>
          </a:extLst>
        </xdr:cNvPr>
        <xdr:cNvSpPr>
          <a:spLocks noChangeShapeType="1"/>
        </xdr:cNvSpPr>
      </xdr:nvSpPr>
      <xdr:spPr bwMode="auto">
        <a:xfrm>
          <a:off x="314325" y="7534275"/>
          <a:ext cx="9525" cy="1790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43</xdr:row>
      <xdr:rowOff>0</xdr:rowOff>
    </xdr:from>
    <xdr:to>
      <xdr:col>1</xdr:col>
      <xdr:colOff>9525</xdr:colOff>
      <xdr:row>53</xdr:row>
      <xdr:rowOff>0</xdr:rowOff>
    </xdr:to>
    <xdr:sp macro="" textlink="">
      <xdr:nvSpPr>
        <xdr:cNvPr id="430380" name="Line 12">
          <a:extLst>
            <a:ext uri="{FF2B5EF4-FFF2-40B4-BE49-F238E27FC236}">
              <a16:creationId xmlns:a16="http://schemas.microsoft.com/office/drawing/2014/main" id="{FD36B9D4-CB8D-C943-37CB-2DBCB5B39481}"/>
            </a:ext>
          </a:extLst>
        </xdr:cNvPr>
        <xdr:cNvSpPr>
          <a:spLocks noChangeShapeType="1"/>
        </xdr:cNvSpPr>
      </xdr:nvSpPr>
      <xdr:spPr bwMode="auto">
        <a:xfrm>
          <a:off x="314325" y="7534275"/>
          <a:ext cx="9525" cy="1790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43</xdr:row>
      <xdr:rowOff>0</xdr:rowOff>
    </xdr:from>
    <xdr:to>
      <xdr:col>1</xdr:col>
      <xdr:colOff>9525</xdr:colOff>
      <xdr:row>53</xdr:row>
      <xdr:rowOff>0</xdr:rowOff>
    </xdr:to>
    <xdr:sp macro="" textlink="">
      <xdr:nvSpPr>
        <xdr:cNvPr id="430381" name="Line 12">
          <a:extLst>
            <a:ext uri="{FF2B5EF4-FFF2-40B4-BE49-F238E27FC236}">
              <a16:creationId xmlns:a16="http://schemas.microsoft.com/office/drawing/2014/main" id="{AB5DA607-ADA3-BA4C-B2E9-15B00554A15D}"/>
            </a:ext>
          </a:extLst>
        </xdr:cNvPr>
        <xdr:cNvSpPr>
          <a:spLocks noChangeShapeType="1"/>
        </xdr:cNvSpPr>
      </xdr:nvSpPr>
      <xdr:spPr bwMode="auto">
        <a:xfrm>
          <a:off x="314325" y="7534275"/>
          <a:ext cx="9525" cy="1790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43</xdr:row>
      <xdr:rowOff>0</xdr:rowOff>
    </xdr:from>
    <xdr:to>
      <xdr:col>1</xdr:col>
      <xdr:colOff>9525</xdr:colOff>
      <xdr:row>53</xdr:row>
      <xdr:rowOff>0</xdr:rowOff>
    </xdr:to>
    <xdr:sp macro="" textlink="">
      <xdr:nvSpPr>
        <xdr:cNvPr id="430382" name="Line 12">
          <a:extLst>
            <a:ext uri="{FF2B5EF4-FFF2-40B4-BE49-F238E27FC236}">
              <a16:creationId xmlns:a16="http://schemas.microsoft.com/office/drawing/2014/main" id="{FCBCBF60-AB1C-62D7-C5CB-0983346ABAEB}"/>
            </a:ext>
          </a:extLst>
        </xdr:cNvPr>
        <xdr:cNvSpPr>
          <a:spLocks noChangeShapeType="1"/>
        </xdr:cNvSpPr>
      </xdr:nvSpPr>
      <xdr:spPr bwMode="auto">
        <a:xfrm>
          <a:off x="314325" y="7534275"/>
          <a:ext cx="9525" cy="1790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34</xdr:row>
      <xdr:rowOff>0</xdr:rowOff>
    </xdr:from>
    <xdr:to>
      <xdr:col>1</xdr:col>
      <xdr:colOff>9525</xdr:colOff>
      <xdr:row>57</xdr:row>
      <xdr:rowOff>0</xdr:rowOff>
    </xdr:to>
    <xdr:sp macro="" textlink="">
      <xdr:nvSpPr>
        <xdr:cNvPr id="405466" name="Line 12">
          <a:extLst>
            <a:ext uri="{FF2B5EF4-FFF2-40B4-BE49-F238E27FC236}">
              <a16:creationId xmlns:a16="http://schemas.microsoft.com/office/drawing/2014/main" id="{04F18F86-48A0-A0F7-4599-C2E049C2BC52}"/>
            </a:ext>
          </a:extLst>
        </xdr:cNvPr>
        <xdr:cNvSpPr>
          <a:spLocks noChangeShapeType="1"/>
        </xdr:cNvSpPr>
      </xdr:nvSpPr>
      <xdr:spPr bwMode="auto">
        <a:xfrm>
          <a:off x="400050" y="5124450"/>
          <a:ext cx="9525" cy="48577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34</xdr:row>
      <xdr:rowOff>0</xdr:rowOff>
    </xdr:from>
    <xdr:to>
      <xdr:col>1</xdr:col>
      <xdr:colOff>9525</xdr:colOff>
      <xdr:row>57</xdr:row>
      <xdr:rowOff>0</xdr:rowOff>
    </xdr:to>
    <xdr:sp macro="" textlink="">
      <xdr:nvSpPr>
        <xdr:cNvPr id="405467" name="Line 12">
          <a:extLst>
            <a:ext uri="{FF2B5EF4-FFF2-40B4-BE49-F238E27FC236}">
              <a16:creationId xmlns:a16="http://schemas.microsoft.com/office/drawing/2014/main" id="{939B7100-6A46-D58F-1CFC-2C92CA01773C}"/>
            </a:ext>
          </a:extLst>
        </xdr:cNvPr>
        <xdr:cNvSpPr>
          <a:spLocks noChangeShapeType="1"/>
        </xdr:cNvSpPr>
      </xdr:nvSpPr>
      <xdr:spPr bwMode="auto">
        <a:xfrm>
          <a:off x="400050" y="5124450"/>
          <a:ext cx="9525" cy="48577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34</xdr:row>
      <xdr:rowOff>0</xdr:rowOff>
    </xdr:from>
    <xdr:to>
      <xdr:col>1</xdr:col>
      <xdr:colOff>9525</xdr:colOff>
      <xdr:row>57</xdr:row>
      <xdr:rowOff>0</xdr:rowOff>
    </xdr:to>
    <xdr:sp macro="" textlink="">
      <xdr:nvSpPr>
        <xdr:cNvPr id="405468" name="Line 12">
          <a:extLst>
            <a:ext uri="{FF2B5EF4-FFF2-40B4-BE49-F238E27FC236}">
              <a16:creationId xmlns:a16="http://schemas.microsoft.com/office/drawing/2014/main" id="{78B72A61-6700-72F8-F160-6826E494116D}"/>
            </a:ext>
          </a:extLst>
        </xdr:cNvPr>
        <xdr:cNvSpPr>
          <a:spLocks noChangeShapeType="1"/>
        </xdr:cNvSpPr>
      </xdr:nvSpPr>
      <xdr:spPr bwMode="auto">
        <a:xfrm>
          <a:off x="400050" y="5124450"/>
          <a:ext cx="9525" cy="48577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34</xdr:row>
      <xdr:rowOff>0</xdr:rowOff>
    </xdr:from>
    <xdr:to>
      <xdr:col>1</xdr:col>
      <xdr:colOff>9525</xdr:colOff>
      <xdr:row>57</xdr:row>
      <xdr:rowOff>0</xdr:rowOff>
    </xdr:to>
    <xdr:sp macro="" textlink="">
      <xdr:nvSpPr>
        <xdr:cNvPr id="405469" name="Line 12">
          <a:extLst>
            <a:ext uri="{FF2B5EF4-FFF2-40B4-BE49-F238E27FC236}">
              <a16:creationId xmlns:a16="http://schemas.microsoft.com/office/drawing/2014/main" id="{1D24E6E8-AD2B-BCEE-7A2A-87F73E8677B9}"/>
            </a:ext>
          </a:extLst>
        </xdr:cNvPr>
        <xdr:cNvSpPr>
          <a:spLocks noChangeShapeType="1"/>
        </xdr:cNvSpPr>
      </xdr:nvSpPr>
      <xdr:spPr bwMode="auto">
        <a:xfrm>
          <a:off x="400050" y="5124450"/>
          <a:ext cx="9525" cy="48577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34</xdr:row>
      <xdr:rowOff>0</xdr:rowOff>
    </xdr:from>
    <xdr:to>
      <xdr:col>1</xdr:col>
      <xdr:colOff>9525</xdr:colOff>
      <xdr:row>57</xdr:row>
      <xdr:rowOff>0</xdr:rowOff>
    </xdr:to>
    <xdr:sp macro="" textlink="">
      <xdr:nvSpPr>
        <xdr:cNvPr id="405470" name="Line 12">
          <a:extLst>
            <a:ext uri="{FF2B5EF4-FFF2-40B4-BE49-F238E27FC236}">
              <a16:creationId xmlns:a16="http://schemas.microsoft.com/office/drawing/2014/main" id="{8A3764D4-C63A-9F53-A866-5397C1B21809}"/>
            </a:ext>
          </a:extLst>
        </xdr:cNvPr>
        <xdr:cNvSpPr>
          <a:spLocks noChangeShapeType="1"/>
        </xdr:cNvSpPr>
      </xdr:nvSpPr>
      <xdr:spPr bwMode="auto">
        <a:xfrm>
          <a:off x="400050" y="5124450"/>
          <a:ext cx="9525" cy="48577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34</xdr:row>
      <xdr:rowOff>0</xdr:rowOff>
    </xdr:from>
    <xdr:to>
      <xdr:col>1</xdr:col>
      <xdr:colOff>9525</xdr:colOff>
      <xdr:row>57</xdr:row>
      <xdr:rowOff>0</xdr:rowOff>
    </xdr:to>
    <xdr:sp macro="" textlink="">
      <xdr:nvSpPr>
        <xdr:cNvPr id="405471" name="Line 12">
          <a:extLst>
            <a:ext uri="{FF2B5EF4-FFF2-40B4-BE49-F238E27FC236}">
              <a16:creationId xmlns:a16="http://schemas.microsoft.com/office/drawing/2014/main" id="{555A8E04-143F-6B5B-AB93-3FA6B161DAF4}"/>
            </a:ext>
          </a:extLst>
        </xdr:cNvPr>
        <xdr:cNvSpPr>
          <a:spLocks noChangeShapeType="1"/>
        </xdr:cNvSpPr>
      </xdr:nvSpPr>
      <xdr:spPr bwMode="auto">
        <a:xfrm>
          <a:off x="400050" y="5124450"/>
          <a:ext cx="9525" cy="48577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34</xdr:row>
      <xdr:rowOff>0</xdr:rowOff>
    </xdr:from>
    <xdr:to>
      <xdr:col>1</xdr:col>
      <xdr:colOff>9525</xdr:colOff>
      <xdr:row>57</xdr:row>
      <xdr:rowOff>0</xdr:rowOff>
    </xdr:to>
    <xdr:sp macro="" textlink="">
      <xdr:nvSpPr>
        <xdr:cNvPr id="405472" name="Line 12">
          <a:extLst>
            <a:ext uri="{FF2B5EF4-FFF2-40B4-BE49-F238E27FC236}">
              <a16:creationId xmlns:a16="http://schemas.microsoft.com/office/drawing/2014/main" id="{DD516091-30C1-C3DD-BBD3-50D819BF943A}"/>
            </a:ext>
          </a:extLst>
        </xdr:cNvPr>
        <xdr:cNvSpPr>
          <a:spLocks noChangeShapeType="1"/>
        </xdr:cNvSpPr>
      </xdr:nvSpPr>
      <xdr:spPr bwMode="auto">
        <a:xfrm>
          <a:off x="400050" y="5124450"/>
          <a:ext cx="9525" cy="48577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34</xdr:row>
      <xdr:rowOff>0</xdr:rowOff>
    </xdr:from>
    <xdr:to>
      <xdr:col>1</xdr:col>
      <xdr:colOff>9525</xdr:colOff>
      <xdr:row>57</xdr:row>
      <xdr:rowOff>0</xdr:rowOff>
    </xdr:to>
    <xdr:sp macro="" textlink="">
      <xdr:nvSpPr>
        <xdr:cNvPr id="405473" name="Line 12">
          <a:extLst>
            <a:ext uri="{FF2B5EF4-FFF2-40B4-BE49-F238E27FC236}">
              <a16:creationId xmlns:a16="http://schemas.microsoft.com/office/drawing/2014/main" id="{F23B5856-C157-E41A-838E-3841E43A78C6}"/>
            </a:ext>
          </a:extLst>
        </xdr:cNvPr>
        <xdr:cNvSpPr>
          <a:spLocks noChangeShapeType="1"/>
        </xdr:cNvSpPr>
      </xdr:nvSpPr>
      <xdr:spPr bwMode="auto">
        <a:xfrm>
          <a:off x="400050" y="5124450"/>
          <a:ext cx="9525" cy="48577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34</xdr:row>
      <xdr:rowOff>0</xdr:rowOff>
    </xdr:from>
    <xdr:to>
      <xdr:col>1</xdr:col>
      <xdr:colOff>9525</xdr:colOff>
      <xdr:row>57</xdr:row>
      <xdr:rowOff>0</xdr:rowOff>
    </xdr:to>
    <xdr:sp macro="" textlink="">
      <xdr:nvSpPr>
        <xdr:cNvPr id="405474" name="Line 12">
          <a:extLst>
            <a:ext uri="{FF2B5EF4-FFF2-40B4-BE49-F238E27FC236}">
              <a16:creationId xmlns:a16="http://schemas.microsoft.com/office/drawing/2014/main" id="{E375CC2B-4304-F20B-0C08-E01B6D34DDEF}"/>
            </a:ext>
          </a:extLst>
        </xdr:cNvPr>
        <xdr:cNvSpPr>
          <a:spLocks noChangeShapeType="1"/>
        </xdr:cNvSpPr>
      </xdr:nvSpPr>
      <xdr:spPr bwMode="auto">
        <a:xfrm>
          <a:off x="400050" y="5124450"/>
          <a:ext cx="9525" cy="48577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34</xdr:row>
      <xdr:rowOff>0</xdr:rowOff>
    </xdr:from>
    <xdr:to>
      <xdr:col>1</xdr:col>
      <xdr:colOff>9525</xdr:colOff>
      <xdr:row>57</xdr:row>
      <xdr:rowOff>0</xdr:rowOff>
    </xdr:to>
    <xdr:sp macro="" textlink="">
      <xdr:nvSpPr>
        <xdr:cNvPr id="405475" name="Line 12">
          <a:extLst>
            <a:ext uri="{FF2B5EF4-FFF2-40B4-BE49-F238E27FC236}">
              <a16:creationId xmlns:a16="http://schemas.microsoft.com/office/drawing/2014/main" id="{16472C7A-1589-70B9-CF3F-4E2DC7A14419}"/>
            </a:ext>
          </a:extLst>
        </xdr:cNvPr>
        <xdr:cNvSpPr>
          <a:spLocks noChangeShapeType="1"/>
        </xdr:cNvSpPr>
      </xdr:nvSpPr>
      <xdr:spPr bwMode="auto">
        <a:xfrm>
          <a:off x="400050" y="5124450"/>
          <a:ext cx="9525" cy="48577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34</xdr:row>
      <xdr:rowOff>0</xdr:rowOff>
    </xdr:from>
    <xdr:to>
      <xdr:col>1</xdr:col>
      <xdr:colOff>9525</xdr:colOff>
      <xdr:row>57</xdr:row>
      <xdr:rowOff>0</xdr:rowOff>
    </xdr:to>
    <xdr:sp macro="" textlink="">
      <xdr:nvSpPr>
        <xdr:cNvPr id="405476" name="Line 12">
          <a:extLst>
            <a:ext uri="{FF2B5EF4-FFF2-40B4-BE49-F238E27FC236}">
              <a16:creationId xmlns:a16="http://schemas.microsoft.com/office/drawing/2014/main" id="{B51D8310-054B-BFA3-B440-6B42BF8D1BB7}"/>
            </a:ext>
          </a:extLst>
        </xdr:cNvPr>
        <xdr:cNvSpPr>
          <a:spLocks noChangeShapeType="1"/>
        </xdr:cNvSpPr>
      </xdr:nvSpPr>
      <xdr:spPr bwMode="auto">
        <a:xfrm>
          <a:off x="400050" y="5124450"/>
          <a:ext cx="9525" cy="48577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34</xdr:row>
      <xdr:rowOff>0</xdr:rowOff>
    </xdr:from>
    <xdr:to>
      <xdr:col>1</xdr:col>
      <xdr:colOff>9525</xdr:colOff>
      <xdr:row>57</xdr:row>
      <xdr:rowOff>0</xdr:rowOff>
    </xdr:to>
    <xdr:sp macro="" textlink="">
      <xdr:nvSpPr>
        <xdr:cNvPr id="405477" name="Line 12">
          <a:extLst>
            <a:ext uri="{FF2B5EF4-FFF2-40B4-BE49-F238E27FC236}">
              <a16:creationId xmlns:a16="http://schemas.microsoft.com/office/drawing/2014/main" id="{B4775E13-FE80-97B9-4D4E-39D3A503652E}"/>
            </a:ext>
          </a:extLst>
        </xdr:cNvPr>
        <xdr:cNvSpPr>
          <a:spLocks noChangeShapeType="1"/>
        </xdr:cNvSpPr>
      </xdr:nvSpPr>
      <xdr:spPr bwMode="auto">
        <a:xfrm>
          <a:off x="400050" y="5124450"/>
          <a:ext cx="9525" cy="48577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34</xdr:row>
      <xdr:rowOff>0</xdr:rowOff>
    </xdr:from>
    <xdr:to>
      <xdr:col>1</xdr:col>
      <xdr:colOff>9525</xdr:colOff>
      <xdr:row>57</xdr:row>
      <xdr:rowOff>0</xdr:rowOff>
    </xdr:to>
    <xdr:sp macro="" textlink="">
      <xdr:nvSpPr>
        <xdr:cNvPr id="405478" name="Line 12">
          <a:extLst>
            <a:ext uri="{FF2B5EF4-FFF2-40B4-BE49-F238E27FC236}">
              <a16:creationId xmlns:a16="http://schemas.microsoft.com/office/drawing/2014/main" id="{2912E24A-C1BE-D531-D4F1-23B649C03577}"/>
            </a:ext>
          </a:extLst>
        </xdr:cNvPr>
        <xdr:cNvSpPr>
          <a:spLocks noChangeShapeType="1"/>
        </xdr:cNvSpPr>
      </xdr:nvSpPr>
      <xdr:spPr bwMode="auto">
        <a:xfrm>
          <a:off x="400050" y="5124450"/>
          <a:ext cx="9525" cy="48577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42</xdr:row>
      <xdr:rowOff>0</xdr:rowOff>
    </xdr:from>
    <xdr:to>
      <xdr:col>1</xdr:col>
      <xdr:colOff>9525</xdr:colOff>
      <xdr:row>52</xdr:row>
      <xdr:rowOff>0</xdr:rowOff>
    </xdr:to>
    <xdr:sp macro="" textlink="">
      <xdr:nvSpPr>
        <xdr:cNvPr id="431625" name="Line 12">
          <a:extLst>
            <a:ext uri="{FF2B5EF4-FFF2-40B4-BE49-F238E27FC236}">
              <a16:creationId xmlns:a16="http://schemas.microsoft.com/office/drawing/2014/main" id="{DDA82FA2-6FF2-3E5C-89C8-7F385C024C80}"/>
            </a:ext>
          </a:extLst>
        </xdr:cNvPr>
        <xdr:cNvSpPr>
          <a:spLocks noChangeShapeType="1"/>
        </xdr:cNvSpPr>
      </xdr:nvSpPr>
      <xdr:spPr bwMode="auto">
        <a:xfrm>
          <a:off x="314325" y="6953250"/>
          <a:ext cx="9525" cy="17430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42</xdr:row>
      <xdr:rowOff>0</xdr:rowOff>
    </xdr:from>
    <xdr:to>
      <xdr:col>1</xdr:col>
      <xdr:colOff>9525</xdr:colOff>
      <xdr:row>52</xdr:row>
      <xdr:rowOff>0</xdr:rowOff>
    </xdr:to>
    <xdr:sp macro="" textlink="">
      <xdr:nvSpPr>
        <xdr:cNvPr id="431626" name="Line 12">
          <a:extLst>
            <a:ext uri="{FF2B5EF4-FFF2-40B4-BE49-F238E27FC236}">
              <a16:creationId xmlns:a16="http://schemas.microsoft.com/office/drawing/2014/main" id="{1B13675E-6503-E5F5-8C07-4677C050C188}"/>
            </a:ext>
          </a:extLst>
        </xdr:cNvPr>
        <xdr:cNvSpPr>
          <a:spLocks noChangeShapeType="1"/>
        </xdr:cNvSpPr>
      </xdr:nvSpPr>
      <xdr:spPr bwMode="auto">
        <a:xfrm>
          <a:off x="314325" y="6953250"/>
          <a:ext cx="9525" cy="17430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42</xdr:row>
      <xdr:rowOff>0</xdr:rowOff>
    </xdr:from>
    <xdr:to>
      <xdr:col>1</xdr:col>
      <xdr:colOff>9525</xdr:colOff>
      <xdr:row>52</xdr:row>
      <xdr:rowOff>0</xdr:rowOff>
    </xdr:to>
    <xdr:sp macro="" textlink="">
      <xdr:nvSpPr>
        <xdr:cNvPr id="431627" name="Line 12">
          <a:extLst>
            <a:ext uri="{FF2B5EF4-FFF2-40B4-BE49-F238E27FC236}">
              <a16:creationId xmlns:a16="http://schemas.microsoft.com/office/drawing/2014/main" id="{F7956DC9-9015-D218-1516-34B9C3A7A55F}"/>
            </a:ext>
          </a:extLst>
        </xdr:cNvPr>
        <xdr:cNvSpPr>
          <a:spLocks noChangeShapeType="1"/>
        </xdr:cNvSpPr>
      </xdr:nvSpPr>
      <xdr:spPr bwMode="auto">
        <a:xfrm>
          <a:off x="314325" y="6953250"/>
          <a:ext cx="9525" cy="17430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42</xdr:row>
      <xdr:rowOff>0</xdr:rowOff>
    </xdr:from>
    <xdr:to>
      <xdr:col>1</xdr:col>
      <xdr:colOff>9525</xdr:colOff>
      <xdr:row>52</xdr:row>
      <xdr:rowOff>0</xdr:rowOff>
    </xdr:to>
    <xdr:sp macro="" textlink="">
      <xdr:nvSpPr>
        <xdr:cNvPr id="431628" name="Line 12">
          <a:extLst>
            <a:ext uri="{FF2B5EF4-FFF2-40B4-BE49-F238E27FC236}">
              <a16:creationId xmlns:a16="http://schemas.microsoft.com/office/drawing/2014/main" id="{EC01EE52-C2BC-7BFD-72B1-BE1F19E2173B}"/>
            </a:ext>
          </a:extLst>
        </xdr:cNvPr>
        <xdr:cNvSpPr>
          <a:spLocks noChangeShapeType="1"/>
        </xdr:cNvSpPr>
      </xdr:nvSpPr>
      <xdr:spPr bwMode="auto">
        <a:xfrm>
          <a:off x="314325" y="6953250"/>
          <a:ext cx="9525" cy="17430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42</xdr:row>
      <xdr:rowOff>0</xdr:rowOff>
    </xdr:from>
    <xdr:to>
      <xdr:col>1</xdr:col>
      <xdr:colOff>9525</xdr:colOff>
      <xdr:row>52</xdr:row>
      <xdr:rowOff>0</xdr:rowOff>
    </xdr:to>
    <xdr:sp macro="" textlink="">
      <xdr:nvSpPr>
        <xdr:cNvPr id="431629" name="Line 12">
          <a:extLst>
            <a:ext uri="{FF2B5EF4-FFF2-40B4-BE49-F238E27FC236}">
              <a16:creationId xmlns:a16="http://schemas.microsoft.com/office/drawing/2014/main" id="{9AF4A194-29A2-951C-ADFC-4AA872BF0917}"/>
            </a:ext>
          </a:extLst>
        </xdr:cNvPr>
        <xdr:cNvSpPr>
          <a:spLocks noChangeShapeType="1"/>
        </xdr:cNvSpPr>
      </xdr:nvSpPr>
      <xdr:spPr bwMode="auto">
        <a:xfrm>
          <a:off x="314325" y="6953250"/>
          <a:ext cx="9525" cy="17430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42</xdr:row>
      <xdr:rowOff>0</xdr:rowOff>
    </xdr:from>
    <xdr:to>
      <xdr:col>1</xdr:col>
      <xdr:colOff>9525</xdr:colOff>
      <xdr:row>52</xdr:row>
      <xdr:rowOff>0</xdr:rowOff>
    </xdr:to>
    <xdr:sp macro="" textlink="">
      <xdr:nvSpPr>
        <xdr:cNvPr id="431630" name="Line 12">
          <a:extLst>
            <a:ext uri="{FF2B5EF4-FFF2-40B4-BE49-F238E27FC236}">
              <a16:creationId xmlns:a16="http://schemas.microsoft.com/office/drawing/2014/main" id="{355C1C28-B1CE-1B15-9941-034012F1E7E0}"/>
            </a:ext>
          </a:extLst>
        </xdr:cNvPr>
        <xdr:cNvSpPr>
          <a:spLocks noChangeShapeType="1"/>
        </xdr:cNvSpPr>
      </xdr:nvSpPr>
      <xdr:spPr bwMode="auto">
        <a:xfrm>
          <a:off x="314325" y="6953250"/>
          <a:ext cx="9525" cy="17430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42</xdr:row>
      <xdr:rowOff>0</xdr:rowOff>
    </xdr:from>
    <xdr:to>
      <xdr:col>1</xdr:col>
      <xdr:colOff>9525</xdr:colOff>
      <xdr:row>52</xdr:row>
      <xdr:rowOff>0</xdr:rowOff>
    </xdr:to>
    <xdr:sp macro="" textlink="">
      <xdr:nvSpPr>
        <xdr:cNvPr id="431631" name="Line 12">
          <a:extLst>
            <a:ext uri="{FF2B5EF4-FFF2-40B4-BE49-F238E27FC236}">
              <a16:creationId xmlns:a16="http://schemas.microsoft.com/office/drawing/2014/main" id="{1A21BDD0-7E16-F16A-39F8-6FD9BCF48F08}"/>
            </a:ext>
          </a:extLst>
        </xdr:cNvPr>
        <xdr:cNvSpPr>
          <a:spLocks noChangeShapeType="1"/>
        </xdr:cNvSpPr>
      </xdr:nvSpPr>
      <xdr:spPr bwMode="auto">
        <a:xfrm>
          <a:off x="314325" y="6953250"/>
          <a:ext cx="9525" cy="17430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42</xdr:row>
      <xdr:rowOff>0</xdr:rowOff>
    </xdr:from>
    <xdr:to>
      <xdr:col>1</xdr:col>
      <xdr:colOff>9525</xdr:colOff>
      <xdr:row>52</xdr:row>
      <xdr:rowOff>0</xdr:rowOff>
    </xdr:to>
    <xdr:sp macro="" textlink="">
      <xdr:nvSpPr>
        <xdr:cNvPr id="431632" name="Line 12">
          <a:extLst>
            <a:ext uri="{FF2B5EF4-FFF2-40B4-BE49-F238E27FC236}">
              <a16:creationId xmlns:a16="http://schemas.microsoft.com/office/drawing/2014/main" id="{164EF5DB-153E-C421-B153-8A9B214382E9}"/>
            </a:ext>
          </a:extLst>
        </xdr:cNvPr>
        <xdr:cNvSpPr>
          <a:spLocks noChangeShapeType="1"/>
        </xdr:cNvSpPr>
      </xdr:nvSpPr>
      <xdr:spPr bwMode="auto">
        <a:xfrm>
          <a:off x="314325" y="6953250"/>
          <a:ext cx="9525" cy="17430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42</xdr:row>
      <xdr:rowOff>0</xdr:rowOff>
    </xdr:from>
    <xdr:to>
      <xdr:col>1</xdr:col>
      <xdr:colOff>9525</xdr:colOff>
      <xdr:row>52</xdr:row>
      <xdr:rowOff>0</xdr:rowOff>
    </xdr:to>
    <xdr:sp macro="" textlink="">
      <xdr:nvSpPr>
        <xdr:cNvPr id="431633" name="Line 12">
          <a:extLst>
            <a:ext uri="{FF2B5EF4-FFF2-40B4-BE49-F238E27FC236}">
              <a16:creationId xmlns:a16="http://schemas.microsoft.com/office/drawing/2014/main" id="{9EDDE136-453F-A81D-262D-0EBADCEEBBED}"/>
            </a:ext>
          </a:extLst>
        </xdr:cNvPr>
        <xdr:cNvSpPr>
          <a:spLocks noChangeShapeType="1"/>
        </xdr:cNvSpPr>
      </xdr:nvSpPr>
      <xdr:spPr bwMode="auto">
        <a:xfrm>
          <a:off x="314325" y="6953250"/>
          <a:ext cx="9525" cy="17430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42</xdr:row>
      <xdr:rowOff>0</xdr:rowOff>
    </xdr:from>
    <xdr:to>
      <xdr:col>1</xdr:col>
      <xdr:colOff>9525</xdr:colOff>
      <xdr:row>52</xdr:row>
      <xdr:rowOff>0</xdr:rowOff>
    </xdr:to>
    <xdr:sp macro="" textlink="">
      <xdr:nvSpPr>
        <xdr:cNvPr id="431634" name="Line 12">
          <a:extLst>
            <a:ext uri="{FF2B5EF4-FFF2-40B4-BE49-F238E27FC236}">
              <a16:creationId xmlns:a16="http://schemas.microsoft.com/office/drawing/2014/main" id="{8B830B87-870B-A591-7629-AD90B3442D83}"/>
            </a:ext>
          </a:extLst>
        </xdr:cNvPr>
        <xdr:cNvSpPr>
          <a:spLocks noChangeShapeType="1"/>
        </xdr:cNvSpPr>
      </xdr:nvSpPr>
      <xdr:spPr bwMode="auto">
        <a:xfrm>
          <a:off x="314325" y="6953250"/>
          <a:ext cx="9525" cy="17430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42</xdr:row>
      <xdr:rowOff>0</xdr:rowOff>
    </xdr:from>
    <xdr:to>
      <xdr:col>1</xdr:col>
      <xdr:colOff>9525</xdr:colOff>
      <xdr:row>52</xdr:row>
      <xdr:rowOff>0</xdr:rowOff>
    </xdr:to>
    <xdr:sp macro="" textlink="">
      <xdr:nvSpPr>
        <xdr:cNvPr id="431635" name="Line 12">
          <a:extLst>
            <a:ext uri="{FF2B5EF4-FFF2-40B4-BE49-F238E27FC236}">
              <a16:creationId xmlns:a16="http://schemas.microsoft.com/office/drawing/2014/main" id="{1E669E48-F135-41FB-2762-47C87802F42C}"/>
            </a:ext>
          </a:extLst>
        </xdr:cNvPr>
        <xdr:cNvSpPr>
          <a:spLocks noChangeShapeType="1"/>
        </xdr:cNvSpPr>
      </xdr:nvSpPr>
      <xdr:spPr bwMode="auto">
        <a:xfrm>
          <a:off x="314325" y="6953250"/>
          <a:ext cx="9525" cy="17430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42</xdr:row>
      <xdr:rowOff>0</xdr:rowOff>
    </xdr:from>
    <xdr:to>
      <xdr:col>1</xdr:col>
      <xdr:colOff>9525</xdr:colOff>
      <xdr:row>52</xdr:row>
      <xdr:rowOff>0</xdr:rowOff>
    </xdr:to>
    <xdr:sp macro="" textlink="">
      <xdr:nvSpPr>
        <xdr:cNvPr id="431636" name="Line 12">
          <a:extLst>
            <a:ext uri="{FF2B5EF4-FFF2-40B4-BE49-F238E27FC236}">
              <a16:creationId xmlns:a16="http://schemas.microsoft.com/office/drawing/2014/main" id="{56C7B61F-AD03-E4A8-8CE0-471DDDDFA75C}"/>
            </a:ext>
          </a:extLst>
        </xdr:cNvPr>
        <xdr:cNvSpPr>
          <a:spLocks noChangeShapeType="1"/>
        </xdr:cNvSpPr>
      </xdr:nvSpPr>
      <xdr:spPr bwMode="auto">
        <a:xfrm>
          <a:off x="314325" y="6953250"/>
          <a:ext cx="9525" cy="17430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42</xdr:row>
      <xdr:rowOff>0</xdr:rowOff>
    </xdr:from>
    <xdr:to>
      <xdr:col>1</xdr:col>
      <xdr:colOff>9525</xdr:colOff>
      <xdr:row>52</xdr:row>
      <xdr:rowOff>0</xdr:rowOff>
    </xdr:to>
    <xdr:sp macro="" textlink="">
      <xdr:nvSpPr>
        <xdr:cNvPr id="431637" name="Line 12">
          <a:extLst>
            <a:ext uri="{FF2B5EF4-FFF2-40B4-BE49-F238E27FC236}">
              <a16:creationId xmlns:a16="http://schemas.microsoft.com/office/drawing/2014/main" id="{CB6B52AD-87C0-5423-A6B5-A4EE81942954}"/>
            </a:ext>
          </a:extLst>
        </xdr:cNvPr>
        <xdr:cNvSpPr>
          <a:spLocks noChangeShapeType="1"/>
        </xdr:cNvSpPr>
      </xdr:nvSpPr>
      <xdr:spPr bwMode="auto">
        <a:xfrm>
          <a:off x="314325" y="6953250"/>
          <a:ext cx="9525" cy="17430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19050</xdr:colOff>
      <xdr:row>43</xdr:row>
      <xdr:rowOff>66675</xdr:rowOff>
    </xdr:from>
    <xdr:to>
      <xdr:col>1</xdr:col>
      <xdr:colOff>28575</xdr:colOff>
      <xdr:row>52</xdr:row>
      <xdr:rowOff>123825</xdr:rowOff>
    </xdr:to>
    <xdr:sp macro="" textlink="">
      <xdr:nvSpPr>
        <xdr:cNvPr id="431638" name="Line 12">
          <a:extLst>
            <a:ext uri="{FF2B5EF4-FFF2-40B4-BE49-F238E27FC236}">
              <a16:creationId xmlns:a16="http://schemas.microsoft.com/office/drawing/2014/main" id="{720B0A91-744F-F1E6-D91D-F0AA1533ECDB}"/>
            </a:ext>
          </a:extLst>
        </xdr:cNvPr>
        <xdr:cNvSpPr>
          <a:spLocks noChangeShapeType="1"/>
        </xdr:cNvSpPr>
      </xdr:nvSpPr>
      <xdr:spPr bwMode="auto">
        <a:xfrm>
          <a:off x="333375" y="7077075"/>
          <a:ext cx="9525" cy="17430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47</xdr:row>
      <xdr:rowOff>0</xdr:rowOff>
    </xdr:from>
    <xdr:to>
      <xdr:col>1</xdr:col>
      <xdr:colOff>9525</xdr:colOff>
      <xdr:row>54</xdr:row>
      <xdr:rowOff>0</xdr:rowOff>
    </xdr:to>
    <xdr:sp macro="" textlink="">
      <xdr:nvSpPr>
        <xdr:cNvPr id="431639" name="Line 12">
          <a:extLst>
            <a:ext uri="{FF2B5EF4-FFF2-40B4-BE49-F238E27FC236}">
              <a16:creationId xmlns:a16="http://schemas.microsoft.com/office/drawing/2014/main" id="{80795ADC-C40D-C6A1-0405-87E16F181AB0}"/>
            </a:ext>
          </a:extLst>
        </xdr:cNvPr>
        <xdr:cNvSpPr>
          <a:spLocks noChangeShapeType="1"/>
        </xdr:cNvSpPr>
      </xdr:nvSpPr>
      <xdr:spPr bwMode="auto">
        <a:xfrm>
          <a:off x="314325" y="7858125"/>
          <a:ext cx="9525" cy="12001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47</xdr:row>
      <xdr:rowOff>0</xdr:rowOff>
    </xdr:from>
    <xdr:to>
      <xdr:col>1</xdr:col>
      <xdr:colOff>9525</xdr:colOff>
      <xdr:row>54</xdr:row>
      <xdr:rowOff>0</xdr:rowOff>
    </xdr:to>
    <xdr:sp macro="" textlink="">
      <xdr:nvSpPr>
        <xdr:cNvPr id="431640" name="Line 12">
          <a:extLst>
            <a:ext uri="{FF2B5EF4-FFF2-40B4-BE49-F238E27FC236}">
              <a16:creationId xmlns:a16="http://schemas.microsoft.com/office/drawing/2014/main" id="{2D1E98A8-0AAF-4FF2-2B5C-1765189B5514}"/>
            </a:ext>
          </a:extLst>
        </xdr:cNvPr>
        <xdr:cNvSpPr>
          <a:spLocks noChangeShapeType="1"/>
        </xdr:cNvSpPr>
      </xdr:nvSpPr>
      <xdr:spPr bwMode="auto">
        <a:xfrm>
          <a:off x="314325" y="7858125"/>
          <a:ext cx="9525" cy="12001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47</xdr:row>
      <xdr:rowOff>0</xdr:rowOff>
    </xdr:from>
    <xdr:to>
      <xdr:col>1</xdr:col>
      <xdr:colOff>9525</xdr:colOff>
      <xdr:row>54</xdr:row>
      <xdr:rowOff>0</xdr:rowOff>
    </xdr:to>
    <xdr:sp macro="" textlink="">
      <xdr:nvSpPr>
        <xdr:cNvPr id="431641" name="Line 12">
          <a:extLst>
            <a:ext uri="{FF2B5EF4-FFF2-40B4-BE49-F238E27FC236}">
              <a16:creationId xmlns:a16="http://schemas.microsoft.com/office/drawing/2014/main" id="{FD7A61AF-9D96-2BC7-3392-B0B5879235FE}"/>
            </a:ext>
          </a:extLst>
        </xdr:cNvPr>
        <xdr:cNvSpPr>
          <a:spLocks noChangeShapeType="1"/>
        </xdr:cNvSpPr>
      </xdr:nvSpPr>
      <xdr:spPr bwMode="auto">
        <a:xfrm>
          <a:off x="314325" y="7858125"/>
          <a:ext cx="9525" cy="12001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47</xdr:row>
      <xdr:rowOff>0</xdr:rowOff>
    </xdr:from>
    <xdr:to>
      <xdr:col>1</xdr:col>
      <xdr:colOff>9525</xdr:colOff>
      <xdr:row>54</xdr:row>
      <xdr:rowOff>0</xdr:rowOff>
    </xdr:to>
    <xdr:sp macro="" textlink="">
      <xdr:nvSpPr>
        <xdr:cNvPr id="431642" name="Line 12">
          <a:extLst>
            <a:ext uri="{FF2B5EF4-FFF2-40B4-BE49-F238E27FC236}">
              <a16:creationId xmlns:a16="http://schemas.microsoft.com/office/drawing/2014/main" id="{8B201D60-99DC-37E2-BD9A-A12AAEFAF0F8}"/>
            </a:ext>
          </a:extLst>
        </xdr:cNvPr>
        <xdr:cNvSpPr>
          <a:spLocks noChangeShapeType="1"/>
        </xdr:cNvSpPr>
      </xdr:nvSpPr>
      <xdr:spPr bwMode="auto">
        <a:xfrm>
          <a:off x="314325" y="7858125"/>
          <a:ext cx="9525" cy="12001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47</xdr:row>
      <xdr:rowOff>0</xdr:rowOff>
    </xdr:from>
    <xdr:to>
      <xdr:col>1</xdr:col>
      <xdr:colOff>9525</xdr:colOff>
      <xdr:row>54</xdr:row>
      <xdr:rowOff>0</xdr:rowOff>
    </xdr:to>
    <xdr:sp macro="" textlink="">
      <xdr:nvSpPr>
        <xdr:cNvPr id="431643" name="Line 12">
          <a:extLst>
            <a:ext uri="{FF2B5EF4-FFF2-40B4-BE49-F238E27FC236}">
              <a16:creationId xmlns:a16="http://schemas.microsoft.com/office/drawing/2014/main" id="{20FEFF40-A0F3-126D-6F69-05E537503E6C}"/>
            </a:ext>
          </a:extLst>
        </xdr:cNvPr>
        <xdr:cNvSpPr>
          <a:spLocks noChangeShapeType="1"/>
        </xdr:cNvSpPr>
      </xdr:nvSpPr>
      <xdr:spPr bwMode="auto">
        <a:xfrm>
          <a:off x="314325" y="7858125"/>
          <a:ext cx="9525" cy="12001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47</xdr:row>
      <xdr:rowOff>0</xdr:rowOff>
    </xdr:from>
    <xdr:to>
      <xdr:col>1</xdr:col>
      <xdr:colOff>9525</xdr:colOff>
      <xdr:row>54</xdr:row>
      <xdr:rowOff>0</xdr:rowOff>
    </xdr:to>
    <xdr:sp macro="" textlink="">
      <xdr:nvSpPr>
        <xdr:cNvPr id="431644" name="Line 12">
          <a:extLst>
            <a:ext uri="{FF2B5EF4-FFF2-40B4-BE49-F238E27FC236}">
              <a16:creationId xmlns:a16="http://schemas.microsoft.com/office/drawing/2014/main" id="{CD3C54B3-30EA-383C-D633-F7EEB2A7F520}"/>
            </a:ext>
          </a:extLst>
        </xdr:cNvPr>
        <xdr:cNvSpPr>
          <a:spLocks noChangeShapeType="1"/>
        </xdr:cNvSpPr>
      </xdr:nvSpPr>
      <xdr:spPr bwMode="auto">
        <a:xfrm>
          <a:off x="314325" y="7858125"/>
          <a:ext cx="9525" cy="12001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47</xdr:row>
      <xdr:rowOff>0</xdr:rowOff>
    </xdr:from>
    <xdr:to>
      <xdr:col>1</xdr:col>
      <xdr:colOff>9525</xdr:colOff>
      <xdr:row>54</xdr:row>
      <xdr:rowOff>0</xdr:rowOff>
    </xdr:to>
    <xdr:sp macro="" textlink="">
      <xdr:nvSpPr>
        <xdr:cNvPr id="431645" name="Line 12">
          <a:extLst>
            <a:ext uri="{FF2B5EF4-FFF2-40B4-BE49-F238E27FC236}">
              <a16:creationId xmlns:a16="http://schemas.microsoft.com/office/drawing/2014/main" id="{9EB2878C-B7FF-8096-D808-035E94F65D00}"/>
            </a:ext>
          </a:extLst>
        </xdr:cNvPr>
        <xdr:cNvSpPr>
          <a:spLocks noChangeShapeType="1"/>
        </xdr:cNvSpPr>
      </xdr:nvSpPr>
      <xdr:spPr bwMode="auto">
        <a:xfrm>
          <a:off x="314325" y="7858125"/>
          <a:ext cx="9525" cy="12001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47</xdr:row>
      <xdr:rowOff>0</xdr:rowOff>
    </xdr:from>
    <xdr:to>
      <xdr:col>1</xdr:col>
      <xdr:colOff>9525</xdr:colOff>
      <xdr:row>54</xdr:row>
      <xdr:rowOff>0</xdr:rowOff>
    </xdr:to>
    <xdr:sp macro="" textlink="">
      <xdr:nvSpPr>
        <xdr:cNvPr id="431646" name="Line 12">
          <a:extLst>
            <a:ext uri="{FF2B5EF4-FFF2-40B4-BE49-F238E27FC236}">
              <a16:creationId xmlns:a16="http://schemas.microsoft.com/office/drawing/2014/main" id="{C65D9F10-94FC-A6B5-83FB-E6A209DB1121}"/>
            </a:ext>
          </a:extLst>
        </xdr:cNvPr>
        <xdr:cNvSpPr>
          <a:spLocks noChangeShapeType="1"/>
        </xdr:cNvSpPr>
      </xdr:nvSpPr>
      <xdr:spPr bwMode="auto">
        <a:xfrm>
          <a:off x="314325" y="7858125"/>
          <a:ext cx="9525" cy="12001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47</xdr:row>
      <xdr:rowOff>0</xdr:rowOff>
    </xdr:from>
    <xdr:to>
      <xdr:col>1</xdr:col>
      <xdr:colOff>9525</xdr:colOff>
      <xdr:row>54</xdr:row>
      <xdr:rowOff>0</xdr:rowOff>
    </xdr:to>
    <xdr:sp macro="" textlink="">
      <xdr:nvSpPr>
        <xdr:cNvPr id="431647" name="Line 12">
          <a:extLst>
            <a:ext uri="{FF2B5EF4-FFF2-40B4-BE49-F238E27FC236}">
              <a16:creationId xmlns:a16="http://schemas.microsoft.com/office/drawing/2014/main" id="{FB5A6967-06AA-A572-E727-F7D9ACF88F69}"/>
            </a:ext>
          </a:extLst>
        </xdr:cNvPr>
        <xdr:cNvSpPr>
          <a:spLocks noChangeShapeType="1"/>
        </xdr:cNvSpPr>
      </xdr:nvSpPr>
      <xdr:spPr bwMode="auto">
        <a:xfrm>
          <a:off x="314325" y="7858125"/>
          <a:ext cx="9525" cy="12001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47</xdr:row>
      <xdr:rowOff>0</xdr:rowOff>
    </xdr:from>
    <xdr:to>
      <xdr:col>1</xdr:col>
      <xdr:colOff>9525</xdr:colOff>
      <xdr:row>54</xdr:row>
      <xdr:rowOff>0</xdr:rowOff>
    </xdr:to>
    <xdr:sp macro="" textlink="">
      <xdr:nvSpPr>
        <xdr:cNvPr id="431648" name="Line 12">
          <a:extLst>
            <a:ext uri="{FF2B5EF4-FFF2-40B4-BE49-F238E27FC236}">
              <a16:creationId xmlns:a16="http://schemas.microsoft.com/office/drawing/2014/main" id="{BB9660C6-B79F-0040-3ADB-5A702F417D02}"/>
            </a:ext>
          </a:extLst>
        </xdr:cNvPr>
        <xdr:cNvSpPr>
          <a:spLocks noChangeShapeType="1"/>
        </xdr:cNvSpPr>
      </xdr:nvSpPr>
      <xdr:spPr bwMode="auto">
        <a:xfrm>
          <a:off x="314325" y="7858125"/>
          <a:ext cx="9525" cy="12001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47</xdr:row>
      <xdr:rowOff>0</xdr:rowOff>
    </xdr:from>
    <xdr:to>
      <xdr:col>1</xdr:col>
      <xdr:colOff>9525</xdr:colOff>
      <xdr:row>54</xdr:row>
      <xdr:rowOff>0</xdr:rowOff>
    </xdr:to>
    <xdr:sp macro="" textlink="">
      <xdr:nvSpPr>
        <xdr:cNvPr id="431649" name="Line 12">
          <a:extLst>
            <a:ext uri="{FF2B5EF4-FFF2-40B4-BE49-F238E27FC236}">
              <a16:creationId xmlns:a16="http://schemas.microsoft.com/office/drawing/2014/main" id="{EBCDB9A7-5624-DA59-4D50-1E89AF2A6640}"/>
            </a:ext>
          </a:extLst>
        </xdr:cNvPr>
        <xdr:cNvSpPr>
          <a:spLocks noChangeShapeType="1"/>
        </xdr:cNvSpPr>
      </xdr:nvSpPr>
      <xdr:spPr bwMode="auto">
        <a:xfrm>
          <a:off x="314325" y="7858125"/>
          <a:ext cx="9525" cy="12001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47</xdr:row>
      <xdr:rowOff>0</xdr:rowOff>
    </xdr:from>
    <xdr:to>
      <xdr:col>1</xdr:col>
      <xdr:colOff>9525</xdr:colOff>
      <xdr:row>54</xdr:row>
      <xdr:rowOff>0</xdr:rowOff>
    </xdr:to>
    <xdr:sp macro="" textlink="">
      <xdr:nvSpPr>
        <xdr:cNvPr id="431650" name="Line 12">
          <a:extLst>
            <a:ext uri="{FF2B5EF4-FFF2-40B4-BE49-F238E27FC236}">
              <a16:creationId xmlns:a16="http://schemas.microsoft.com/office/drawing/2014/main" id="{9213C421-D55F-AFD2-3E1E-B28BD5B82913}"/>
            </a:ext>
          </a:extLst>
        </xdr:cNvPr>
        <xdr:cNvSpPr>
          <a:spLocks noChangeShapeType="1"/>
        </xdr:cNvSpPr>
      </xdr:nvSpPr>
      <xdr:spPr bwMode="auto">
        <a:xfrm>
          <a:off x="314325" y="7858125"/>
          <a:ext cx="9525" cy="12001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47</xdr:row>
      <xdr:rowOff>0</xdr:rowOff>
    </xdr:from>
    <xdr:to>
      <xdr:col>1</xdr:col>
      <xdr:colOff>9525</xdr:colOff>
      <xdr:row>54</xdr:row>
      <xdr:rowOff>0</xdr:rowOff>
    </xdr:to>
    <xdr:sp macro="" textlink="">
      <xdr:nvSpPr>
        <xdr:cNvPr id="431651" name="Line 12">
          <a:extLst>
            <a:ext uri="{FF2B5EF4-FFF2-40B4-BE49-F238E27FC236}">
              <a16:creationId xmlns:a16="http://schemas.microsoft.com/office/drawing/2014/main" id="{92EEED6A-F10F-F660-7877-31241167B531}"/>
            </a:ext>
          </a:extLst>
        </xdr:cNvPr>
        <xdr:cNvSpPr>
          <a:spLocks noChangeShapeType="1"/>
        </xdr:cNvSpPr>
      </xdr:nvSpPr>
      <xdr:spPr bwMode="auto">
        <a:xfrm>
          <a:off x="314325" y="7858125"/>
          <a:ext cx="9525" cy="12001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47</xdr:row>
      <xdr:rowOff>0</xdr:rowOff>
    </xdr:from>
    <xdr:to>
      <xdr:col>1</xdr:col>
      <xdr:colOff>9525</xdr:colOff>
      <xdr:row>54</xdr:row>
      <xdr:rowOff>0</xdr:rowOff>
    </xdr:to>
    <xdr:sp macro="" textlink="">
      <xdr:nvSpPr>
        <xdr:cNvPr id="431652" name="Line 12">
          <a:extLst>
            <a:ext uri="{FF2B5EF4-FFF2-40B4-BE49-F238E27FC236}">
              <a16:creationId xmlns:a16="http://schemas.microsoft.com/office/drawing/2014/main" id="{E9AF4C55-A9AE-B89E-9821-350A68B3B688}"/>
            </a:ext>
          </a:extLst>
        </xdr:cNvPr>
        <xdr:cNvSpPr>
          <a:spLocks noChangeShapeType="1"/>
        </xdr:cNvSpPr>
      </xdr:nvSpPr>
      <xdr:spPr bwMode="auto">
        <a:xfrm>
          <a:off x="314325" y="7858125"/>
          <a:ext cx="9525" cy="12001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39</xdr:row>
      <xdr:rowOff>0</xdr:rowOff>
    </xdr:from>
    <xdr:to>
      <xdr:col>1</xdr:col>
      <xdr:colOff>9525</xdr:colOff>
      <xdr:row>46</xdr:row>
      <xdr:rowOff>0</xdr:rowOff>
    </xdr:to>
    <xdr:sp macro="" textlink="">
      <xdr:nvSpPr>
        <xdr:cNvPr id="433849" name="Line 12">
          <a:extLst>
            <a:ext uri="{FF2B5EF4-FFF2-40B4-BE49-F238E27FC236}">
              <a16:creationId xmlns:a16="http://schemas.microsoft.com/office/drawing/2014/main" id="{A2D13B85-DECC-C30E-186A-639C3875BF54}"/>
            </a:ext>
          </a:extLst>
        </xdr:cNvPr>
        <xdr:cNvSpPr>
          <a:spLocks noChangeShapeType="1"/>
        </xdr:cNvSpPr>
      </xdr:nvSpPr>
      <xdr:spPr bwMode="auto">
        <a:xfrm>
          <a:off x="314325" y="6219825"/>
          <a:ext cx="9525" cy="1371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39</xdr:row>
      <xdr:rowOff>0</xdr:rowOff>
    </xdr:from>
    <xdr:to>
      <xdr:col>1</xdr:col>
      <xdr:colOff>9525</xdr:colOff>
      <xdr:row>46</xdr:row>
      <xdr:rowOff>0</xdr:rowOff>
    </xdr:to>
    <xdr:sp macro="" textlink="">
      <xdr:nvSpPr>
        <xdr:cNvPr id="433850" name="Line 12">
          <a:extLst>
            <a:ext uri="{FF2B5EF4-FFF2-40B4-BE49-F238E27FC236}">
              <a16:creationId xmlns:a16="http://schemas.microsoft.com/office/drawing/2014/main" id="{87FE6B99-B3C1-3D71-AE9C-1DD7D7A6EAF0}"/>
            </a:ext>
          </a:extLst>
        </xdr:cNvPr>
        <xdr:cNvSpPr>
          <a:spLocks noChangeShapeType="1"/>
        </xdr:cNvSpPr>
      </xdr:nvSpPr>
      <xdr:spPr bwMode="auto">
        <a:xfrm>
          <a:off x="314325" y="6219825"/>
          <a:ext cx="9525" cy="1371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39</xdr:row>
      <xdr:rowOff>0</xdr:rowOff>
    </xdr:from>
    <xdr:to>
      <xdr:col>1</xdr:col>
      <xdr:colOff>9525</xdr:colOff>
      <xdr:row>46</xdr:row>
      <xdr:rowOff>0</xdr:rowOff>
    </xdr:to>
    <xdr:sp macro="" textlink="">
      <xdr:nvSpPr>
        <xdr:cNvPr id="433851" name="Line 12">
          <a:extLst>
            <a:ext uri="{FF2B5EF4-FFF2-40B4-BE49-F238E27FC236}">
              <a16:creationId xmlns:a16="http://schemas.microsoft.com/office/drawing/2014/main" id="{AB1069B5-E4FD-1027-AA59-86E28EF97554}"/>
            </a:ext>
          </a:extLst>
        </xdr:cNvPr>
        <xdr:cNvSpPr>
          <a:spLocks noChangeShapeType="1"/>
        </xdr:cNvSpPr>
      </xdr:nvSpPr>
      <xdr:spPr bwMode="auto">
        <a:xfrm>
          <a:off x="314325" y="6219825"/>
          <a:ext cx="9525" cy="1371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39</xdr:row>
      <xdr:rowOff>0</xdr:rowOff>
    </xdr:from>
    <xdr:to>
      <xdr:col>1</xdr:col>
      <xdr:colOff>9525</xdr:colOff>
      <xdr:row>46</xdr:row>
      <xdr:rowOff>0</xdr:rowOff>
    </xdr:to>
    <xdr:sp macro="" textlink="">
      <xdr:nvSpPr>
        <xdr:cNvPr id="433852" name="Line 12">
          <a:extLst>
            <a:ext uri="{FF2B5EF4-FFF2-40B4-BE49-F238E27FC236}">
              <a16:creationId xmlns:a16="http://schemas.microsoft.com/office/drawing/2014/main" id="{81C84B3A-879C-BC3C-3391-1B70D71A4651}"/>
            </a:ext>
          </a:extLst>
        </xdr:cNvPr>
        <xdr:cNvSpPr>
          <a:spLocks noChangeShapeType="1"/>
        </xdr:cNvSpPr>
      </xdr:nvSpPr>
      <xdr:spPr bwMode="auto">
        <a:xfrm>
          <a:off x="314325" y="6219825"/>
          <a:ext cx="9525" cy="1371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39</xdr:row>
      <xdr:rowOff>0</xdr:rowOff>
    </xdr:from>
    <xdr:to>
      <xdr:col>1</xdr:col>
      <xdr:colOff>9525</xdr:colOff>
      <xdr:row>46</xdr:row>
      <xdr:rowOff>0</xdr:rowOff>
    </xdr:to>
    <xdr:sp macro="" textlink="">
      <xdr:nvSpPr>
        <xdr:cNvPr id="433853" name="Line 12">
          <a:extLst>
            <a:ext uri="{FF2B5EF4-FFF2-40B4-BE49-F238E27FC236}">
              <a16:creationId xmlns:a16="http://schemas.microsoft.com/office/drawing/2014/main" id="{EC943758-26F3-549C-9B70-428DE28E2BE7}"/>
            </a:ext>
          </a:extLst>
        </xdr:cNvPr>
        <xdr:cNvSpPr>
          <a:spLocks noChangeShapeType="1"/>
        </xdr:cNvSpPr>
      </xdr:nvSpPr>
      <xdr:spPr bwMode="auto">
        <a:xfrm>
          <a:off x="314325" y="6219825"/>
          <a:ext cx="9525" cy="1371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39</xdr:row>
      <xdr:rowOff>0</xdr:rowOff>
    </xdr:from>
    <xdr:to>
      <xdr:col>1</xdr:col>
      <xdr:colOff>9525</xdr:colOff>
      <xdr:row>46</xdr:row>
      <xdr:rowOff>0</xdr:rowOff>
    </xdr:to>
    <xdr:sp macro="" textlink="">
      <xdr:nvSpPr>
        <xdr:cNvPr id="433854" name="Line 12">
          <a:extLst>
            <a:ext uri="{FF2B5EF4-FFF2-40B4-BE49-F238E27FC236}">
              <a16:creationId xmlns:a16="http://schemas.microsoft.com/office/drawing/2014/main" id="{9C39AE6A-0E73-05AC-9A36-E6006A3E57D6}"/>
            </a:ext>
          </a:extLst>
        </xdr:cNvPr>
        <xdr:cNvSpPr>
          <a:spLocks noChangeShapeType="1"/>
        </xdr:cNvSpPr>
      </xdr:nvSpPr>
      <xdr:spPr bwMode="auto">
        <a:xfrm>
          <a:off x="314325" y="6219825"/>
          <a:ext cx="9525" cy="1371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39</xdr:row>
      <xdr:rowOff>0</xdr:rowOff>
    </xdr:from>
    <xdr:to>
      <xdr:col>1</xdr:col>
      <xdr:colOff>9525</xdr:colOff>
      <xdr:row>46</xdr:row>
      <xdr:rowOff>0</xdr:rowOff>
    </xdr:to>
    <xdr:sp macro="" textlink="">
      <xdr:nvSpPr>
        <xdr:cNvPr id="433855" name="Line 12">
          <a:extLst>
            <a:ext uri="{FF2B5EF4-FFF2-40B4-BE49-F238E27FC236}">
              <a16:creationId xmlns:a16="http://schemas.microsoft.com/office/drawing/2014/main" id="{5BFB02FC-DC84-D26C-9E4B-A5D22EF1E105}"/>
            </a:ext>
          </a:extLst>
        </xdr:cNvPr>
        <xdr:cNvSpPr>
          <a:spLocks noChangeShapeType="1"/>
        </xdr:cNvSpPr>
      </xdr:nvSpPr>
      <xdr:spPr bwMode="auto">
        <a:xfrm>
          <a:off x="314325" y="6219825"/>
          <a:ext cx="9525" cy="1371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39</xdr:row>
      <xdr:rowOff>0</xdr:rowOff>
    </xdr:from>
    <xdr:to>
      <xdr:col>1</xdr:col>
      <xdr:colOff>9525</xdr:colOff>
      <xdr:row>46</xdr:row>
      <xdr:rowOff>0</xdr:rowOff>
    </xdr:to>
    <xdr:sp macro="" textlink="">
      <xdr:nvSpPr>
        <xdr:cNvPr id="433856" name="Line 12">
          <a:extLst>
            <a:ext uri="{FF2B5EF4-FFF2-40B4-BE49-F238E27FC236}">
              <a16:creationId xmlns:a16="http://schemas.microsoft.com/office/drawing/2014/main" id="{732C3AFE-0505-A560-CAFC-DE759CB07224}"/>
            </a:ext>
          </a:extLst>
        </xdr:cNvPr>
        <xdr:cNvSpPr>
          <a:spLocks noChangeShapeType="1"/>
        </xdr:cNvSpPr>
      </xdr:nvSpPr>
      <xdr:spPr bwMode="auto">
        <a:xfrm>
          <a:off x="314325" y="6219825"/>
          <a:ext cx="9525" cy="1371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39</xdr:row>
      <xdr:rowOff>0</xdr:rowOff>
    </xdr:from>
    <xdr:to>
      <xdr:col>1</xdr:col>
      <xdr:colOff>9525</xdr:colOff>
      <xdr:row>46</xdr:row>
      <xdr:rowOff>0</xdr:rowOff>
    </xdr:to>
    <xdr:sp macro="" textlink="">
      <xdr:nvSpPr>
        <xdr:cNvPr id="433857" name="Line 12">
          <a:extLst>
            <a:ext uri="{FF2B5EF4-FFF2-40B4-BE49-F238E27FC236}">
              <a16:creationId xmlns:a16="http://schemas.microsoft.com/office/drawing/2014/main" id="{4BCC0239-AFE4-B871-3E14-43E361170B0C}"/>
            </a:ext>
          </a:extLst>
        </xdr:cNvPr>
        <xdr:cNvSpPr>
          <a:spLocks noChangeShapeType="1"/>
        </xdr:cNvSpPr>
      </xdr:nvSpPr>
      <xdr:spPr bwMode="auto">
        <a:xfrm>
          <a:off x="314325" y="6219825"/>
          <a:ext cx="9525" cy="1371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39</xdr:row>
      <xdr:rowOff>0</xdr:rowOff>
    </xdr:from>
    <xdr:to>
      <xdr:col>1</xdr:col>
      <xdr:colOff>9525</xdr:colOff>
      <xdr:row>46</xdr:row>
      <xdr:rowOff>0</xdr:rowOff>
    </xdr:to>
    <xdr:sp macro="" textlink="">
      <xdr:nvSpPr>
        <xdr:cNvPr id="433858" name="Line 12">
          <a:extLst>
            <a:ext uri="{FF2B5EF4-FFF2-40B4-BE49-F238E27FC236}">
              <a16:creationId xmlns:a16="http://schemas.microsoft.com/office/drawing/2014/main" id="{E4C68692-12AA-CD85-9D8D-0C406F0B86ED}"/>
            </a:ext>
          </a:extLst>
        </xdr:cNvPr>
        <xdr:cNvSpPr>
          <a:spLocks noChangeShapeType="1"/>
        </xdr:cNvSpPr>
      </xdr:nvSpPr>
      <xdr:spPr bwMode="auto">
        <a:xfrm>
          <a:off x="314325" y="6219825"/>
          <a:ext cx="9525" cy="1371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39</xdr:row>
      <xdr:rowOff>0</xdr:rowOff>
    </xdr:from>
    <xdr:to>
      <xdr:col>1</xdr:col>
      <xdr:colOff>9525</xdr:colOff>
      <xdr:row>46</xdr:row>
      <xdr:rowOff>0</xdr:rowOff>
    </xdr:to>
    <xdr:sp macro="" textlink="">
      <xdr:nvSpPr>
        <xdr:cNvPr id="433859" name="Line 12">
          <a:extLst>
            <a:ext uri="{FF2B5EF4-FFF2-40B4-BE49-F238E27FC236}">
              <a16:creationId xmlns:a16="http://schemas.microsoft.com/office/drawing/2014/main" id="{043D852C-AE5E-4E16-6AE6-6648E9D9261D}"/>
            </a:ext>
          </a:extLst>
        </xdr:cNvPr>
        <xdr:cNvSpPr>
          <a:spLocks noChangeShapeType="1"/>
        </xdr:cNvSpPr>
      </xdr:nvSpPr>
      <xdr:spPr bwMode="auto">
        <a:xfrm>
          <a:off x="314325" y="6219825"/>
          <a:ext cx="9525" cy="1371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39</xdr:row>
      <xdr:rowOff>0</xdr:rowOff>
    </xdr:from>
    <xdr:to>
      <xdr:col>1</xdr:col>
      <xdr:colOff>9525</xdr:colOff>
      <xdr:row>46</xdr:row>
      <xdr:rowOff>0</xdr:rowOff>
    </xdr:to>
    <xdr:sp macro="" textlink="">
      <xdr:nvSpPr>
        <xdr:cNvPr id="433860" name="Line 12">
          <a:extLst>
            <a:ext uri="{FF2B5EF4-FFF2-40B4-BE49-F238E27FC236}">
              <a16:creationId xmlns:a16="http://schemas.microsoft.com/office/drawing/2014/main" id="{C82CB71D-2F12-36F7-02E4-818A1330C4E9}"/>
            </a:ext>
          </a:extLst>
        </xdr:cNvPr>
        <xdr:cNvSpPr>
          <a:spLocks noChangeShapeType="1"/>
        </xdr:cNvSpPr>
      </xdr:nvSpPr>
      <xdr:spPr bwMode="auto">
        <a:xfrm>
          <a:off x="314325" y="6219825"/>
          <a:ext cx="9525" cy="1371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39</xdr:row>
      <xdr:rowOff>0</xdr:rowOff>
    </xdr:from>
    <xdr:to>
      <xdr:col>1</xdr:col>
      <xdr:colOff>9525</xdr:colOff>
      <xdr:row>46</xdr:row>
      <xdr:rowOff>0</xdr:rowOff>
    </xdr:to>
    <xdr:sp macro="" textlink="">
      <xdr:nvSpPr>
        <xdr:cNvPr id="433861" name="Line 12">
          <a:extLst>
            <a:ext uri="{FF2B5EF4-FFF2-40B4-BE49-F238E27FC236}">
              <a16:creationId xmlns:a16="http://schemas.microsoft.com/office/drawing/2014/main" id="{E8EE91A7-6B70-A06C-CD28-3CBA247B29B9}"/>
            </a:ext>
          </a:extLst>
        </xdr:cNvPr>
        <xdr:cNvSpPr>
          <a:spLocks noChangeShapeType="1"/>
        </xdr:cNvSpPr>
      </xdr:nvSpPr>
      <xdr:spPr bwMode="auto">
        <a:xfrm>
          <a:off x="314325" y="6219825"/>
          <a:ext cx="9525" cy="1371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39</xdr:row>
      <xdr:rowOff>0</xdr:rowOff>
    </xdr:from>
    <xdr:to>
      <xdr:col>1</xdr:col>
      <xdr:colOff>9525</xdr:colOff>
      <xdr:row>46</xdr:row>
      <xdr:rowOff>0</xdr:rowOff>
    </xdr:to>
    <xdr:sp macro="" textlink="">
      <xdr:nvSpPr>
        <xdr:cNvPr id="433862" name="Line 12">
          <a:extLst>
            <a:ext uri="{FF2B5EF4-FFF2-40B4-BE49-F238E27FC236}">
              <a16:creationId xmlns:a16="http://schemas.microsoft.com/office/drawing/2014/main" id="{21BAE581-E00D-0132-2764-190E05CA0429}"/>
            </a:ext>
          </a:extLst>
        </xdr:cNvPr>
        <xdr:cNvSpPr>
          <a:spLocks noChangeShapeType="1"/>
        </xdr:cNvSpPr>
      </xdr:nvSpPr>
      <xdr:spPr bwMode="auto">
        <a:xfrm>
          <a:off x="314325" y="6219825"/>
          <a:ext cx="9525" cy="1371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9525</xdr:colOff>
      <xdr:row>49</xdr:row>
      <xdr:rowOff>0</xdr:rowOff>
    </xdr:to>
    <xdr:sp macro="" textlink="">
      <xdr:nvSpPr>
        <xdr:cNvPr id="433863" name="Line 12">
          <a:extLst>
            <a:ext uri="{FF2B5EF4-FFF2-40B4-BE49-F238E27FC236}">
              <a16:creationId xmlns:a16="http://schemas.microsoft.com/office/drawing/2014/main" id="{DECB9255-CB19-6CA8-CFF2-721F3F85A461}"/>
            </a:ext>
          </a:extLst>
        </xdr:cNvPr>
        <xdr:cNvSpPr>
          <a:spLocks noChangeShapeType="1"/>
        </xdr:cNvSpPr>
      </xdr:nvSpPr>
      <xdr:spPr bwMode="auto">
        <a:xfrm>
          <a:off x="314325" y="4191000"/>
          <a:ext cx="9525" cy="3962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9525</xdr:colOff>
      <xdr:row>49</xdr:row>
      <xdr:rowOff>0</xdr:rowOff>
    </xdr:to>
    <xdr:sp macro="" textlink="">
      <xdr:nvSpPr>
        <xdr:cNvPr id="433864" name="Line 12">
          <a:extLst>
            <a:ext uri="{FF2B5EF4-FFF2-40B4-BE49-F238E27FC236}">
              <a16:creationId xmlns:a16="http://schemas.microsoft.com/office/drawing/2014/main" id="{31E56CD3-004A-97CC-5074-B20F8F708B68}"/>
            </a:ext>
          </a:extLst>
        </xdr:cNvPr>
        <xdr:cNvSpPr>
          <a:spLocks noChangeShapeType="1"/>
        </xdr:cNvSpPr>
      </xdr:nvSpPr>
      <xdr:spPr bwMode="auto">
        <a:xfrm>
          <a:off x="314325" y="4191000"/>
          <a:ext cx="9525" cy="3962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9525</xdr:colOff>
      <xdr:row>49</xdr:row>
      <xdr:rowOff>0</xdr:rowOff>
    </xdr:to>
    <xdr:sp macro="" textlink="">
      <xdr:nvSpPr>
        <xdr:cNvPr id="433865" name="Line 12">
          <a:extLst>
            <a:ext uri="{FF2B5EF4-FFF2-40B4-BE49-F238E27FC236}">
              <a16:creationId xmlns:a16="http://schemas.microsoft.com/office/drawing/2014/main" id="{7344B5FA-0975-2407-9A4D-399EBC0C2333}"/>
            </a:ext>
          </a:extLst>
        </xdr:cNvPr>
        <xdr:cNvSpPr>
          <a:spLocks noChangeShapeType="1"/>
        </xdr:cNvSpPr>
      </xdr:nvSpPr>
      <xdr:spPr bwMode="auto">
        <a:xfrm>
          <a:off x="314325" y="4191000"/>
          <a:ext cx="9525" cy="3962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9525</xdr:colOff>
      <xdr:row>49</xdr:row>
      <xdr:rowOff>0</xdr:rowOff>
    </xdr:to>
    <xdr:sp macro="" textlink="">
      <xdr:nvSpPr>
        <xdr:cNvPr id="433866" name="Line 12">
          <a:extLst>
            <a:ext uri="{FF2B5EF4-FFF2-40B4-BE49-F238E27FC236}">
              <a16:creationId xmlns:a16="http://schemas.microsoft.com/office/drawing/2014/main" id="{BEC0C523-9337-96E6-56A4-7BD21704ABAC}"/>
            </a:ext>
          </a:extLst>
        </xdr:cNvPr>
        <xdr:cNvSpPr>
          <a:spLocks noChangeShapeType="1"/>
        </xdr:cNvSpPr>
      </xdr:nvSpPr>
      <xdr:spPr bwMode="auto">
        <a:xfrm>
          <a:off x="314325" y="4191000"/>
          <a:ext cx="9525" cy="3962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9525</xdr:colOff>
      <xdr:row>49</xdr:row>
      <xdr:rowOff>0</xdr:rowOff>
    </xdr:to>
    <xdr:sp macro="" textlink="">
      <xdr:nvSpPr>
        <xdr:cNvPr id="433867" name="Line 12">
          <a:extLst>
            <a:ext uri="{FF2B5EF4-FFF2-40B4-BE49-F238E27FC236}">
              <a16:creationId xmlns:a16="http://schemas.microsoft.com/office/drawing/2014/main" id="{30F759D6-B8DD-8A6C-8A5B-79A2325FDC30}"/>
            </a:ext>
          </a:extLst>
        </xdr:cNvPr>
        <xdr:cNvSpPr>
          <a:spLocks noChangeShapeType="1"/>
        </xdr:cNvSpPr>
      </xdr:nvSpPr>
      <xdr:spPr bwMode="auto">
        <a:xfrm>
          <a:off x="314325" y="4191000"/>
          <a:ext cx="9525" cy="3962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9525</xdr:colOff>
      <xdr:row>49</xdr:row>
      <xdr:rowOff>0</xdr:rowOff>
    </xdr:to>
    <xdr:sp macro="" textlink="">
      <xdr:nvSpPr>
        <xdr:cNvPr id="433868" name="Line 12">
          <a:extLst>
            <a:ext uri="{FF2B5EF4-FFF2-40B4-BE49-F238E27FC236}">
              <a16:creationId xmlns:a16="http://schemas.microsoft.com/office/drawing/2014/main" id="{86B8D569-FF19-7FB7-B2C3-BB81A0C78A6B}"/>
            </a:ext>
          </a:extLst>
        </xdr:cNvPr>
        <xdr:cNvSpPr>
          <a:spLocks noChangeShapeType="1"/>
        </xdr:cNvSpPr>
      </xdr:nvSpPr>
      <xdr:spPr bwMode="auto">
        <a:xfrm>
          <a:off x="314325" y="4191000"/>
          <a:ext cx="9525" cy="3962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9525</xdr:colOff>
      <xdr:row>49</xdr:row>
      <xdr:rowOff>0</xdr:rowOff>
    </xdr:to>
    <xdr:sp macro="" textlink="">
      <xdr:nvSpPr>
        <xdr:cNvPr id="433869" name="Line 12">
          <a:extLst>
            <a:ext uri="{FF2B5EF4-FFF2-40B4-BE49-F238E27FC236}">
              <a16:creationId xmlns:a16="http://schemas.microsoft.com/office/drawing/2014/main" id="{506A7900-03AE-AF41-BA3E-F1D11A0E6C8A}"/>
            </a:ext>
          </a:extLst>
        </xdr:cNvPr>
        <xdr:cNvSpPr>
          <a:spLocks noChangeShapeType="1"/>
        </xdr:cNvSpPr>
      </xdr:nvSpPr>
      <xdr:spPr bwMode="auto">
        <a:xfrm>
          <a:off x="314325" y="4191000"/>
          <a:ext cx="9525" cy="3962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9525</xdr:colOff>
      <xdr:row>49</xdr:row>
      <xdr:rowOff>0</xdr:rowOff>
    </xdr:to>
    <xdr:sp macro="" textlink="">
      <xdr:nvSpPr>
        <xdr:cNvPr id="433870" name="Line 12">
          <a:extLst>
            <a:ext uri="{FF2B5EF4-FFF2-40B4-BE49-F238E27FC236}">
              <a16:creationId xmlns:a16="http://schemas.microsoft.com/office/drawing/2014/main" id="{716350C2-88E1-3C4A-136D-B67AAC703097}"/>
            </a:ext>
          </a:extLst>
        </xdr:cNvPr>
        <xdr:cNvSpPr>
          <a:spLocks noChangeShapeType="1"/>
        </xdr:cNvSpPr>
      </xdr:nvSpPr>
      <xdr:spPr bwMode="auto">
        <a:xfrm>
          <a:off x="314325" y="4191000"/>
          <a:ext cx="9525" cy="3962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9525</xdr:colOff>
      <xdr:row>49</xdr:row>
      <xdr:rowOff>0</xdr:rowOff>
    </xdr:to>
    <xdr:sp macro="" textlink="">
      <xdr:nvSpPr>
        <xdr:cNvPr id="433871" name="Line 12">
          <a:extLst>
            <a:ext uri="{FF2B5EF4-FFF2-40B4-BE49-F238E27FC236}">
              <a16:creationId xmlns:a16="http://schemas.microsoft.com/office/drawing/2014/main" id="{705A5CA2-598A-990E-F845-E714AFE66490}"/>
            </a:ext>
          </a:extLst>
        </xdr:cNvPr>
        <xdr:cNvSpPr>
          <a:spLocks noChangeShapeType="1"/>
        </xdr:cNvSpPr>
      </xdr:nvSpPr>
      <xdr:spPr bwMode="auto">
        <a:xfrm>
          <a:off x="314325" y="4191000"/>
          <a:ext cx="9525" cy="3962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9525</xdr:colOff>
      <xdr:row>49</xdr:row>
      <xdr:rowOff>0</xdr:rowOff>
    </xdr:to>
    <xdr:sp macro="" textlink="">
      <xdr:nvSpPr>
        <xdr:cNvPr id="433872" name="Line 12">
          <a:extLst>
            <a:ext uri="{FF2B5EF4-FFF2-40B4-BE49-F238E27FC236}">
              <a16:creationId xmlns:a16="http://schemas.microsoft.com/office/drawing/2014/main" id="{FB894F50-D635-3C8B-B950-3951EC3390D1}"/>
            </a:ext>
          </a:extLst>
        </xdr:cNvPr>
        <xdr:cNvSpPr>
          <a:spLocks noChangeShapeType="1"/>
        </xdr:cNvSpPr>
      </xdr:nvSpPr>
      <xdr:spPr bwMode="auto">
        <a:xfrm>
          <a:off x="314325" y="4191000"/>
          <a:ext cx="9525" cy="3962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9525</xdr:colOff>
      <xdr:row>49</xdr:row>
      <xdr:rowOff>0</xdr:rowOff>
    </xdr:to>
    <xdr:sp macro="" textlink="">
      <xdr:nvSpPr>
        <xdr:cNvPr id="433873" name="Line 12">
          <a:extLst>
            <a:ext uri="{FF2B5EF4-FFF2-40B4-BE49-F238E27FC236}">
              <a16:creationId xmlns:a16="http://schemas.microsoft.com/office/drawing/2014/main" id="{DDAFAC1F-5916-FBC4-84B1-419BA3BDD3F0}"/>
            </a:ext>
          </a:extLst>
        </xdr:cNvPr>
        <xdr:cNvSpPr>
          <a:spLocks noChangeShapeType="1"/>
        </xdr:cNvSpPr>
      </xdr:nvSpPr>
      <xdr:spPr bwMode="auto">
        <a:xfrm>
          <a:off x="314325" y="4191000"/>
          <a:ext cx="9525" cy="3962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9525</xdr:colOff>
      <xdr:row>49</xdr:row>
      <xdr:rowOff>0</xdr:rowOff>
    </xdr:to>
    <xdr:sp macro="" textlink="">
      <xdr:nvSpPr>
        <xdr:cNvPr id="433874" name="Line 12">
          <a:extLst>
            <a:ext uri="{FF2B5EF4-FFF2-40B4-BE49-F238E27FC236}">
              <a16:creationId xmlns:a16="http://schemas.microsoft.com/office/drawing/2014/main" id="{5ECA12C8-C296-629C-99F3-ABAF7843035A}"/>
            </a:ext>
          </a:extLst>
        </xdr:cNvPr>
        <xdr:cNvSpPr>
          <a:spLocks noChangeShapeType="1"/>
        </xdr:cNvSpPr>
      </xdr:nvSpPr>
      <xdr:spPr bwMode="auto">
        <a:xfrm>
          <a:off x="314325" y="4191000"/>
          <a:ext cx="9525" cy="3962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9525</xdr:colOff>
      <xdr:row>49</xdr:row>
      <xdr:rowOff>0</xdr:rowOff>
    </xdr:to>
    <xdr:sp macro="" textlink="">
      <xdr:nvSpPr>
        <xdr:cNvPr id="433875" name="Line 12">
          <a:extLst>
            <a:ext uri="{FF2B5EF4-FFF2-40B4-BE49-F238E27FC236}">
              <a16:creationId xmlns:a16="http://schemas.microsoft.com/office/drawing/2014/main" id="{952D183C-4556-7DF6-6D8A-4D11CAD56CF6}"/>
            </a:ext>
          </a:extLst>
        </xdr:cNvPr>
        <xdr:cNvSpPr>
          <a:spLocks noChangeShapeType="1"/>
        </xdr:cNvSpPr>
      </xdr:nvSpPr>
      <xdr:spPr bwMode="auto">
        <a:xfrm>
          <a:off x="314325" y="4191000"/>
          <a:ext cx="9525" cy="3962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9525</xdr:colOff>
      <xdr:row>49</xdr:row>
      <xdr:rowOff>0</xdr:rowOff>
    </xdr:to>
    <xdr:sp macro="" textlink="">
      <xdr:nvSpPr>
        <xdr:cNvPr id="433876" name="Line 12">
          <a:extLst>
            <a:ext uri="{FF2B5EF4-FFF2-40B4-BE49-F238E27FC236}">
              <a16:creationId xmlns:a16="http://schemas.microsoft.com/office/drawing/2014/main" id="{531A987A-E423-B969-55A7-E0B75217263F}"/>
            </a:ext>
          </a:extLst>
        </xdr:cNvPr>
        <xdr:cNvSpPr>
          <a:spLocks noChangeShapeType="1"/>
        </xdr:cNvSpPr>
      </xdr:nvSpPr>
      <xdr:spPr bwMode="auto">
        <a:xfrm>
          <a:off x="314325" y="4191000"/>
          <a:ext cx="9525" cy="3962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46</xdr:row>
      <xdr:rowOff>0</xdr:rowOff>
    </xdr:from>
    <xdr:to>
      <xdr:col>1</xdr:col>
      <xdr:colOff>9525</xdr:colOff>
      <xdr:row>52</xdr:row>
      <xdr:rowOff>0</xdr:rowOff>
    </xdr:to>
    <xdr:sp macro="" textlink="">
      <xdr:nvSpPr>
        <xdr:cNvPr id="433877" name="Line 12">
          <a:extLst>
            <a:ext uri="{FF2B5EF4-FFF2-40B4-BE49-F238E27FC236}">
              <a16:creationId xmlns:a16="http://schemas.microsoft.com/office/drawing/2014/main" id="{08E38ADD-1EBA-1BD2-3EF0-F99665315920}"/>
            </a:ext>
          </a:extLst>
        </xdr:cNvPr>
        <xdr:cNvSpPr>
          <a:spLocks noChangeShapeType="1"/>
        </xdr:cNvSpPr>
      </xdr:nvSpPr>
      <xdr:spPr bwMode="auto">
        <a:xfrm>
          <a:off x="314325" y="7591425"/>
          <a:ext cx="9525" cy="11906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46</xdr:row>
      <xdr:rowOff>0</xdr:rowOff>
    </xdr:from>
    <xdr:to>
      <xdr:col>1</xdr:col>
      <xdr:colOff>9525</xdr:colOff>
      <xdr:row>52</xdr:row>
      <xdr:rowOff>0</xdr:rowOff>
    </xdr:to>
    <xdr:sp macro="" textlink="">
      <xdr:nvSpPr>
        <xdr:cNvPr id="433878" name="Line 12">
          <a:extLst>
            <a:ext uri="{FF2B5EF4-FFF2-40B4-BE49-F238E27FC236}">
              <a16:creationId xmlns:a16="http://schemas.microsoft.com/office/drawing/2014/main" id="{53C2415E-670D-B4D1-2ADE-5FA6075A388D}"/>
            </a:ext>
          </a:extLst>
        </xdr:cNvPr>
        <xdr:cNvSpPr>
          <a:spLocks noChangeShapeType="1"/>
        </xdr:cNvSpPr>
      </xdr:nvSpPr>
      <xdr:spPr bwMode="auto">
        <a:xfrm>
          <a:off x="314325" y="7591425"/>
          <a:ext cx="9525" cy="11906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46</xdr:row>
      <xdr:rowOff>0</xdr:rowOff>
    </xdr:from>
    <xdr:to>
      <xdr:col>1</xdr:col>
      <xdr:colOff>9525</xdr:colOff>
      <xdr:row>52</xdr:row>
      <xdr:rowOff>0</xdr:rowOff>
    </xdr:to>
    <xdr:sp macro="" textlink="">
      <xdr:nvSpPr>
        <xdr:cNvPr id="433879" name="Line 12">
          <a:extLst>
            <a:ext uri="{FF2B5EF4-FFF2-40B4-BE49-F238E27FC236}">
              <a16:creationId xmlns:a16="http://schemas.microsoft.com/office/drawing/2014/main" id="{4A1FED5F-516D-4F1A-2940-1746BF7F9ED0}"/>
            </a:ext>
          </a:extLst>
        </xdr:cNvPr>
        <xdr:cNvSpPr>
          <a:spLocks noChangeShapeType="1"/>
        </xdr:cNvSpPr>
      </xdr:nvSpPr>
      <xdr:spPr bwMode="auto">
        <a:xfrm>
          <a:off x="314325" y="7591425"/>
          <a:ext cx="9525" cy="11906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46</xdr:row>
      <xdr:rowOff>0</xdr:rowOff>
    </xdr:from>
    <xdr:to>
      <xdr:col>1</xdr:col>
      <xdr:colOff>9525</xdr:colOff>
      <xdr:row>52</xdr:row>
      <xdr:rowOff>0</xdr:rowOff>
    </xdr:to>
    <xdr:sp macro="" textlink="">
      <xdr:nvSpPr>
        <xdr:cNvPr id="433880" name="Line 12">
          <a:extLst>
            <a:ext uri="{FF2B5EF4-FFF2-40B4-BE49-F238E27FC236}">
              <a16:creationId xmlns:a16="http://schemas.microsoft.com/office/drawing/2014/main" id="{44F815E5-5887-6C3E-988F-033789CCDABF}"/>
            </a:ext>
          </a:extLst>
        </xdr:cNvPr>
        <xdr:cNvSpPr>
          <a:spLocks noChangeShapeType="1"/>
        </xdr:cNvSpPr>
      </xdr:nvSpPr>
      <xdr:spPr bwMode="auto">
        <a:xfrm>
          <a:off x="314325" y="7591425"/>
          <a:ext cx="9525" cy="11906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46</xdr:row>
      <xdr:rowOff>0</xdr:rowOff>
    </xdr:from>
    <xdr:to>
      <xdr:col>1</xdr:col>
      <xdr:colOff>9525</xdr:colOff>
      <xdr:row>52</xdr:row>
      <xdr:rowOff>0</xdr:rowOff>
    </xdr:to>
    <xdr:sp macro="" textlink="">
      <xdr:nvSpPr>
        <xdr:cNvPr id="433881" name="Line 12">
          <a:extLst>
            <a:ext uri="{FF2B5EF4-FFF2-40B4-BE49-F238E27FC236}">
              <a16:creationId xmlns:a16="http://schemas.microsoft.com/office/drawing/2014/main" id="{EFE20A3A-5A21-6AF8-3E89-25E9EC841D6A}"/>
            </a:ext>
          </a:extLst>
        </xdr:cNvPr>
        <xdr:cNvSpPr>
          <a:spLocks noChangeShapeType="1"/>
        </xdr:cNvSpPr>
      </xdr:nvSpPr>
      <xdr:spPr bwMode="auto">
        <a:xfrm>
          <a:off x="314325" y="7591425"/>
          <a:ext cx="9525" cy="11906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46</xdr:row>
      <xdr:rowOff>0</xdr:rowOff>
    </xdr:from>
    <xdr:to>
      <xdr:col>1</xdr:col>
      <xdr:colOff>9525</xdr:colOff>
      <xdr:row>52</xdr:row>
      <xdr:rowOff>0</xdr:rowOff>
    </xdr:to>
    <xdr:sp macro="" textlink="">
      <xdr:nvSpPr>
        <xdr:cNvPr id="433882" name="Line 12">
          <a:extLst>
            <a:ext uri="{FF2B5EF4-FFF2-40B4-BE49-F238E27FC236}">
              <a16:creationId xmlns:a16="http://schemas.microsoft.com/office/drawing/2014/main" id="{9C763173-5388-D726-0BB2-59490D42E863}"/>
            </a:ext>
          </a:extLst>
        </xdr:cNvPr>
        <xdr:cNvSpPr>
          <a:spLocks noChangeShapeType="1"/>
        </xdr:cNvSpPr>
      </xdr:nvSpPr>
      <xdr:spPr bwMode="auto">
        <a:xfrm>
          <a:off x="314325" y="7591425"/>
          <a:ext cx="9525" cy="11906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46</xdr:row>
      <xdr:rowOff>0</xdr:rowOff>
    </xdr:from>
    <xdr:to>
      <xdr:col>1</xdr:col>
      <xdr:colOff>9525</xdr:colOff>
      <xdr:row>52</xdr:row>
      <xdr:rowOff>0</xdr:rowOff>
    </xdr:to>
    <xdr:sp macro="" textlink="">
      <xdr:nvSpPr>
        <xdr:cNvPr id="433883" name="Line 12">
          <a:extLst>
            <a:ext uri="{FF2B5EF4-FFF2-40B4-BE49-F238E27FC236}">
              <a16:creationId xmlns:a16="http://schemas.microsoft.com/office/drawing/2014/main" id="{C13377B8-83E3-9ACB-6EED-C898FE007343}"/>
            </a:ext>
          </a:extLst>
        </xdr:cNvPr>
        <xdr:cNvSpPr>
          <a:spLocks noChangeShapeType="1"/>
        </xdr:cNvSpPr>
      </xdr:nvSpPr>
      <xdr:spPr bwMode="auto">
        <a:xfrm>
          <a:off x="314325" y="7591425"/>
          <a:ext cx="9525" cy="11906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46</xdr:row>
      <xdr:rowOff>0</xdr:rowOff>
    </xdr:from>
    <xdr:to>
      <xdr:col>1</xdr:col>
      <xdr:colOff>9525</xdr:colOff>
      <xdr:row>52</xdr:row>
      <xdr:rowOff>0</xdr:rowOff>
    </xdr:to>
    <xdr:sp macro="" textlink="">
      <xdr:nvSpPr>
        <xdr:cNvPr id="433884" name="Line 12">
          <a:extLst>
            <a:ext uri="{FF2B5EF4-FFF2-40B4-BE49-F238E27FC236}">
              <a16:creationId xmlns:a16="http://schemas.microsoft.com/office/drawing/2014/main" id="{D0E1B679-2B64-A12B-BE9E-46EDA2E25D27}"/>
            </a:ext>
          </a:extLst>
        </xdr:cNvPr>
        <xdr:cNvSpPr>
          <a:spLocks noChangeShapeType="1"/>
        </xdr:cNvSpPr>
      </xdr:nvSpPr>
      <xdr:spPr bwMode="auto">
        <a:xfrm>
          <a:off x="314325" y="7591425"/>
          <a:ext cx="9525" cy="11906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46</xdr:row>
      <xdr:rowOff>0</xdr:rowOff>
    </xdr:from>
    <xdr:to>
      <xdr:col>1</xdr:col>
      <xdr:colOff>9525</xdr:colOff>
      <xdr:row>52</xdr:row>
      <xdr:rowOff>0</xdr:rowOff>
    </xdr:to>
    <xdr:sp macro="" textlink="">
      <xdr:nvSpPr>
        <xdr:cNvPr id="433885" name="Line 12">
          <a:extLst>
            <a:ext uri="{FF2B5EF4-FFF2-40B4-BE49-F238E27FC236}">
              <a16:creationId xmlns:a16="http://schemas.microsoft.com/office/drawing/2014/main" id="{CB5F1BEF-970D-82E6-FBC8-E8C1D603DE1D}"/>
            </a:ext>
          </a:extLst>
        </xdr:cNvPr>
        <xdr:cNvSpPr>
          <a:spLocks noChangeShapeType="1"/>
        </xdr:cNvSpPr>
      </xdr:nvSpPr>
      <xdr:spPr bwMode="auto">
        <a:xfrm>
          <a:off x="314325" y="7591425"/>
          <a:ext cx="9525" cy="11906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46</xdr:row>
      <xdr:rowOff>0</xdr:rowOff>
    </xdr:from>
    <xdr:to>
      <xdr:col>1</xdr:col>
      <xdr:colOff>9525</xdr:colOff>
      <xdr:row>52</xdr:row>
      <xdr:rowOff>0</xdr:rowOff>
    </xdr:to>
    <xdr:sp macro="" textlink="">
      <xdr:nvSpPr>
        <xdr:cNvPr id="433886" name="Line 12">
          <a:extLst>
            <a:ext uri="{FF2B5EF4-FFF2-40B4-BE49-F238E27FC236}">
              <a16:creationId xmlns:a16="http://schemas.microsoft.com/office/drawing/2014/main" id="{1A4CCA0A-B04E-3035-897D-815C1B367BBB}"/>
            </a:ext>
          </a:extLst>
        </xdr:cNvPr>
        <xdr:cNvSpPr>
          <a:spLocks noChangeShapeType="1"/>
        </xdr:cNvSpPr>
      </xdr:nvSpPr>
      <xdr:spPr bwMode="auto">
        <a:xfrm>
          <a:off x="314325" y="7591425"/>
          <a:ext cx="9525" cy="11906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46</xdr:row>
      <xdr:rowOff>0</xdr:rowOff>
    </xdr:from>
    <xdr:to>
      <xdr:col>1</xdr:col>
      <xdr:colOff>9525</xdr:colOff>
      <xdr:row>52</xdr:row>
      <xdr:rowOff>0</xdr:rowOff>
    </xdr:to>
    <xdr:sp macro="" textlink="">
      <xdr:nvSpPr>
        <xdr:cNvPr id="433887" name="Line 12">
          <a:extLst>
            <a:ext uri="{FF2B5EF4-FFF2-40B4-BE49-F238E27FC236}">
              <a16:creationId xmlns:a16="http://schemas.microsoft.com/office/drawing/2014/main" id="{6AA0391D-6947-194D-68B7-CA1804F777C3}"/>
            </a:ext>
          </a:extLst>
        </xdr:cNvPr>
        <xdr:cNvSpPr>
          <a:spLocks noChangeShapeType="1"/>
        </xdr:cNvSpPr>
      </xdr:nvSpPr>
      <xdr:spPr bwMode="auto">
        <a:xfrm>
          <a:off x="314325" y="7591425"/>
          <a:ext cx="9525" cy="11906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46</xdr:row>
      <xdr:rowOff>0</xdr:rowOff>
    </xdr:from>
    <xdr:to>
      <xdr:col>1</xdr:col>
      <xdr:colOff>9525</xdr:colOff>
      <xdr:row>52</xdr:row>
      <xdr:rowOff>0</xdr:rowOff>
    </xdr:to>
    <xdr:sp macro="" textlink="">
      <xdr:nvSpPr>
        <xdr:cNvPr id="433888" name="Line 12">
          <a:extLst>
            <a:ext uri="{FF2B5EF4-FFF2-40B4-BE49-F238E27FC236}">
              <a16:creationId xmlns:a16="http://schemas.microsoft.com/office/drawing/2014/main" id="{0770AB34-3EE5-E64B-94F4-6523F41E5553}"/>
            </a:ext>
          </a:extLst>
        </xdr:cNvPr>
        <xdr:cNvSpPr>
          <a:spLocks noChangeShapeType="1"/>
        </xdr:cNvSpPr>
      </xdr:nvSpPr>
      <xdr:spPr bwMode="auto">
        <a:xfrm>
          <a:off x="314325" y="7591425"/>
          <a:ext cx="9525" cy="11906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46</xdr:row>
      <xdr:rowOff>0</xdr:rowOff>
    </xdr:from>
    <xdr:to>
      <xdr:col>1</xdr:col>
      <xdr:colOff>9525</xdr:colOff>
      <xdr:row>52</xdr:row>
      <xdr:rowOff>0</xdr:rowOff>
    </xdr:to>
    <xdr:sp macro="" textlink="">
      <xdr:nvSpPr>
        <xdr:cNvPr id="433889" name="Line 12">
          <a:extLst>
            <a:ext uri="{FF2B5EF4-FFF2-40B4-BE49-F238E27FC236}">
              <a16:creationId xmlns:a16="http://schemas.microsoft.com/office/drawing/2014/main" id="{08AE007F-F534-CFEA-89CA-BC051301B507}"/>
            </a:ext>
          </a:extLst>
        </xdr:cNvPr>
        <xdr:cNvSpPr>
          <a:spLocks noChangeShapeType="1"/>
        </xdr:cNvSpPr>
      </xdr:nvSpPr>
      <xdr:spPr bwMode="auto">
        <a:xfrm>
          <a:off x="314325" y="7591425"/>
          <a:ext cx="9525" cy="11906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46</xdr:row>
      <xdr:rowOff>0</xdr:rowOff>
    </xdr:from>
    <xdr:to>
      <xdr:col>1</xdr:col>
      <xdr:colOff>9525</xdr:colOff>
      <xdr:row>52</xdr:row>
      <xdr:rowOff>0</xdr:rowOff>
    </xdr:to>
    <xdr:sp macro="" textlink="">
      <xdr:nvSpPr>
        <xdr:cNvPr id="433890" name="Line 12">
          <a:extLst>
            <a:ext uri="{FF2B5EF4-FFF2-40B4-BE49-F238E27FC236}">
              <a16:creationId xmlns:a16="http://schemas.microsoft.com/office/drawing/2014/main" id="{4E2FED72-4895-7118-CE33-1A4DF6F7DD74}"/>
            </a:ext>
          </a:extLst>
        </xdr:cNvPr>
        <xdr:cNvSpPr>
          <a:spLocks noChangeShapeType="1"/>
        </xdr:cNvSpPr>
      </xdr:nvSpPr>
      <xdr:spPr bwMode="auto">
        <a:xfrm>
          <a:off x="314325" y="7591425"/>
          <a:ext cx="9525" cy="11906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42</xdr:row>
      <xdr:rowOff>0</xdr:rowOff>
    </xdr:from>
    <xdr:to>
      <xdr:col>1</xdr:col>
      <xdr:colOff>9525</xdr:colOff>
      <xdr:row>48</xdr:row>
      <xdr:rowOff>0</xdr:rowOff>
    </xdr:to>
    <xdr:sp macro="" textlink="">
      <xdr:nvSpPr>
        <xdr:cNvPr id="434381" name="Line 12">
          <a:extLst>
            <a:ext uri="{FF2B5EF4-FFF2-40B4-BE49-F238E27FC236}">
              <a16:creationId xmlns:a16="http://schemas.microsoft.com/office/drawing/2014/main" id="{2F10DD35-65FD-C1B4-F7A1-16B8376D1D68}"/>
            </a:ext>
          </a:extLst>
        </xdr:cNvPr>
        <xdr:cNvSpPr>
          <a:spLocks noChangeShapeType="1"/>
        </xdr:cNvSpPr>
      </xdr:nvSpPr>
      <xdr:spPr bwMode="auto">
        <a:xfrm>
          <a:off x="314325" y="6686550"/>
          <a:ext cx="9525" cy="10382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42</xdr:row>
      <xdr:rowOff>0</xdr:rowOff>
    </xdr:from>
    <xdr:to>
      <xdr:col>1</xdr:col>
      <xdr:colOff>9525</xdr:colOff>
      <xdr:row>48</xdr:row>
      <xdr:rowOff>0</xdr:rowOff>
    </xdr:to>
    <xdr:sp macro="" textlink="">
      <xdr:nvSpPr>
        <xdr:cNvPr id="434382" name="Line 12">
          <a:extLst>
            <a:ext uri="{FF2B5EF4-FFF2-40B4-BE49-F238E27FC236}">
              <a16:creationId xmlns:a16="http://schemas.microsoft.com/office/drawing/2014/main" id="{B227499C-7AD0-8136-CBA4-74C7C65D14F3}"/>
            </a:ext>
          </a:extLst>
        </xdr:cNvPr>
        <xdr:cNvSpPr>
          <a:spLocks noChangeShapeType="1"/>
        </xdr:cNvSpPr>
      </xdr:nvSpPr>
      <xdr:spPr bwMode="auto">
        <a:xfrm>
          <a:off x="314325" y="6686550"/>
          <a:ext cx="9525" cy="10382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42</xdr:row>
      <xdr:rowOff>0</xdr:rowOff>
    </xdr:from>
    <xdr:to>
      <xdr:col>1</xdr:col>
      <xdr:colOff>9525</xdr:colOff>
      <xdr:row>48</xdr:row>
      <xdr:rowOff>0</xdr:rowOff>
    </xdr:to>
    <xdr:sp macro="" textlink="">
      <xdr:nvSpPr>
        <xdr:cNvPr id="434383" name="Line 12">
          <a:extLst>
            <a:ext uri="{FF2B5EF4-FFF2-40B4-BE49-F238E27FC236}">
              <a16:creationId xmlns:a16="http://schemas.microsoft.com/office/drawing/2014/main" id="{ED2888D7-0AF3-1F85-FCBC-B507AF735E8E}"/>
            </a:ext>
          </a:extLst>
        </xdr:cNvPr>
        <xdr:cNvSpPr>
          <a:spLocks noChangeShapeType="1"/>
        </xdr:cNvSpPr>
      </xdr:nvSpPr>
      <xdr:spPr bwMode="auto">
        <a:xfrm>
          <a:off x="314325" y="6686550"/>
          <a:ext cx="9525" cy="10382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42</xdr:row>
      <xdr:rowOff>0</xdr:rowOff>
    </xdr:from>
    <xdr:to>
      <xdr:col>1</xdr:col>
      <xdr:colOff>9525</xdr:colOff>
      <xdr:row>48</xdr:row>
      <xdr:rowOff>0</xdr:rowOff>
    </xdr:to>
    <xdr:sp macro="" textlink="">
      <xdr:nvSpPr>
        <xdr:cNvPr id="434384" name="Line 12">
          <a:extLst>
            <a:ext uri="{FF2B5EF4-FFF2-40B4-BE49-F238E27FC236}">
              <a16:creationId xmlns:a16="http://schemas.microsoft.com/office/drawing/2014/main" id="{B3B780EF-6957-2FDE-FF25-1EFC2CAC8EFE}"/>
            </a:ext>
          </a:extLst>
        </xdr:cNvPr>
        <xdr:cNvSpPr>
          <a:spLocks noChangeShapeType="1"/>
        </xdr:cNvSpPr>
      </xdr:nvSpPr>
      <xdr:spPr bwMode="auto">
        <a:xfrm>
          <a:off x="314325" y="6686550"/>
          <a:ext cx="9525" cy="10382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42</xdr:row>
      <xdr:rowOff>0</xdr:rowOff>
    </xdr:from>
    <xdr:to>
      <xdr:col>1</xdr:col>
      <xdr:colOff>9525</xdr:colOff>
      <xdr:row>48</xdr:row>
      <xdr:rowOff>0</xdr:rowOff>
    </xdr:to>
    <xdr:sp macro="" textlink="">
      <xdr:nvSpPr>
        <xdr:cNvPr id="434385" name="Line 12">
          <a:extLst>
            <a:ext uri="{FF2B5EF4-FFF2-40B4-BE49-F238E27FC236}">
              <a16:creationId xmlns:a16="http://schemas.microsoft.com/office/drawing/2014/main" id="{1921BF21-9CF2-6C19-D944-A4B01E474FDC}"/>
            </a:ext>
          </a:extLst>
        </xdr:cNvPr>
        <xdr:cNvSpPr>
          <a:spLocks noChangeShapeType="1"/>
        </xdr:cNvSpPr>
      </xdr:nvSpPr>
      <xdr:spPr bwMode="auto">
        <a:xfrm>
          <a:off x="314325" y="6686550"/>
          <a:ext cx="9525" cy="10382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42</xdr:row>
      <xdr:rowOff>0</xdr:rowOff>
    </xdr:from>
    <xdr:to>
      <xdr:col>1</xdr:col>
      <xdr:colOff>9525</xdr:colOff>
      <xdr:row>48</xdr:row>
      <xdr:rowOff>0</xdr:rowOff>
    </xdr:to>
    <xdr:sp macro="" textlink="">
      <xdr:nvSpPr>
        <xdr:cNvPr id="434386" name="Line 12">
          <a:extLst>
            <a:ext uri="{FF2B5EF4-FFF2-40B4-BE49-F238E27FC236}">
              <a16:creationId xmlns:a16="http://schemas.microsoft.com/office/drawing/2014/main" id="{48DF1271-CFB3-50B0-21E0-174BA1DC1581}"/>
            </a:ext>
          </a:extLst>
        </xdr:cNvPr>
        <xdr:cNvSpPr>
          <a:spLocks noChangeShapeType="1"/>
        </xdr:cNvSpPr>
      </xdr:nvSpPr>
      <xdr:spPr bwMode="auto">
        <a:xfrm>
          <a:off x="314325" y="6686550"/>
          <a:ext cx="9525" cy="10382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42</xdr:row>
      <xdr:rowOff>0</xdr:rowOff>
    </xdr:from>
    <xdr:to>
      <xdr:col>1</xdr:col>
      <xdr:colOff>9525</xdr:colOff>
      <xdr:row>48</xdr:row>
      <xdr:rowOff>0</xdr:rowOff>
    </xdr:to>
    <xdr:sp macro="" textlink="">
      <xdr:nvSpPr>
        <xdr:cNvPr id="434387" name="Line 12">
          <a:extLst>
            <a:ext uri="{FF2B5EF4-FFF2-40B4-BE49-F238E27FC236}">
              <a16:creationId xmlns:a16="http://schemas.microsoft.com/office/drawing/2014/main" id="{664EBEE1-9C5A-01DA-BE33-099B9BA61A3D}"/>
            </a:ext>
          </a:extLst>
        </xdr:cNvPr>
        <xdr:cNvSpPr>
          <a:spLocks noChangeShapeType="1"/>
        </xdr:cNvSpPr>
      </xdr:nvSpPr>
      <xdr:spPr bwMode="auto">
        <a:xfrm>
          <a:off x="314325" y="6686550"/>
          <a:ext cx="9525" cy="10382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42</xdr:row>
      <xdr:rowOff>0</xdr:rowOff>
    </xdr:from>
    <xdr:to>
      <xdr:col>1</xdr:col>
      <xdr:colOff>9525</xdr:colOff>
      <xdr:row>48</xdr:row>
      <xdr:rowOff>0</xdr:rowOff>
    </xdr:to>
    <xdr:sp macro="" textlink="">
      <xdr:nvSpPr>
        <xdr:cNvPr id="434388" name="Line 12">
          <a:extLst>
            <a:ext uri="{FF2B5EF4-FFF2-40B4-BE49-F238E27FC236}">
              <a16:creationId xmlns:a16="http://schemas.microsoft.com/office/drawing/2014/main" id="{FEE85F61-D654-0F1D-448C-AACD4AB5A5E1}"/>
            </a:ext>
          </a:extLst>
        </xdr:cNvPr>
        <xdr:cNvSpPr>
          <a:spLocks noChangeShapeType="1"/>
        </xdr:cNvSpPr>
      </xdr:nvSpPr>
      <xdr:spPr bwMode="auto">
        <a:xfrm>
          <a:off x="314325" y="6686550"/>
          <a:ext cx="9525" cy="10382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42</xdr:row>
      <xdr:rowOff>0</xdr:rowOff>
    </xdr:from>
    <xdr:to>
      <xdr:col>1</xdr:col>
      <xdr:colOff>9525</xdr:colOff>
      <xdr:row>48</xdr:row>
      <xdr:rowOff>0</xdr:rowOff>
    </xdr:to>
    <xdr:sp macro="" textlink="">
      <xdr:nvSpPr>
        <xdr:cNvPr id="434389" name="Line 12">
          <a:extLst>
            <a:ext uri="{FF2B5EF4-FFF2-40B4-BE49-F238E27FC236}">
              <a16:creationId xmlns:a16="http://schemas.microsoft.com/office/drawing/2014/main" id="{6836EB6D-BC19-D40D-453C-054B2E82144E}"/>
            </a:ext>
          </a:extLst>
        </xdr:cNvPr>
        <xdr:cNvSpPr>
          <a:spLocks noChangeShapeType="1"/>
        </xdr:cNvSpPr>
      </xdr:nvSpPr>
      <xdr:spPr bwMode="auto">
        <a:xfrm>
          <a:off x="314325" y="6686550"/>
          <a:ext cx="9525" cy="10382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42</xdr:row>
      <xdr:rowOff>0</xdr:rowOff>
    </xdr:from>
    <xdr:to>
      <xdr:col>1</xdr:col>
      <xdr:colOff>9525</xdr:colOff>
      <xdr:row>48</xdr:row>
      <xdr:rowOff>0</xdr:rowOff>
    </xdr:to>
    <xdr:sp macro="" textlink="">
      <xdr:nvSpPr>
        <xdr:cNvPr id="434390" name="Line 12">
          <a:extLst>
            <a:ext uri="{FF2B5EF4-FFF2-40B4-BE49-F238E27FC236}">
              <a16:creationId xmlns:a16="http://schemas.microsoft.com/office/drawing/2014/main" id="{277B1B9D-7DA6-6146-4924-7558C48B4921}"/>
            </a:ext>
          </a:extLst>
        </xdr:cNvPr>
        <xdr:cNvSpPr>
          <a:spLocks noChangeShapeType="1"/>
        </xdr:cNvSpPr>
      </xdr:nvSpPr>
      <xdr:spPr bwMode="auto">
        <a:xfrm>
          <a:off x="314325" y="6686550"/>
          <a:ext cx="9525" cy="10382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42</xdr:row>
      <xdr:rowOff>0</xdr:rowOff>
    </xdr:from>
    <xdr:to>
      <xdr:col>1</xdr:col>
      <xdr:colOff>9525</xdr:colOff>
      <xdr:row>48</xdr:row>
      <xdr:rowOff>0</xdr:rowOff>
    </xdr:to>
    <xdr:sp macro="" textlink="">
      <xdr:nvSpPr>
        <xdr:cNvPr id="434391" name="Line 12">
          <a:extLst>
            <a:ext uri="{FF2B5EF4-FFF2-40B4-BE49-F238E27FC236}">
              <a16:creationId xmlns:a16="http://schemas.microsoft.com/office/drawing/2014/main" id="{7797BA1E-506B-4CFC-3DD6-639ADDA65448}"/>
            </a:ext>
          </a:extLst>
        </xdr:cNvPr>
        <xdr:cNvSpPr>
          <a:spLocks noChangeShapeType="1"/>
        </xdr:cNvSpPr>
      </xdr:nvSpPr>
      <xdr:spPr bwMode="auto">
        <a:xfrm>
          <a:off x="314325" y="6686550"/>
          <a:ext cx="9525" cy="10382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42</xdr:row>
      <xdr:rowOff>0</xdr:rowOff>
    </xdr:from>
    <xdr:to>
      <xdr:col>1</xdr:col>
      <xdr:colOff>9525</xdr:colOff>
      <xdr:row>48</xdr:row>
      <xdr:rowOff>0</xdr:rowOff>
    </xdr:to>
    <xdr:sp macro="" textlink="">
      <xdr:nvSpPr>
        <xdr:cNvPr id="434392" name="Line 12">
          <a:extLst>
            <a:ext uri="{FF2B5EF4-FFF2-40B4-BE49-F238E27FC236}">
              <a16:creationId xmlns:a16="http://schemas.microsoft.com/office/drawing/2014/main" id="{7675845D-DAED-EE64-C602-A1A94C4FC655}"/>
            </a:ext>
          </a:extLst>
        </xdr:cNvPr>
        <xdr:cNvSpPr>
          <a:spLocks noChangeShapeType="1"/>
        </xdr:cNvSpPr>
      </xdr:nvSpPr>
      <xdr:spPr bwMode="auto">
        <a:xfrm>
          <a:off x="314325" y="6686550"/>
          <a:ext cx="9525" cy="10382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42</xdr:row>
      <xdr:rowOff>0</xdr:rowOff>
    </xdr:from>
    <xdr:to>
      <xdr:col>1</xdr:col>
      <xdr:colOff>9525</xdr:colOff>
      <xdr:row>48</xdr:row>
      <xdr:rowOff>0</xdr:rowOff>
    </xdr:to>
    <xdr:sp macro="" textlink="">
      <xdr:nvSpPr>
        <xdr:cNvPr id="434393" name="Line 12">
          <a:extLst>
            <a:ext uri="{FF2B5EF4-FFF2-40B4-BE49-F238E27FC236}">
              <a16:creationId xmlns:a16="http://schemas.microsoft.com/office/drawing/2014/main" id="{23D49180-9A13-3203-F697-2B0D67C95771}"/>
            </a:ext>
          </a:extLst>
        </xdr:cNvPr>
        <xdr:cNvSpPr>
          <a:spLocks noChangeShapeType="1"/>
        </xdr:cNvSpPr>
      </xdr:nvSpPr>
      <xdr:spPr bwMode="auto">
        <a:xfrm>
          <a:off x="314325" y="6686550"/>
          <a:ext cx="9525" cy="10382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42</xdr:row>
      <xdr:rowOff>0</xdr:rowOff>
    </xdr:from>
    <xdr:to>
      <xdr:col>1</xdr:col>
      <xdr:colOff>9525</xdr:colOff>
      <xdr:row>48</xdr:row>
      <xdr:rowOff>0</xdr:rowOff>
    </xdr:to>
    <xdr:sp macro="" textlink="">
      <xdr:nvSpPr>
        <xdr:cNvPr id="434394" name="Line 12">
          <a:extLst>
            <a:ext uri="{FF2B5EF4-FFF2-40B4-BE49-F238E27FC236}">
              <a16:creationId xmlns:a16="http://schemas.microsoft.com/office/drawing/2014/main" id="{4FB86019-B094-FFF9-0AEF-561E68094592}"/>
            </a:ext>
          </a:extLst>
        </xdr:cNvPr>
        <xdr:cNvSpPr>
          <a:spLocks noChangeShapeType="1"/>
        </xdr:cNvSpPr>
      </xdr:nvSpPr>
      <xdr:spPr bwMode="auto">
        <a:xfrm>
          <a:off x="314325" y="6686550"/>
          <a:ext cx="9525" cy="10382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22</xdr:row>
      <xdr:rowOff>0</xdr:rowOff>
    </xdr:from>
    <xdr:to>
      <xdr:col>1</xdr:col>
      <xdr:colOff>9525</xdr:colOff>
      <xdr:row>48</xdr:row>
      <xdr:rowOff>0</xdr:rowOff>
    </xdr:to>
    <xdr:sp macro="" textlink="">
      <xdr:nvSpPr>
        <xdr:cNvPr id="435321" name="Line 12">
          <a:extLst>
            <a:ext uri="{FF2B5EF4-FFF2-40B4-BE49-F238E27FC236}">
              <a16:creationId xmlns:a16="http://schemas.microsoft.com/office/drawing/2014/main" id="{10019D2C-33C2-93FD-BB94-E044DD67F77A}"/>
            </a:ext>
          </a:extLst>
        </xdr:cNvPr>
        <xdr:cNvSpPr>
          <a:spLocks noChangeShapeType="1"/>
        </xdr:cNvSpPr>
      </xdr:nvSpPr>
      <xdr:spPr bwMode="auto">
        <a:xfrm>
          <a:off x="314325" y="3619500"/>
          <a:ext cx="9525" cy="5048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22</xdr:row>
      <xdr:rowOff>0</xdr:rowOff>
    </xdr:from>
    <xdr:to>
      <xdr:col>1</xdr:col>
      <xdr:colOff>9525</xdr:colOff>
      <xdr:row>48</xdr:row>
      <xdr:rowOff>0</xdr:rowOff>
    </xdr:to>
    <xdr:sp macro="" textlink="">
      <xdr:nvSpPr>
        <xdr:cNvPr id="435322" name="Line 12">
          <a:extLst>
            <a:ext uri="{FF2B5EF4-FFF2-40B4-BE49-F238E27FC236}">
              <a16:creationId xmlns:a16="http://schemas.microsoft.com/office/drawing/2014/main" id="{B646B151-D814-012F-34F3-68622C002636}"/>
            </a:ext>
          </a:extLst>
        </xdr:cNvPr>
        <xdr:cNvSpPr>
          <a:spLocks noChangeShapeType="1"/>
        </xdr:cNvSpPr>
      </xdr:nvSpPr>
      <xdr:spPr bwMode="auto">
        <a:xfrm>
          <a:off x="314325" y="3619500"/>
          <a:ext cx="9525" cy="5048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22</xdr:row>
      <xdr:rowOff>0</xdr:rowOff>
    </xdr:from>
    <xdr:to>
      <xdr:col>1</xdr:col>
      <xdr:colOff>9525</xdr:colOff>
      <xdr:row>48</xdr:row>
      <xdr:rowOff>0</xdr:rowOff>
    </xdr:to>
    <xdr:sp macro="" textlink="">
      <xdr:nvSpPr>
        <xdr:cNvPr id="435323" name="Line 12">
          <a:extLst>
            <a:ext uri="{FF2B5EF4-FFF2-40B4-BE49-F238E27FC236}">
              <a16:creationId xmlns:a16="http://schemas.microsoft.com/office/drawing/2014/main" id="{3F2FAB78-5838-A4C6-5D25-AAB8324140B1}"/>
            </a:ext>
          </a:extLst>
        </xdr:cNvPr>
        <xdr:cNvSpPr>
          <a:spLocks noChangeShapeType="1"/>
        </xdr:cNvSpPr>
      </xdr:nvSpPr>
      <xdr:spPr bwMode="auto">
        <a:xfrm>
          <a:off x="314325" y="3619500"/>
          <a:ext cx="9525" cy="5048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22</xdr:row>
      <xdr:rowOff>0</xdr:rowOff>
    </xdr:from>
    <xdr:to>
      <xdr:col>1</xdr:col>
      <xdr:colOff>9525</xdr:colOff>
      <xdr:row>48</xdr:row>
      <xdr:rowOff>0</xdr:rowOff>
    </xdr:to>
    <xdr:sp macro="" textlink="">
      <xdr:nvSpPr>
        <xdr:cNvPr id="435324" name="Line 12">
          <a:extLst>
            <a:ext uri="{FF2B5EF4-FFF2-40B4-BE49-F238E27FC236}">
              <a16:creationId xmlns:a16="http://schemas.microsoft.com/office/drawing/2014/main" id="{08DD22BF-05D3-AA32-45F4-BBB1FCB16C8B}"/>
            </a:ext>
          </a:extLst>
        </xdr:cNvPr>
        <xdr:cNvSpPr>
          <a:spLocks noChangeShapeType="1"/>
        </xdr:cNvSpPr>
      </xdr:nvSpPr>
      <xdr:spPr bwMode="auto">
        <a:xfrm>
          <a:off x="314325" y="3619500"/>
          <a:ext cx="9525" cy="5048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22</xdr:row>
      <xdr:rowOff>0</xdr:rowOff>
    </xdr:from>
    <xdr:to>
      <xdr:col>1</xdr:col>
      <xdr:colOff>9525</xdr:colOff>
      <xdr:row>48</xdr:row>
      <xdr:rowOff>0</xdr:rowOff>
    </xdr:to>
    <xdr:sp macro="" textlink="">
      <xdr:nvSpPr>
        <xdr:cNvPr id="435325" name="Line 12">
          <a:extLst>
            <a:ext uri="{FF2B5EF4-FFF2-40B4-BE49-F238E27FC236}">
              <a16:creationId xmlns:a16="http://schemas.microsoft.com/office/drawing/2014/main" id="{333181BA-9DCC-1626-4401-314D364383D1}"/>
            </a:ext>
          </a:extLst>
        </xdr:cNvPr>
        <xdr:cNvSpPr>
          <a:spLocks noChangeShapeType="1"/>
        </xdr:cNvSpPr>
      </xdr:nvSpPr>
      <xdr:spPr bwMode="auto">
        <a:xfrm>
          <a:off x="314325" y="3619500"/>
          <a:ext cx="9525" cy="5048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22</xdr:row>
      <xdr:rowOff>0</xdr:rowOff>
    </xdr:from>
    <xdr:to>
      <xdr:col>1</xdr:col>
      <xdr:colOff>9525</xdr:colOff>
      <xdr:row>48</xdr:row>
      <xdr:rowOff>0</xdr:rowOff>
    </xdr:to>
    <xdr:sp macro="" textlink="">
      <xdr:nvSpPr>
        <xdr:cNvPr id="435326" name="Line 12">
          <a:extLst>
            <a:ext uri="{FF2B5EF4-FFF2-40B4-BE49-F238E27FC236}">
              <a16:creationId xmlns:a16="http://schemas.microsoft.com/office/drawing/2014/main" id="{C18EF9D3-342E-7C98-22D1-B7D4697074DD}"/>
            </a:ext>
          </a:extLst>
        </xdr:cNvPr>
        <xdr:cNvSpPr>
          <a:spLocks noChangeShapeType="1"/>
        </xdr:cNvSpPr>
      </xdr:nvSpPr>
      <xdr:spPr bwMode="auto">
        <a:xfrm>
          <a:off x="314325" y="3619500"/>
          <a:ext cx="9525" cy="5048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22</xdr:row>
      <xdr:rowOff>0</xdr:rowOff>
    </xdr:from>
    <xdr:to>
      <xdr:col>1</xdr:col>
      <xdr:colOff>9525</xdr:colOff>
      <xdr:row>48</xdr:row>
      <xdr:rowOff>0</xdr:rowOff>
    </xdr:to>
    <xdr:sp macro="" textlink="">
      <xdr:nvSpPr>
        <xdr:cNvPr id="435327" name="Line 12">
          <a:extLst>
            <a:ext uri="{FF2B5EF4-FFF2-40B4-BE49-F238E27FC236}">
              <a16:creationId xmlns:a16="http://schemas.microsoft.com/office/drawing/2014/main" id="{A3771C04-9FAD-6114-80D0-2036877C336E}"/>
            </a:ext>
          </a:extLst>
        </xdr:cNvPr>
        <xdr:cNvSpPr>
          <a:spLocks noChangeShapeType="1"/>
        </xdr:cNvSpPr>
      </xdr:nvSpPr>
      <xdr:spPr bwMode="auto">
        <a:xfrm>
          <a:off x="314325" y="3619500"/>
          <a:ext cx="9525" cy="5048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22</xdr:row>
      <xdr:rowOff>0</xdr:rowOff>
    </xdr:from>
    <xdr:to>
      <xdr:col>1</xdr:col>
      <xdr:colOff>9525</xdr:colOff>
      <xdr:row>48</xdr:row>
      <xdr:rowOff>0</xdr:rowOff>
    </xdr:to>
    <xdr:sp macro="" textlink="">
      <xdr:nvSpPr>
        <xdr:cNvPr id="435328" name="Line 12">
          <a:extLst>
            <a:ext uri="{FF2B5EF4-FFF2-40B4-BE49-F238E27FC236}">
              <a16:creationId xmlns:a16="http://schemas.microsoft.com/office/drawing/2014/main" id="{35D98F05-53DA-565C-8BC6-AEC6C3581B0A}"/>
            </a:ext>
          </a:extLst>
        </xdr:cNvPr>
        <xdr:cNvSpPr>
          <a:spLocks noChangeShapeType="1"/>
        </xdr:cNvSpPr>
      </xdr:nvSpPr>
      <xdr:spPr bwMode="auto">
        <a:xfrm>
          <a:off x="314325" y="3619500"/>
          <a:ext cx="9525" cy="5048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22</xdr:row>
      <xdr:rowOff>0</xdr:rowOff>
    </xdr:from>
    <xdr:to>
      <xdr:col>1</xdr:col>
      <xdr:colOff>9525</xdr:colOff>
      <xdr:row>48</xdr:row>
      <xdr:rowOff>0</xdr:rowOff>
    </xdr:to>
    <xdr:sp macro="" textlink="">
      <xdr:nvSpPr>
        <xdr:cNvPr id="435329" name="Line 12">
          <a:extLst>
            <a:ext uri="{FF2B5EF4-FFF2-40B4-BE49-F238E27FC236}">
              <a16:creationId xmlns:a16="http://schemas.microsoft.com/office/drawing/2014/main" id="{BE42E933-7BD1-6DB5-5CC7-D1A9E5150F70}"/>
            </a:ext>
          </a:extLst>
        </xdr:cNvPr>
        <xdr:cNvSpPr>
          <a:spLocks noChangeShapeType="1"/>
        </xdr:cNvSpPr>
      </xdr:nvSpPr>
      <xdr:spPr bwMode="auto">
        <a:xfrm>
          <a:off x="314325" y="3619500"/>
          <a:ext cx="9525" cy="5048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22</xdr:row>
      <xdr:rowOff>0</xdr:rowOff>
    </xdr:from>
    <xdr:to>
      <xdr:col>1</xdr:col>
      <xdr:colOff>9525</xdr:colOff>
      <xdr:row>48</xdr:row>
      <xdr:rowOff>0</xdr:rowOff>
    </xdr:to>
    <xdr:sp macro="" textlink="">
      <xdr:nvSpPr>
        <xdr:cNvPr id="435330" name="Line 12">
          <a:extLst>
            <a:ext uri="{FF2B5EF4-FFF2-40B4-BE49-F238E27FC236}">
              <a16:creationId xmlns:a16="http://schemas.microsoft.com/office/drawing/2014/main" id="{04AF6671-4878-7072-54D3-E6B6C0A84A4D}"/>
            </a:ext>
          </a:extLst>
        </xdr:cNvPr>
        <xdr:cNvSpPr>
          <a:spLocks noChangeShapeType="1"/>
        </xdr:cNvSpPr>
      </xdr:nvSpPr>
      <xdr:spPr bwMode="auto">
        <a:xfrm>
          <a:off x="314325" y="3619500"/>
          <a:ext cx="9525" cy="5048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22</xdr:row>
      <xdr:rowOff>0</xdr:rowOff>
    </xdr:from>
    <xdr:to>
      <xdr:col>1</xdr:col>
      <xdr:colOff>9525</xdr:colOff>
      <xdr:row>48</xdr:row>
      <xdr:rowOff>0</xdr:rowOff>
    </xdr:to>
    <xdr:sp macro="" textlink="">
      <xdr:nvSpPr>
        <xdr:cNvPr id="435331" name="Line 12">
          <a:extLst>
            <a:ext uri="{FF2B5EF4-FFF2-40B4-BE49-F238E27FC236}">
              <a16:creationId xmlns:a16="http://schemas.microsoft.com/office/drawing/2014/main" id="{3F9E3E63-62AA-85AA-38A5-CF58A0054BDA}"/>
            </a:ext>
          </a:extLst>
        </xdr:cNvPr>
        <xdr:cNvSpPr>
          <a:spLocks noChangeShapeType="1"/>
        </xdr:cNvSpPr>
      </xdr:nvSpPr>
      <xdr:spPr bwMode="auto">
        <a:xfrm>
          <a:off x="314325" y="3619500"/>
          <a:ext cx="9525" cy="5048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22</xdr:row>
      <xdr:rowOff>0</xdr:rowOff>
    </xdr:from>
    <xdr:to>
      <xdr:col>1</xdr:col>
      <xdr:colOff>9525</xdr:colOff>
      <xdr:row>48</xdr:row>
      <xdr:rowOff>0</xdr:rowOff>
    </xdr:to>
    <xdr:sp macro="" textlink="">
      <xdr:nvSpPr>
        <xdr:cNvPr id="435332" name="Line 12">
          <a:extLst>
            <a:ext uri="{FF2B5EF4-FFF2-40B4-BE49-F238E27FC236}">
              <a16:creationId xmlns:a16="http://schemas.microsoft.com/office/drawing/2014/main" id="{E32FF5E1-E226-D9A7-6B29-2E07454EEA55}"/>
            </a:ext>
          </a:extLst>
        </xdr:cNvPr>
        <xdr:cNvSpPr>
          <a:spLocks noChangeShapeType="1"/>
        </xdr:cNvSpPr>
      </xdr:nvSpPr>
      <xdr:spPr bwMode="auto">
        <a:xfrm>
          <a:off x="314325" y="3619500"/>
          <a:ext cx="9525" cy="5048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22</xdr:row>
      <xdr:rowOff>0</xdr:rowOff>
    </xdr:from>
    <xdr:to>
      <xdr:col>1</xdr:col>
      <xdr:colOff>9525</xdr:colOff>
      <xdr:row>48</xdr:row>
      <xdr:rowOff>0</xdr:rowOff>
    </xdr:to>
    <xdr:sp macro="" textlink="">
      <xdr:nvSpPr>
        <xdr:cNvPr id="435333" name="Line 12">
          <a:extLst>
            <a:ext uri="{FF2B5EF4-FFF2-40B4-BE49-F238E27FC236}">
              <a16:creationId xmlns:a16="http://schemas.microsoft.com/office/drawing/2014/main" id="{4B937CE6-5BE8-FD2B-DF7B-02D8B97D652B}"/>
            </a:ext>
          </a:extLst>
        </xdr:cNvPr>
        <xdr:cNvSpPr>
          <a:spLocks noChangeShapeType="1"/>
        </xdr:cNvSpPr>
      </xdr:nvSpPr>
      <xdr:spPr bwMode="auto">
        <a:xfrm>
          <a:off x="314325" y="3619500"/>
          <a:ext cx="9525" cy="5048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22</xdr:row>
      <xdr:rowOff>0</xdr:rowOff>
    </xdr:from>
    <xdr:to>
      <xdr:col>1</xdr:col>
      <xdr:colOff>9525</xdr:colOff>
      <xdr:row>48</xdr:row>
      <xdr:rowOff>0</xdr:rowOff>
    </xdr:to>
    <xdr:sp macro="" textlink="">
      <xdr:nvSpPr>
        <xdr:cNvPr id="435334" name="Line 12">
          <a:extLst>
            <a:ext uri="{FF2B5EF4-FFF2-40B4-BE49-F238E27FC236}">
              <a16:creationId xmlns:a16="http://schemas.microsoft.com/office/drawing/2014/main" id="{BB744B7A-B33A-31BC-A56F-8D3F90BA61E0}"/>
            </a:ext>
          </a:extLst>
        </xdr:cNvPr>
        <xdr:cNvSpPr>
          <a:spLocks noChangeShapeType="1"/>
        </xdr:cNvSpPr>
      </xdr:nvSpPr>
      <xdr:spPr bwMode="auto">
        <a:xfrm>
          <a:off x="314325" y="3619500"/>
          <a:ext cx="9525" cy="5048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42</xdr:row>
      <xdr:rowOff>0</xdr:rowOff>
    </xdr:from>
    <xdr:to>
      <xdr:col>1</xdr:col>
      <xdr:colOff>9525</xdr:colOff>
      <xdr:row>51</xdr:row>
      <xdr:rowOff>0</xdr:rowOff>
    </xdr:to>
    <xdr:sp macro="" textlink="">
      <xdr:nvSpPr>
        <xdr:cNvPr id="436345" name="Line 12">
          <a:extLst>
            <a:ext uri="{FF2B5EF4-FFF2-40B4-BE49-F238E27FC236}">
              <a16:creationId xmlns:a16="http://schemas.microsoft.com/office/drawing/2014/main" id="{345373F7-BC1B-8C9B-CEFF-85142CCAFE79}"/>
            </a:ext>
          </a:extLst>
        </xdr:cNvPr>
        <xdr:cNvSpPr>
          <a:spLocks noChangeShapeType="1"/>
        </xdr:cNvSpPr>
      </xdr:nvSpPr>
      <xdr:spPr bwMode="auto">
        <a:xfrm>
          <a:off x="333375" y="7010400"/>
          <a:ext cx="9525" cy="15621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42</xdr:row>
      <xdr:rowOff>0</xdr:rowOff>
    </xdr:from>
    <xdr:to>
      <xdr:col>1</xdr:col>
      <xdr:colOff>9525</xdr:colOff>
      <xdr:row>51</xdr:row>
      <xdr:rowOff>0</xdr:rowOff>
    </xdr:to>
    <xdr:sp macro="" textlink="">
      <xdr:nvSpPr>
        <xdr:cNvPr id="436346" name="Line 12">
          <a:extLst>
            <a:ext uri="{FF2B5EF4-FFF2-40B4-BE49-F238E27FC236}">
              <a16:creationId xmlns:a16="http://schemas.microsoft.com/office/drawing/2014/main" id="{9CF588A5-4E8F-2B8A-F30D-F25E6DF7D887}"/>
            </a:ext>
          </a:extLst>
        </xdr:cNvPr>
        <xdr:cNvSpPr>
          <a:spLocks noChangeShapeType="1"/>
        </xdr:cNvSpPr>
      </xdr:nvSpPr>
      <xdr:spPr bwMode="auto">
        <a:xfrm>
          <a:off x="333375" y="7010400"/>
          <a:ext cx="9525" cy="15621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42</xdr:row>
      <xdr:rowOff>0</xdr:rowOff>
    </xdr:from>
    <xdr:to>
      <xdr:col>1</xdr:col>
      <xdr:colOff>9525</xdr:colOff>
      <xdr:row>51</xdr:row>
      <xdr:rowOff>0</xdr:rowOff>
    </xdr:to>
    <xdr:sp macro="" textlink="">
      <xdr:nvSpPr>
        <xdr:cNvPr id="436347" name="Line 12">
          <a:extLst>
            <a:ext uri="{FF2B5EF4-FFF2-40B4-BE49-F238E27FC236}">
              <a16:creationId xmlns:a16="http://schemas.microsoft.com/office/drawing/2014/main" id="{7BAD0A77-D347-F0A4-6BAE-3A9FC290E51B}"/>
            </a:ext>
          </a:extLst>
        </xdr:cNvPr>
        <xdr:cNvSpPr>
          <a:spLocks noChangeShapeType="1"/>
        </xdr:cNvSpPr>
      </xdr:nvSpPr>
      <xdr:spPr bwMode="auto">
        <a:xfrm>
          <a:off x="333375" y="7010400"/>
          <a:ext cx="9525" cy="15621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42</xdr:row>
      <xdr:rowOff>0</xdr:rowOff>
    </xdr:from>
    <xdr:to>
      <xdr:col>1</xdr:col>
      <xdr:colOff>9525</xdr:colOff>
      <xdr:row>51</xdr:row>
      <xdr:rowOff>0</xdr:rowOff>
    </xdr:to>
    <xdr:sp macro="" textlink="">
      <xdr:nvSpPr>
        <xdr:cNvPr id="436348" name="Line 12">
          <a:extLst>
            <a:ext uri="{FF2B5EF4-FFF2-40B4-BE49-F238E27FC236}">
              <a16:creationId xmlns:a16="http://schemas.microsoft.com/office/drawing/2014/main" id="{0C8AD828-5BD8-35D9-60FB-5727F0F46E58}"/>
            </a:ext>
          </a:extLst>
        </xdr:cNvPr>
        <xdr:cNvSpPr>
          <a:spLocks noChangeShapeType="1"/>
        </xdr:cNvSpPr>
      </xdr:nvSpPr>
      <xdr:spPr bwMode="auto">
        <a:xfrm>
          <a:off x="333375" y="7010400"/>
          <a:ext cx="9525" cy="15621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42</xdr:row>
      <xdr:rowOff>0</xdr:rowOff>
    </xdr:from>
    <xdr:to>
      <xdr:col>1</xdr:col>
      <xdr:colOff>9525</xdr:colOff>
      <xdr:row>51</xdr:row>
      <xdr:rowOff>0</xdr:rowOff>
    </xdr:to>
    <xdr:sp macro="" textlink="">
      <xdr:nvSpPr>
        <xdr:cNvPr id="436349" name="Line 12">
          <a:extLst>
            <a:ext uri="{FF2B5EF4-FFF2-40B4-BE49-F238E27FC236}">
              <a16:creationId xmlns:a16="http://schemas.microsoft.com/office/drawing/2014/main" id="{42C11ECB-DF75-913D-C0A1-0299977C7A94}"/>
            </a:ext>
          </a:extLst>
        </xdr:cNvPr>
        <xdr:cNvSpPr>
          <a:spLocks noChangeShapeType="1"/>
        </xdr:cNvSpPr>
      </xdr:nvSpPr>
      <xdr:spPr bwMode="auto">
        <a:xfrm>
          <a:off x="333375" y="7010400"/>
          <a:ext cx="9525" cy="15621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42</xdr:row>
      <xdr:rowOff>0</xdr:rowOff>
    </xdr:from>
    <xdr:to>
      <xdr:col>1</xdr:col>
      <xdr:colOff>9525</xdr:colOff>
      <xdr:row>51</xdr:row>
      <xdr:rowOff>0</xdr:rowOff>
    </xdr:to>
    <xdr:sp macro="" textlink="">
      <xdr:nvSpPr>
        <xdr:cNvPr id="436350" name="Line 12">
          <a:extLst>
            <a:ext uri="{FF2B5EF4-FFF2-40B4-BE49-F238E27FC236}">
              <a16:creationId xmlns:a16="http://schemas.microsoft.com/office/drawing/2014/main" id="{0462122E-A681-D3C6-0E60-C244A3543263}"/>
            </a:ext>
          </a:extLst>
        </xdr:cNvPr>
        <xdr:cNvSpPr>
          <a:spLocks noChangeShapeType="1"/>
        </xdr:cNvSpPr>
      </xdr:nvSpPr>
      <xdr:spPr bwMode="auto">
        <a:xfrm>
          <a:off x="333375" y="7010400"/>
          <a:ext cx="9525" cy="15621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42</xdr:row>
      <xdr:rowOff>0</xdr:rowOff>
    </xdr:from>
    <xdr:to>
      <xdr:col>1</xdr:col>
      <xdr:colOff>9525</xdr:colOff>
      <xdr:row>51</xdr:row>
      <xdr:rowOff>0</xdr:rowOff>
    </xdr:to>
    <xdr:sp macro="" textlink="">
      <xdr:nvSpPr>
        <xdr:cNvPr id="436351" name="Line 12">
          <a:extLst>
            <a:ext uri="{FF2B5EF4-FFF2-40B4-BE49-F238E27FC236}">
              <a16:creationId xmlns:a16="http://schemas.microsoft.com/office/drawing/2014/main" id="{522761DF-0CE1-A556-058D-76BBE04380DC}"/>
            </a:ext>
          </a:extLst>
        </xdr:cNvPr>
        <xdr:cNvSpPr>
          <a:spLocks noChangeShapeType="1"/>
        </xdr:cNvSpPr>
      </xdr:nvSpPr>
      <xdr:spPr bwMode="auto">
        <a:xfrm>
          <a:off x="333375" y="7010400"/>
          <a:ext cx="9525" cy="15621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42</xdr:row>
      <xdr:rowOff>0</xdr:rowOff>
    </xdr:from>
    <xdr:to>
      <xdr:col>1</xdr:col>
      <xdr:colOff>9525</xdr:colOff>
      <xdr:row>51</xdr:row>
      <xdr:rowOff>0</xdr:rowOff>
    </xdr:to>
    <xdr:sp macro="" textlink="">
      <xdr:nvSpPr>
        <xdr:cNvPr id="436352" name="Line 12">
          <a:extLst>
            <a:ext uri="{FF2B5EF4-FFF2-40B4-BE49-F238E27FC236}">
              <a16:creationId xmlns:a16="http://schemas.microsoft.com/office/drawing/2014/main" id="{57EE9D22-FF86-8B83-F3C7-6B8CEA8E46E3}"/>
            </a:ext>
          </a:extLst>
        </xdr:cNvPr>
        <xdr:cNvSpPr>
          <a:spLocks noChangeShapeType="1"/>
        </xdr:cNvSpPr>
      </xdr:nvSpPr>
      <xdr:spPr bwMode="auto">
        <a:xfrm>
          <a:off x="333375" y="7010400"/>
          <a:ext cx="9525" cy="15621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42</xdr:row>
      <xdr:rowOff>0</xdr:rowOff>
    </xdr:from>
    <xdr:to>
      <xdr:col>1</xdr:col>
      <xdr:colOff>9525</xdr:colOff>
      <xdr:row>51</xdr:row>
      <xdr:rowOff>0</xdr:rowOff>
    </xdr:to>
    <xdr:sp macro="" textlink="">
      <xdr:nvSpPr>
        <xdr:cNvPr id="436353" name="Line 12">
          <a:extLst>
            <a:ext uri="{FF2B5EF4-FFF2-40B4-BE49-F238E27FC236}">
              <a16:creationId xmlns:a16="http://schemas.microsoft.com/office/drawing/2014/main" id="{9B80FB89-26B6-C491-55AC-7D3F6C3634B9}"/>
            </a:ext>
          </a:extLst>
        </xdr:cNvPr>
        <xdr:cNvSpPr>
          <a:spLocks noChangeShapeType="1"/>
        </xdr:cNvSpPr>
      </xdr:nvSpPr>
      <xdr:spPr bwMode="auto">
        <a:xfrm>
          <a:off x="333375" y="7010400"/>
          <a:ext cx="9525" cy="15621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42</xdr:row>
      <xdr:rowOff>0</xdr:rowOff>
    </xdr:from>
    <xdr:to>
      <xdr:col>1</xdr:col>
      <xdr:colOff>9525</xdr:colOff>
      <xdr:row>51</xdr:row>
      <xdr:rowOff>0</xdr:rowOff>
    </xdr:to>
    <xdr:sp macro="" textlink="">
      <xdr:nvSpPr>
        <xdr:cNvPr id="436354" name="Line 12">
          <a:extLst>
            <a:ext uri="{FF2B5EF4-FFF2-40B4-BE49-F238E27FC236}">
              <a16:creationId xmlns:a16="http://schemas.microsoft.com/office/drawing/2014/main" id="{BABA0CC9-43FB-3D64-52D2-E8F1ECD5A80E}"/>
            </a:ext>
          </a:extLst>
        </xdr:cNvPr>
        <xdr:cNvSpPr>
          <a:spLocks noChangeShapeType="1"/>
        </xdr:cNvSpPr>
      </xdr:nvSpPr>
      <xdr:spPr bwMode="auto">
        <a:xfrm>
          <a:off x="333375" y="7010400"/>
          <a:ext cx="9525" cy="15621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42</xdr:row>
      <xdr:rowOff>0</xdr:rowOff>
    </xdr:from>
    <xdr:to>
      <xdr:col>1</xdr:col>
      <xdr:colOff>9525</xdr:colOff>
      <xdr:row>51</xdr:row>
      <xdr:rowOff>0</xdr:rowOff>
    </xdr:to>
    <xdr:sp macro="" textlink="">
      <xdr:nvSpPr>
        <xdr:cNvPr id="436355" name="Line 12">
          <a:extLst>
            <a:ext uri="{FF2B5EF4-FFF2-40B4-BE49-F238E27FC236}">
              <a16:creationId xmlns:a16="http://schemas.microsoft.com/office/drawing/2014/main" id="{B4CEC79C-D84F-9513-DD4D-E32A057F40E2}"/>
            </a:ext>
          </a:extLst>
        </xdr:cNvPr>
        <xdr:cNvSpPr>
          <a:spLocks noChangeShapeType="1"/>
        </xdr:cNvSpPr>
      </xdr:nvSpPr>
      <xdr:spPr bwMode="auto">
        <a:xfrm>
          <a:off x="333375" y="7010400"/>
          <a:ext cx="9525" cy="15621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42</xdr:row>
      <xdr:rowOff>0</xdr:rowOff>
    </xdr:from>
    <xdr:to>
      <xdr:col>1</xdr:col>
      <xdr:colOff>9525</xdr:colOff>
      <xdr:row>51</xdr:row>
      <xdr:rowOff>0</xdr:rowOff>
    </xdr:to>
    <xdr:sp macro="" textlink="">
      <xdr:nvSpPr>
        <xdr:cNvPr id="436356" name="Line 12">
          <a:extLst>
            <a:ext uri="{FF2B5EF4-FFF2-40B4-BE49-F238E27FC236}">
              <a16:creationId xmlns:a16="http://schemas.microsoft.com/office/drawing/2014/main" id="{868414F0-2843-FD02-8C94-A6AFA6D59019}"/>
            </a:ext>
          </a:extLst>
        </xdr:cNvPr>
        <xdr:cNvSpPr>
          <a:spLocks noChangeShapeType="1"/>
        </xdr:cNvSpPr>
      </xdr:nvSpPr>
      <xdr:spPr bwMode="auto">
        <a:xfrm>
          <a:off x="333375" y="7010400"/>
          <a:ext cx="9525" cy="15621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42</xdr:row>
      <xdr:rowOff>0</xdr:rowOff>
    </xdr:from>
    <xdr:to>
      <xdr:col>1</xdr:col>
      <xdr:colOff>9525</xdr:colOff>
      <xdr:row>51</xdr:row>
      <xdr:rowOff>0</xdr:rowOff>
    </xdr:to>
    <xdr:sp macro="" textlink="">
      <xdr:nvSpPr>
        <xdr:cNvPr id="436357" name="Line 12">
          <a:extLst>
            <a:ext uri="{FF2B5EF4-FFF2-40B4-BE49-F238E27FC236}">
              <a16:creationId xmlns:a16="http://schemas.microsoft.com/office/drawing/2014/main" id="{85DEB720-D0CE-CF1E-902B-EEAB08104DF0}"/>
            </a:ext>
          </a:extLst>
        </xdr:cNvPr>
        <xdr:cNvSpPr>
          <a:spLocks noChangeShapeType="1"/>
        </xdr:cNvSpPr>
      </xdr:nvSpPr>
      <xdr:spPr bwMode="auto">
        <a:xfrm>
          <a:off x="333375" y="7010400"/>
          <a:ext cx="9525" cy="15621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42</xdr:row>
      <xdr:rowOff>0</xdr:rowOff>
    </xdr:from>
    <xdr:to>
      <xdr:col>1</xdr:col>
      <xdr:colOff>9525</xdr:colOff>
      <xdr:row>51</xdr:row>
      <xdr:rowOff>0</xdr:rowOff>
    </xdr:to>
    <xdr:sp macro="" textlink="">
      <xdr:nvSpPr>
        <xdr:cNvPr id="436358" name="Line 12">
          <a:extLst>
            <a:ext uri="{FF2B5EF4-FFF2-40B4-BE49-F238E27FC236}">
              <a16:creationId xmlns:a16="http://schemas.microsoft.com/office/drawing/2014/main" id="{E35AEC25-425D-155A-7172-FD16EA1D404A}"/>
            </a:ext>
          </a:extLst>
        </xdr:cNvPr>
        <xdr:cNvSpPr>
          <a:spLocks noChangeShapeType="1"/>
        </xdr:cNvSpPr>
      </xdr:nvSpPr>
      <xdr:spPr bwMode="auto">
        <a:xfrm>
          <a:off x="333375" y="7010400"/>
          <a:ext cx="9525" cy="15621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46</xdr:row>
      <xdr:rowOff>0</xdr:rowOff>
    </xdr:from>
    <xdr:to>
      <xdr:col>1</xdr:col>
      <xdr:colOff>9525</xdr:colOff>
      <xdr:row>53</xdr:row>
      <xdr:rowOff>0</xdr:rowOff>
    </xdr:to>
    <xdr:sp macro="" textlink="">
      <xdr:nvSpPr>
        <xdr:cNvPr id="437355" name="Line 12">
          <a:extLst>
            <a:ext uri="{FF2B5EF4-FFF2-40B4-BE49-F238E27FC236}">
              <a16:creationId xmlns:a16="http://schemas.microsoft.com/office/drawing/2014/main" id="{78682E5C-DEDE-5C58-5809-CDDFC5F9F724}"/>
            </a:ext>
          </a:extLst>
        </xdr:cNvPr>
        <xdr:cNvSpPr>
          <a:spLocks noChangeShapeType="1"/>
        </xdr:cNvSpPr>
      </xdr:nvSpPr>
      <xdr:spPr bwMode="auto">
        <a:xfrm>
          <a:off x="314325" y="7772400"/>
          <a:ext cx="9525" cy="11906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46</xdr:row>
      <xdr:rowOff>0</xdr:rowOff>
    </xdr:from>
    <xdr:to>
      <xdr:col>1</xdr:col>
      <xdr:colOff>9525</xdr:colOff>
      <xdr:row>53</xdr:row>
      <xdr:rowOff>0</xdr:rowOff>
    </xdr:to>
    <xdr:sp macro="" textlink="">
      <xdr:nvSpPr>
        <xdr:cNvPr id="437356" name="Line 12">
          <a:extLst>
            <a:ext uri="{FF2B5EF4-FFF2-40B4-BE49-F238E27FC236}">
              <a16:creationId xmlns:a16="http://schemas.microsoft.com/office/drawing/2014/main" id="{F88E5BCA-1AFB-B9AD-9125-AF1754AC51D7}"/>
            </a:ext>
          </a:extLst>
        </xdr:cNvPr>
        <xdr:cNvSpPr>
          <a:spLocks noChangeShapeType="1"/>
        </xdr:cNvSpPr>
      </xdr:nvSpPr>
      <xdr:spPr bwMode="auto">
        <a:xfrm>
          <a:off x="314325" y="7772400"/>
          <a:ext cx="9525" cy="11906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46</xdr:row>
      <xdr:rowOff>0</xdr:rowOff>
    </xdr:from>
    <xdr:to>
      <xdr:col>1</xdr:col>
      <xdr:colOff>9525</xdr:colOff>
      <xdr:row>53</xdr:row>
      <xdr:rowOff>0</xdr:rowOff>
    </xdr:to>
    <xdr:sp macro="" textlink="">
      <xdr:nvSpPr>
        <xdr:cNvPr id="437357" name="Line 12">
          <a:extLst>
            <a:ext uri="{FF2B5EF4-FFF2-40B4-BE49-F238E27FC236}">
              <a16:creationId xmlns:a16="http://schemas.microsoft.com/office/drawing/2014/main" id="{23890890-E4F1-F992-5AAF-BCE7553E9A03}"/>
            </a:ext>
          </a:extLst>
        </xdr:cNvPr>
        <xdr:cNvSpPr>
          <a:spLocks noChangeShapeType="1"/>
        </xdr:cNvSpPr>
      </xdr:nvSpPr>
      <xdr:spPr bwMode="auto">
        <a:xfrm>
          <a:off x="314325" y="7772400"/>
          <a:ext cx="9525" cy="11906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46</xdr:row>
      <xdr:rowOff>0</xdr:rowOff>
    </xdr:from>
    <xdr:to>
      <xdr:col>1</xdr:col>
      <xdr:colOff>9525</xdr:colOff>
      <xdr:row>53</xdr:row>
      <xdr:rowOff>0</xdr:rowOff>
    </xdr:to>
    <xdr:sp macro="" textlink="">
      <xdr:nvSpPr>
        <xdr:cNvPr id="437358" name="Line 12">
          <a:extLst>
            <a:ext uri="{FF2B5EF4-FFF2-40B4-BE49-F238E27FC236}">
              <a16:creationId xmlns:a16="http://schemas.microsoft.com/office/drawing/2014/main" id="{3F18BA5F-01A6-850D-577B-23A59071CBD5}"/>
            </a:ext>
          </a:extLst>
        </xdr:cNvPr>
        <xdr:cNvSpPr>
          <a:spLocks noChangeShapeType="1"/>
        </xdr:cNvSpPr>
      </xdr:nvSpPr>
      <xdr:spPr bwMode="auto">
        <a:xfrm>
          <a:off x="314325" y="7772400"/>
          <a:ext cx="9525" cy="11906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46</xdr:row>
      <xdr:rowOff>0</xdr:rowOff>
    </xdr:from>
    <xdr:to>
      <xdr:col>1</xdr:col>
      <xdr:colOff>9525</xdr:colOff>
      <xdr:row>53</xdr:row>
      <xdr:rowOff>0</xdr:rowOff>
    </xdr:to>
    <xdr:sp macro="" textlink="">
      <xdr:nvSpPr>
        <xdr:cNvPr id="437359" name="Line 12">
          <a:extLst>
            <a:ext uri="{FF2B5EF4-FFF2-40B4-BE49-F238E27FC236}">
              <a16:creationId xmlns:a16="http://schemas.microsoft.com/office/drawing/2014/main" id="{4A05E739-7960-5A2C-849B-5FECA1083C8B}"/>
            </a:ext>
          </a:extLst>
        </xdr:cNvPr>
        <xdr:cNvSpPr>
          <a:spLocks noChangeShapeType="1"/>
        </xdr:cNvSpPr>
      </xdr:nvSpPr>
      <xdr:spPr bwMode="auto">
        <a:xfrm>
          <a:off x="314325" y="7772400"/>
          <a:ext cx="9525" cy="11906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46</xdr:row>
      <xdr:rowOff>0</xdr:rowOff>
    </xdr:from>
    <xdr:to>
      <xdr:col>1</xdr:col>
      <xdr:colOff>9525</xdr:colOff>
      <xdr:row>53</xdr:row>
      <xdr:rowOff>0</xdr:rowOff>
    </xdr:to>
    <xdr:sp macro="" textlink="">
      <xdr:nvSpPr>
        <xdr:cNvPr id="437360" name="Line 12">
          <a:extLst>
            <a:ext uri="{FF2B5EF4-FFF2-40B4-BE49-F238E27FC236}">
              <a16:creationId xmlns:a16="http://schemas.microsoft.com/office/drawing/2014/main" id="{304E0C31-172E-3245-26F8-AC66E05225E9}"/>
            </a:ext>
          </a:extLst>
        </xdr:cNvPr>
        <xdr:cNvSpPr>
          <a:spLocks noChangeShapeType="1"/>
        </xdr:cNvSpPr>
      </xdr:nvSpPr>
      <xdr:spPr bwMode="auto">
        <a:xfrm>
          <a:off x="314325" y="7772400"/>
          <a:ext cx="9525" cy="11906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46</xdr:row>
      <xdr:rowOff>0</xdr:rowOff>
    </xdr:from>
    <xdr:to>
      <xdr:col>1</xdr:col>
      <xdr:colOff>9525</xdr:colOff>
      <xdr:row>53</xdr:row>
      <xdr:rowOff>0</xdr:rowOff>
    </xdr:to>
    <xdr:sp macro="" textlink="">
      <xdr:nvSpPr>
        <xdr:cNvPr id="437361" name="Line 12">
          <a:extLst>
            <a:ext uri="{FF2B5EF4-FFF2-40B4-BE49-F238E27FC236}">
              <a16:creationId xmlns:a16="http://schemas.microsoft.com/office/drawing/2014/main" id="{12914691-E008-406B-1EDF-762A7E4B6055}"/>
            </a:ext>
          </a:extLst>
        </xdr:cNvPr>
        <xdr:cNvSpPr>
          <a:spLocks noChangeShapeType="1"/>
        </xdr:cNvSpPr>
      </xdr:nvSpPr>
      <xdr:spPr bwMode="auto">
        <a:xfrm>
          <a:off x="314325" y="7772400"/>
          <a:ext cx="9525" cy="11906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46</xdr:row>
      <xdr:rowOff>0</xdr:rowOff>
    </xdr:from>
    <xdr:to>
      <xdr:col>1</xdr:col>
      <xdr:colOff>9525</xdr:colOff>
      <xdr:row>53</xdr:row>
      <xdr:rowOff>0</xdr:rowOff>
    </xdr:to>
    <xdr:sp macro="" textlink="">
      <xdr:nvSpPr>
        <xdr:cNvPr id="437362" name="Line 12">
          <a:extLst>
            <a:ext uri="{FF2B5EF4-FFF2-40B4-BE49-F238E27FC236}">
              <a16:creationId xmlns:a16="http://schemas.microsoft.com/office/drawing/2014/main" id="{424D0967-497B-9B93-4A3D-225D2F553022}"/>
            </a:ext>
          </a:extLst>
        </xdr:cNvPr>
        <xdr:cNvSpPr>
          <a:spLocks noChangeShapeType="1"/>
        </xdr:cNvSpPr>
      </xdr:nvSpPr>
      <xdr:spPr bwMode="auto">
        <a:xfrm>
          <a:off x="314325" y="7772400"/>
          <a:ext cx="9525" cy="11906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46</xdr:row>
      <xdr:rowOff>0</xdr:rowOff>
    </xdr:from>
    <xdr:to>
      <xdr:col>1</xdr:col>
      <xdr:colOff>9525</xdr:colOff>
      <xdr:row>53</xdr:row>
      <xdr:rowOff>0</xdr:rowOff>
    </xdr:to>
    <xdr:sp macro="" textlink="">
      <xdr:nvSpPr>
        <xdr:cNvPr id="437363" name="Line 12">
          <a:extLst>
            <a:ext uri="{FF2B5EF4-FFF2-40B4-BE49-F238E27FC236}">
              <a16:creationId xmlns:a16="http://schemas.microsoft.com/office/drawing/2014/main" id="{48D003CD-06E6-DD0E-59E8-205AEFB5E684}"/>
            </a:ext>
          </a:extLst>
        </xdr:cNvPr>
        <xdr:cNvSpPr>
          <a:spLocks noChangeShapeType="1"/>
        </xdr:cNvSpPr>
      </xdr:nvSpPr>
      <xdr:spPr bwMode="auto">
        <a:xfrm>
          <a:off x="314325" y="7772400"/>
          <a:ext cx="9525" cy="11906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46</xdr:row>
      <xdr:rowOff>0</xdr:rowOff>
    </xdr:from>
    <xdr:to>
      <xdr:col>1</xdr:col>
      <xdr:colOff>9525</xdr:colOff>
      <xdr:row>53</xdr:row>
      <xdr:rowOff>0</xdr:rowOff>
    </xdr:to>
    <xdr:sp macro="" textlink="">
      <xdr:nvSpPr>
        <xdr:cNvPr id="437364" name="Line 12">
          <a:extLst>
            <a:ext uri="{FF2B5EF4-FFF2-40B4-BE49-F238E27FC236}">
              <a16:creationId xmlns:a16="http://schemas.microsoft.com/office/drawing/2014/main" id="{A53D1541-91F4-105C-8B82-876C0555CF49}"/>
            </a:ext>
          </a:extLst>
        </xdr:cNvPr>
        <xdr:cNvSpPr>
          <a:spLocks noChangeShapeType="1"/>
        </xdr:cNvSpPr>
      </xdr:nvSpPr>
      <xdr:spPr bwMode="auto">
        <a:xfrm>
          <a:off x="314325" y="7772400"/>
          <a:ext cx="9525" cy="11906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46</xdr:row>
      <xdr:rowOff>0</xdr:rowOff>
    </xdr:from>
    <xdr:to>
      <xdr:col>1</xdr:col>
      <xdr:colOff>9525</xdr:colOff>
      <xdr:row>53</xdr:row>
      <xdr:rowOff>0</xdr:rowOff>
    </xdr:to>
    <xdr:sp macro="" textlink="">
      <xdr:nvSpPr>
        <xdr:cNvPr id="437365" name="Line 12">
          <a:extLst>
            <a:ext uri="{FF2B5EF4-FFF2-40B4-BE49-F238E27FC236}">
              <a16:creationId xmlns:a16="http://schemas.microsoft.com/office/drawing/2014/main" id="{C6189D0E-BE41-3198-F3A2-F47832F9DD78}"/>
            </a:ext>
          </a:extLst>
        </xdr:cNvPr>
        <xdr:cNvSpPr>
          <a:spLocks noChangeShapeType="1"/>
        </xdr:cNvSpPr>
      </xdr:nvSpPr>
      <xdr:spPr bwMode="auto">
        <a:xfrm>
          <a:off x="314325" y="7772400"/>
          <a:ext cx="9525" cy="11906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46</xdr:row>
      <xdr:rowOff>0</xdr:rowOff>
    </xdr:from>
    <xdr:to>
      <xdr:col>1</xdr:col>
      <xdr:colOff>9525</xdr:colOff>
      <xdr:row>53</xdr:row>
      <xdr:rowOff>0</xdr:rowOff>
    </xdr:to>
    <xdr:sp macro="" textlink="">
      <xdr:nvSpPr>
        <xdr:cNvPr id="437366" name="Line 12">
          <a:extLst>
            <a:ext uri="{FF2B5EF4-FFF2-40B4-BE49-F238E27FC236}">
              <a16:creationId xmlns:a16="http://schemas.microsoft.com/office/drawing/2014/main" id="{3DC0F19D-C9F1-F570-8C8C-B40163A3A2D9}"/>
            </a:ext>
          </a:extLst>
        </xdr:cNvPr>
        <xdr:cNvSpPr>
          <a:spLocks noChangeShapeType="1"/>
        </xdr:cNvSpPr>
      </xdr:nvSpPr>
      <xdr:spPr bwMode="auto">
        <a:xfrm>
          <a:off x="314325" y="7772400"/>
          <a:ext cx="9525" cy="11906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46</xdr:row>
      <xdr:rowOff>0</xdr:rowOff>
    </xdr:from>
    <xdr:to>
      <xdr:col>1</xdr:col>
      <xdr:colOff>9525</xdr:colOff>
      <xdr:row>53</xdr:row>
      <xdr:rowOff>0</xdr:rowOff>
    </xdr:to>
    <xdr:sp macro="" textlink="">
      <xdr:nvSpPr>
        <xdr:cNvPr id="437367" name="Line 12">
          <a:extLst>
            <a:ext uri="{FF2B5EF4-FFF2-40B4-BE49-F238E27FC236}">
              <a16:creationId xmlns:a16="http://schemas.microsoft.com/office/drawing/2014/main" id="{FF387E79-5968-A507-E53B-9A0B549A853C}"/>
            </a:ext>
          </a:extLst>
        </xdr:cNvPr>
        <xdr:cNvSpPr>
          <a:spLocks noChangeShapeType="1"/>
        </xdr:cNvSpPr>
      </xdr:nvSpPr>
      <xdr:spPr bwMode="auto">
        <a:xfrm>
          <a:off x="314325" y="7772400"/>
          <a:ext cx="9525" cy="11906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46</xdr:row>
      <xdr:rowOff>0</xdr:rowOff>
    </xdr:from>
    <xdr:to>
      <xdr:col>1</xdr:col>
      <xdr:colOff>9525</xdr:colOff>
      <xdr:row>53</xdr:row>
      <xdr:rowOff>0</xdr:rowOff>
    </xdr:to>
    <xdr:sp macro="" textlink="">
      <xdr:nvSpPr>
        <xdr:cNvPr id="437368" name="Line 12">
          <a:extLst>
            <a:ext uri="{FF2B5EF4-FFF2-40B4-BE49-F238E27FC236}">
              <a16:creationId xmlns:a16="http://schemas.microsoft.com/office/drawing/2014/main" id="{4837C23B-BEC8-4BBD-C6AE-2007FE3C5B87}"/>
            </a:ext>
          </a:extLst>
        </xdr:cNvPr>
        <xdr:cNvSpPr>
          <a:spLocks noChangeShapeType="1"/>
        </xdr:cNvSpPr>
      </xdr:nvSpPr>
      <xdr:spPr bwMode="auto">
        <a:xfrm>
          <a:off x="314325" y="7772400"/>
          <a:ext cx="9525" cy="11906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.%20&#1054;&#1054;&#1054;%20&#1059;&#1050;%20&#1046;&#1056;&#1069;&#1059;%206%20%20&#1075;.&#1050;&#1072;&#1083;&#1091;&#1075;&#1080;%20&#1054;&#1090;&#1095;&#1077;&#1090;%20&#1087;&#1086;%20&#1076;&#1086;&#1084;&#1072;&#1084;%20&#1079;&#1072;%202024%20&#1075;%20&#1076;&#1083;&#1103;%20&#1088;&#1072;&#1079;&#1084;&#1077;&#1097;&#1077;&#1085;&#1080;&#1103;%20&#1085;&#1072;%20&#1089;&#1072;&#1081;&#1090;&#107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Баррикад 2"/>
      <sheetName val="В.Восстания 1"/>
      <sheetName val="Воронина 9"/>
      <sheetName val="Герцена 16а"/>
      <sheetName val="Герцена 17 "/>
      <sheetName val="Герцена 3"/>
      <sheetName val="Герцена 6"/>
      <sheetName val="Герцена 9а"/>
      <sheetName val="Интернациональный 10"/>
      <sheetName val="Огарева 3"/>
      <sheetName val="Огарева 34а"/>
      <sheetName val="Огарева 4"/>
      <sheetName val="Огарева 40 корп.1"/>
      <sheetName val="Огарева 40 корп.2"/>
      <sheetName val="Огарева 6"/>
      <sheetName val="Пролетарская 21"/>
      <sheetName val="Пролетарская 41"/>
      <sheetName val="Пролетарская 44"/>
      <sheetName val="Пролетарская 90"/>
      <sheetName val="Пухова 1"/>
      <sheetName val="Пухова 19"/>
      <sheetName val="Пухова 3"/>
      <sheetName val="Рылеева 1дробь 12"/>
      <sheetName val="Рылеева 18б"/>
      <sheetName val="Рылеева 19"/>
      <sheetName val="Рылеева 6"/>
      <sheetName val="Суворова 13"/>
      <sheetName val="Суворова 15"/>
      <sheetName val="Суворова 17"/>
      <sheetName val="Суворова 63 корп.1"/>
      <sheetName val="Суворова 69"/>
      <sheetName val="Суворова 9"/>
      <sheetName val="Суворова 93 дробь 26"/>
      <sheetName val="Суворова 95"/>
      <sheetName val="Суворова 44"/>
      <sheetName val="Суворова 38"/>
      <sheetName val="Лист1"/>
      <sheetName val="Лист2"/>
      <sheetName val="Большевиков 3"/>
      <sheetName val="Суворова 58"/>
      <sheetName val="Суворова 46"/>
      <sheetName val="пер Труда 4 корп.2"/>
      <sheetName val="Труда 16"/>
      <sheetName val="Труда 24"/>
      <sheetName val="Труда 26"/>
      <sheetName val="Труда 3а"/>
      <sheetName val="Труда 5а корп.1"/>
      <sheetName val="Труда 5а корп.2"/>
      <sheetName val="Общее"/>
      <sheetName val="Труда 6 дробь 1"/>
      <sheetName val="Труда 9"/>
      <sheetName val="Воронина 16"/>
      <sheetName val=" Яченский пер д.2"/>
      <sheetName val="Рылеева 3"/>
      <sheetName val="Ломоносова 1"/>
      <sheetName val="Суворова 21"/>
      <sheetName val="Суворова 21а"/>
      <sheetName val="Суворова 67"/>
      <sheetName val="Труда 3"/>
      <sheetName val="Труда 30"/>
      <sheetName val="Труда 32"/>
      <sheetName val="Плеханова 3"/>
      <sheetName val="Труда 14 дробь 2"/>
      <sheetName val="Труда 28"/>
      <sheetName val="Труда 10"/>
      <sheetName val="Пролетарская 39"/>
      <sheetName val="Герцена 2 дробь 8"/>
      <sheetName val="Герцена 4"/>
      <sheetName val="Рылеева 4"/>
      <sheetName val="Плеханова 5дробь 1"/>
      <sheetName val="Огарева 9 дробь 7"/>
      <sheetName val="Труда пер 4 корп.5"/>
      <sheetName val="Чичерина 28"/>
      <sheetName val="Пухова 7"/>
      <sheetName val="Суворова 119 дробь 38"/>
      <sheetName val="Герцена 17 корп.1"/>
      <sheetName val="Огарева 44"/>
      <sheetName val="Плеханова 11"/>
      <sheetName val="Рылеева 16"/>
      <sheetName val="Суворова 11"/>
      <sheetName val="Суворова 19"/>
      <sheetName val="Воронина 23а"/>
      <sheetName val="Воронина 13 дробь 52"/>
      <sheetName val="Рылеева 14"/>
      <sheetName val="Воронина 23"/>
      <sheetName val="пер.Труда 4 корп.1"/>
      <sheetName val="Воронина 21"/>
      <sheetName val="Плеханова 12"/>
      <sheetName val="Труда 18 дробь 1"/>
      <sheetName val="Огарева 42"/>
      <sheetName val="Суворова 65"/>
      <sheetName val="Труда 22"/>
      <sheetName val="Кирова 44а"/>
      <sheetName val="Телевизионная 20"/>
      <sheetName val="Телевизионная 22"/>
      <sheetName val=" М.Жукова 46"/>
    </sheetNames>
    <sheetDataSet>
      <sheetData sheetId="0">
        <row r="38">
          <cell r="G38">
            <v>314244.11660000001</v>
          </cell>
        </row>
      </sheetData>
      <sheetData sheetId="1">
        <row r="35">
          <cell r="G35">
            <v>-22968.956800000004</v>
          </cell>
        </row>
      </sheetData>
      <sheetData sheetId="2">
        <row r="36">
          <cell r="G36">
            <v>-89965.757200000007</v>
          </cell>
        </row>
      </sheetData>
      <sheetData sheetId="3">
        <row r="34">
          <cell r="G34">
            <v>-29816.303899999995</v>
          </cell>
        </row>
      </sheetData>
      <sheetData sheetId="4">
        <row r="37">
          <cell r="G37">
            <v>747565.06979999994</v>
          </cell>
        </row>
      </sheetData>
      <sheetData sheetId="5">
        <row r="38">
          <cell r="G38">
            <v>368100.23739999998</v>
          </cell>
        </row>
      </sheetData>
      <sheetData sheetId="6">
        <row r="37">
          <cell r="G37">
            <v>185229.18970000002</v>
          </cell>
        </row>
      </sheetData>
      <sheetData sheetId="7">
        <row r="35">
          <cell r="G35">
            <v>-44461.317599999995</v>
          </cell>
        </row>
      </sheetData>
      <sheetData sheetId="8">
        <row r="37">
          <cell r="G37">
            <v>176703.82660000003</v>
          </cell>
        </row>
      </sheetData>
      <sheetData sheetId="9">
        <row r="37">
          <cell r="G37">
            <v>155134.02679999996</v>
          </cell>
        </row>
      </sheetData>
      <sheetData sheetId="10">
        <row r="35">
          <cell r="G35">
            <v>-60510.6944</v>
          </cell>
        </row>
      </sheetData>
      <sheetData sheetId="11">
        <row r="37">
          <cell r="G37">
            <v>294923.6152</v>
          </cell>
        </row>
      </sheetData>
      <sheetData sheetId="12">
        <row r="38">
          <cell r="G38">
            <v>1928.6762999999919</v>
          </cell>
        </row>
      </sheetData>
      <sheetData sheetId="13">
        <row r="37">
          <cell r="G37">
            <v>187906.29</v>
          </cell>
        </row>
        <row r="38">
          <cell r="G38">
            <v>-103960.21280000001</v>
          </cell>
        </row>
      </sheetData>
      <sheetData sheetId="14">
        <row r="37">
          <cell r="G37">
            <v>268706.18610000005</v>
          </cell>
        </row>
      </sheetData>
      <sheetData sheetId="15">
        <row r="37">
          <cell r="G37">
            <v>-529882.89519999991</v>
          </cell>
        </row>
      </sheetData>
      <sheetData sheetId="16">
        <row r="37">
          <cell r="G37">
            <v>-56256.005899999996</v>
          </cell>
        </row>
      </sheetData>
      <sheetData sheetId="17">
        <row r="37">
          <cell r="G37">
            <v>340031.5515</v>
          </cell>
        </row>
      </sheetData>
      <sheetData sheetId="18">
        <row r="35">
          <cell r="G35">
            <v>235838.31619999994</v>
          </cell>
        </row>
      </sheetData>
      <sheetData sheetId="19">
        <row r="36">
          <cell r="G36">
            <v>-217603.75579999998</v>
          </cell>
        </row>
      </sheetData>
      <sheetData sheetId="20">
        <row r="36">
          <cell r="G36">
            <v>186138.21909999999</v>
          </cell>
        </row>
      </sheetData>
      <sheetData sheetId="21">
        <row r="35">
          <cell r="G35">
            <v>51528.862999999968</v>
          </cell>
        </row>
      </sheetData>
      <sheetData sheetId="22">
        <row r="38">
          <cell r="G38">
            <v>-81168.41339999999</v>
          </cell>
        </row>
      </sheetData>
      <sheetData sheetId="23">
        <row r="35">
          <cell r="G35">
            <v>-17048.4159</v>
          </cell>
        </row>
      </sheetData>
      <sheetData sheetId="24">
        <row r="38">
          <cell r="G38">
            <v>101289.06589999999</v>
          </cell>
        </row>
      </sheetData>
      <sheetData sheetId="25">
        <row r="39">
          <cell r="G39">
            <v>22396.07</v>
          </cell>
        </row>
        <row r="40">
          <cell r="G40">
            <v>311292.12109999999</v>
          </cell>
        </row>
      </sheetData>
      <sheetData sheetId="26">
        <row r="36">
          <cell r="G36">
            <v>-688233.51</v>
          </cell>
        </row>
      </sheetData>
      <sheetData sheetId="27">
        <row r="37">
          <cell r="G37">
            <v>-260583.99779999998</v>
          </cell>
        </row>
      </sheetData>
      <sheetData sheetId="28">
        <row r="38">
          <cell r="G38">
            <v>-203661.11570000002</v>
          </cell>
        </row>
      </sheetData>
      <sheetData sheetId="29">
        <row r="35">
          <cell r="G35">
            <v>-761097.24199999997</v>
          </cell>
        </row>
      </sheetData>
      <sheetData sheetId="30">
        <row r="38">
          <cell r="G38">
            <v>-19318.926000000036</v>
          </cell>
        </row>
      </sheetData>
      <sheetData sheetId="31">
        <row r="34">
          <cell r="G34">
            <v>31409.127000000022</v>
          </cell>
        </row>
      </sheetData>
      <sheetData sheetId="32">
        <row r="35">
          <cell r="G35">
            <v>-7002.8110000000024</v>
          </cell>
        </row>
      </sheetData>
      <sheetData sheetId="33">
        <row r="36">
          <cell r="G36">
            <v>-160325.78220000002</v>
          </cell>
        </row>
      </sheetData>
      <sheetData sheetId="34">
        <row r="36">
          <cell r="G36">
            <v>-214525.54619999998</v>
          </cell>
        </row>
      </sheetData>
      <sheetData sheetId="35">
        <row r="36">
          <cell r="G36">
            <v>3221.901700000024</v>
          </cell>
        </row>
      </sheetData>
      <sheetData sheetId="36"/>
      <sheetData sheetId="37"/>
      <sheetData sheetId="38">
        <row r="38">
          <cell r="G38">
            <v>479217.15590000001</v>
          </cell>
        </row>
      </sheetData>
      <sheetData sheetId="39">
        <row r="36">
          <cell r="G36">
            <v>-147296.2071</v>
          </cell>
        </row>
      </sheetData>
      <sheetData sheetId="40">
        <row r="38">
          <cell r="G38">
            <v>-12449.456699999995</v>
          </cell>
        </row>
      </sheetData>
      <sheetData sheetId="41">
        <row r="36">
          <cell r="G36">
            <v>9695.5322999999989</v>
          </cell>
        </row>
      </sheetData>
      <sheetData sheetId="42">
        <row r="37">
          <cell r="G37">
            <v>-83394.24940000003</v>
          </cell>
        </row>
      </sheetData>
      <sheetData sheetId="43">
        <row r="37">
          <cell r="G37">
            <v>142133.48680000001</v>
          </cell>
        </row>
      </sheetData>
      <sheetData sheetId="44">
        <row r="36">
          <cell r="G36">
            <v>152607.48889999997</v>
          </cell>
        </row>
      </sheetData>
      <sheetData sheetId="45">
        <row r="35">
          <cell r="G35">
            <v>-31784.037599999996</v>
          </cell>
        </row>
      </sheetData>
      <sheetData sheetId="46">
        <row r="38">
          <cell r="G38">
            <v>-31582.074999999997</v>
          </cell>
        </row>
      </sheetData>
      <sheetData sheetId="47">
        <row r="36">
          <cell r="G36">
            <v>-96651.610500000024</v>
          </cell>
        </row>
      </sheetData>
      <sheetData sheetId="48"/>
      <sheetData sheetId="49">
        <row r="38">
          <cell r="G38">
            <v>412394.74129999999</v>
          </cell>
        </row>
      </sheetData>
      <sheetData sheetId="50">
        <row r="35">
          <cell r="G35">
            <v>-22414.994399999996</v>
          </cell>
        </row>
      </sheetData>
      <sheetData sheetId="51">
        <row r="36">
          <cell r="G36">
            <v>25540.7958</v>
          </cell>
        </row>
      </sheetData>
      <sheetData sheetId="52">
        <row r="34">
          <cell r="G34">
            <v>-298937.48130000004</v>
          </cell>
        </row>
      </sheetData>
      <sheetData sheetId="53">
        <row r="36">
          <cell r="G36">
            <v>98062.79</v>
          </cell>
        </row>
        <row r="37">
          <cell r="G37">
            <v>-418244.20889999997</v>
          </cell>
        </row>
      </sheetData>
      <sheetData sheetId="54">
        <row r="36">
          <cell r="G36">
            <v>-158725.10619999998</v>
          </cell>
        </row>
      </sheetData>
      <sheetData sheetId="55">
        <row r="36">
          <cell r="G36">
            <v>80079.01939999999</v>
          </cell>
        </row>
      </sheetData>
      <sheetData sheetId="56">
        <row r="38">
          <cell r="G38">
            <v>39976.58</v>
          </cell>
        </row>
        <row r="39">
          <cell r="G39">
            <v>-416981.26309999992</v>
          </cell>
        </row>
      </sheetData>
      <sheetData sheetId="57">
        <row r="34">
          <cell r="G34">
            <v>-108228.8091</v>
          </cell>
        </row>
      </sheetData>
      <sheetData sheetId="58">
        <row r="38">
          <cell r="G38">
            <v>70227.919200000004</v>
          </cell>
        </row>
      </sheetData>
      <sheetData sheetId="59">
        <row r="35">
          <cell r="G35">
            <v>-97697.199199999974</v>
          </cell>
        </row>
      </sheetData>
      <sheetData sheetId="60">
        <row r="37">
          <cell r="G37">
            <v>-305331.26139999996</v>
          </cell>
        </row>
      </sheetData>
      <sheetData sheetId="61">
        <row r="38">
          <cell r="G38">
            <v>374955.58809999999</v>
          </cell>
        </row>
      </sheetData>
      <sheetData sheetId="62">
        <row r="38">
          <cell r="G38">
            <v>25334.608500000024</v>
          </cell>
        </row>
      </sheetData>
      <sheetData sheetId="63">
        <row r="37">
          <cell r="G37">
            <v>-308754.94390000001</v>
          </cell>
        </row>
      </sheetData>
      <sheetData sheetId="64">
        <row r="36">
          <cell r="G36">
            <v>217956.70860000004</v>
          </cell>
        </row>
      </sheetData>
      <sheetData sheetId="65">
        <row r="37">
          <cell r="G37">
            <v>88314.09</v>
          </cell>
        </row>
        <row r="38">
          <cell r="G38">
            <v>235470.30719999998</v>
          </cell>
        </row>
      </sheetData>
      <sheetData sheetId="66">
        <row r="36">
          <cell r="G36">
            <v>8775.1332000000057</v>
          </cell>
        </row>
      </sheetData>
      <sheetData sheetId="67">
        <row r="37">
          <cell r="G37">
            <v>363353.60460000002</v>
          </cell>
        </row>
      </sheetData>
      <sheetData sheetId="68">
        <row r="36">
          <cell r="G36">
            <v>61171.922299999991</v>
          </cell>
        </row>
      </sheetData>
      <sheetData sheetId="69">
        <row r="39">
          <cell r="G39">
            <v>221665.33</v>
          </cell>
        </row>
        <row r="40">
          <cell r="G40">
            <v>126114.55609999997</v>
          </cell>
        </row>
      </sheetData>
      <sheetData sheetId="70">
        <row r="37">
          <cell r="G37">
            <v>272779.29160000006</v>
          </cell>
        </row>
      </sheetData>
      <sheetData sheetId="71">
        <row r="34">
          <cell r="G34">
            <v>64337.763799999993</v>
          </cell>
        </row>
      </sheetData>
      <sheetData sheetId="72">
        <row r="34">
          <cell r="G34">
            <v>46199.183500000006</v>
          </cell>
        </row>
      </sheetData>
      <sheetData sheetId="73">
        <row r="34">
          <cell r="G34">
            <v>184429.88310000004</v>
          </cell>
        </row>
      </sheetData>
      <sheetData sheetId="74">
        <row r="35">
          <cell r="G35">
            <v>28759.226699999999</v>
          </cell>
        </row>
      </sheetData>
      <sheetData sheetId="75">
        <row r="36">
          <cell r="G36">
            <v>255474.03610000003</v>
          </cell>
        </row>
      </sheetData>
      <sheetData sheetId="76">
        <row r="39">
          <cell r="G39">
            <v>76728.179999999993</v>
          </cell>
        </row>
        <row r="40">
          <cell r="G40">
            <v>147765.39869999996</v>
          </cell>
        </row>
      </sheetData>
      <sheetData sheetId="77">
        <row r="39">
          <cell r="G39">
            <v>236456.07</v>
          </cell>
        </row>
        <row r="40">
          <cell r="G40">
            <v>245574.14079999996</v>
          </cell>
        </row>
      </sheetData>
      <sheetData sheetId="78">
        <row r="36">
          <cell r="G36">
            <v>31109.41839999998</v>
          </cell>
        </row>
      </sheetData>
      <sheetData sheetId="79">
        <row r="35">
          <cell r="G35">
            <v>173847.40099999998</v>
          </cell>
        </row>
      </sheetData>
      <sheetData sheetId="80">
        <row r="36">
          <cell r="G36">
            <v>-339245.96730000002</v>
          </cell>
        </row>
      </sheetData>
      <sheetData sheetId="81">
        <row r="36">
          <cell r="G36">
            <v>-27495.720099999995</v>
          </cell>
        </row>
      </sheetData>
      <sheetData sheetId="82">
        <row r="35">
          <cell r="G35">
            <v>-4412.4526999999998</v>
          </cell>
        </row>
      </sheetData>
      <sheetData sheetId="83">
        <row r="35">
          <cell r="G35">
            <v>-29333.938999999995</v>
          </cell>
        </row>
      </sheetData>
      <sheetData sheetId="84">
        <row r="36">
          <cell r="G36">
            <v>-8003.2492999999959</v>
          </cell>
        </row>
      </sheetData>
      <sheetData sheetId="85">
        <row r="34">
          <cell r="G34">
            <v>104715.87549999999</v>
          </cell>
        </row>
      </sheetData>
      <sheetData sheetId="86">
        <row r="36">
          <cell r="G36">
            <v>37971.960499999994</v>
          </cell>
        </row>
      </sheetData>
      <sheetData sheetId="87">
        <row r="35">
          <cell r="G35">
            <v>-65350.071799999889</v>
          </cell>
        </row>
      </sheetData>
      <sheetData sheetId="88">
        <row r="38">
          <cell r="G38">
            <v>-312341.27749999997</v>
          </cell>
        </row>
      </sheetData>
      <sheetData sheetId="89">
        <row r="36">
          <cell r="G36">
            <v>43577.77</v>
          </cell>
        </row>
        <row r="37">
          <cell r="G37">
            <v>190043.39069999999</v>
          </cell>
        </row>
      </sheetData>
      <sheetData sheetId="90">
        <row r="38">
          <cell r="G38">
            <v>-262957.13210000005</v>
          </cell>
        </row>
      </sheetData>
      <sheetData sheetId="91">
        <row r="37">
          <cell r="G37">
            <v>-313956.43420000002</v>
          </cell>
        </row>
      </sheetData>
      <sheetData sheetId="92">
        <row r="37">
          <cell r="G37">
            <v>-5773.292300000001</v>
          </cell>
        </row>
      </sheetData>
      <sheetData sheetId="93">
        <row r="37">
          <cell r="G37">
            <v>-3809.0816999999988</v>
          </cell>
        </row>
      </sheetData>
      <sheetData sheetId="94">
        <row r="37">
          <cell r="G37">
            <v>9562.1311999999998</v>
          </cell>
        </row>
      </sheetData>
      <sheetData sheetId="95">
        <row r="37">
          <cell r="G37">
            <v>-243354.35739999998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58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59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61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70.bin"/></Relationships>
</file>

<file path=xl/worksheets/_rels/sheet7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71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73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75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8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77.bin"/></Relationships>
</file>

<file path=xl/worksheets/_rels/sheet8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78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9.bin"/></Relationships>
</file>

<file path=xl/worksheets/_rels/sheet8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80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1.bin"/></Relationships>
</file>

<file path=xl/worksheets/_rels/sheet8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82.bin"/></Relationships>
</file>

<file path=xl/worksheets/_rels/sheet8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83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4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9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5.bin"/></Relationships>
</file>

<file path=xl/worksheets/_rels/sheet9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86.bin"/></Relationships>
</file>

<file path=xl/worksheets/_rels/sheet9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87.bin"/></Relationships>
</file>

<file path=xl/worksheets/_rels/sheet9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8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9.bin"/></Relationships>
</file>

<file path=xl/worksheets/_rels/sheet9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0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34FCD7-430D-44D9-96CD-7A4B16AECB27}">
  <sheetPr>
    <tabColor rgb="FF7030A0"/>
  </sheetPr>
  <dimension ref="A1:P58"/>
  <sheetViews>
    <sheetView tabSelected="1" zoomScaleNormal="100" workbookViewId="0">
      <selection activeCell="A59" sqref="A59:IV60"/>
    </sheetView>
  </sheetViews>
  <sheetFormatPr defaultRowHeight="12.75" outlineLevelRow="1" outlineLevelCol="2" x14ac:dyDescent="0.2"/>
  <cols>
    <col min="1" max="1" width="5.85546875" style="49" customWidth="1"/>
    <col min="2" max="2" width="40.42578125" style="49" customWidth="1"/>
    <col min="3" max="3" width="14.5703125" style="114" customWidth="1"/>
    <col min="4" max="4" width="14.85546875" style="49" customWidth="1"/>
    <col min="5" max="5" width="13.28515625" style="49" customWidth="1"/>
    <col min="6" max="6" width="13.140625" style="49" customWidth="1"/>
    <col min="7" max="7" width="14.5703125" style="49" customWidth="1"/>
    <col min="8" max="9" width="11.5703125" style="49" hidden="1" customWidth="1" outlineLevel="2"/>
    <col min="10" max="10" width="10.140625" style="49" hidden="1" customWidth="1" outlineLevel="2"/>
    <col min="11" max="11" width="10.42578125" style="49" hidden="1" customWidth="1" outlineLevel="2"/>
    <col min="12" max="13" width="9.140625" style="49" hidden="1" customWidth="1" outlineLevel="2"/>
    <col min="14" max="14" width="9.140625" style="49" customWidth="1" collapsed="1"/>
    <col min="15" max="15" width="10" style="49" customWidth="1"/>
    <col min="16" max="16" width="15.85546875" style="49" customWidth="1"/>
    <col min="17" max="16384" width="9.140625" style="49"/>
  </cols>
  <sheetData>
    <row r="1" spans="1:11" x14ac:dyDescent="0.2">
      <c r="A1" s="370" t="s">
        <v>0</v>
      </c>
      <c r="B1" s="370"/>
      <c r="C1" s="370"/>
      <c r="D1" s="370"/>
      <c r="E1" s="370"/>
      <c r="F1" s="370"/>
      <c r="G1" s="370"/>
      <c r="H1" s="370"/>
      <c r="I1" s="370"/>
      <c r="J1" s="370"/>
      <c r="K1" s="370"/>
    </row>
    <row r="2" spans="1:11" x14ac:dyDescent="0.2">
      <c r="A2" s="370" t="s">
        <v>152</v>
      </c>
      <c r="B2" s="370"/>
      <c r="C2" s="370"/>
      <c r="D2" s="370"/>
      <c r="E2" s="370"/>
      <c r="F2" s="370"/>
      <c r="G2" s="370"/>
      <c r="H2" s="370"/>
      <c r="I2" s="370"/>
      <c r="J2" s="370"/>
      <c r="K2" s="370"/>
    </row>
    <row r="3" spans="1:11" ht="13.5" customHeight="1" x14ac:dyDescent="0.2">
      <c r="A3" s="370" t="s">
        <v>426</v>
      </c>
      <c r="B3" s="370"/>
      <c r="C3" s="370"/>
      <c r="D3" s="370"/>
      <c r="E3" s="370"/>
      <c r="F3" s="370"/>
      <c r="G3" s="370"/>
      <c r="H3" s="370"/>
      <c r="I3" s="370"/>
      <c r="J3" s="370"/>
      <c r="K3" s="370"/>
    </row>
    <row r="4" spans="1:11" ht="9" customHeight="1" x14ac:dyDescent="0.2">
      <c r="A4" s="48"/>
      <c r="B4" s="48"/>
      <c r="D4" s="48"/>
      <c r="E4" s="48"/>
      <c r="F4" s="48"/>
      <c r="G4" s="48"/>
      <c r="H4" s="48"/>
      <c r="I4" s="48"/>
      <c r="J4" s="48"/>
      <c r="K4" s="48"/>
    </row>
    <row r="5" spans="1:11" ht="16.5" customHeight="1" x14ac:dyDescent="0.2">
      <c r="A5" s="371" t="s">
        <v>1</v>
      </c>
      <c r="B5" s="370"/>
      <c r="C5" s="370"/>
      <c r="D5" s="370"/>
      <c r="E5" s="370"/>
      <c r="F5" s="370"/>
      <c r="G5" s="370"/>
      <c r="H5" s="370"/>
      <c r="I5" s="370"/>
      <c r="J5" s="370"/>
      <c r="K5" s="370"/>
    </row>
    <row r="7" spans="1:11" s="51" customFormat="1" ht="16.5" customHeight="1" x14ac:dyDescent="0.2">
      <c r="A7" s="51" t="s">
        <v>2</v>
      </c>
      <c r="C7" s="115"/>
      <c r="F7" s="52" t="s">
        <v>162</v>
      </c>
      <c r="H7" s="52"/>
    </row>
    <row r="8" spans="1:11" s="51" customFormat="1" x14ac:dyDescent="0.2">
      <c r="A8" s="51" t="s">
        <v>3</v>
      </c>
      <c r="C8" s="115"/>
      <c r="F8" s="242" t="s">
        <v>153</v>
      </c>
      <c r="H8" s="231">
        <v>72.2</v>
      </c>
      <c r="I8" s="51">
        <v>4761.75</v>
      </c>
      <c r="J8" s="51">
        <f>H8+I8</f>
        <v>4833.95</v>
      </c>
    </row>
    <row r="9" spans="1:11" s="51" customFormat="1" x14ac:dyDescent="0.2">
      <c r="B9" s="51" t="s">
        <v>244</v>
      </c>
      <c r="C9" s="115"/>
      <c r="F9" s="285" t="s">
        <v>245</v>
      </c>
      <c r="H9" s="231"/>
    </row>
    <row r="10" spans="1:11" s="51" customFormat="1" x14ac:dyDescent="0.2">
      <c r="A10" s="372" t="s">
        <v>8</v>
      </c>
      <c r="B10" s="372"/>
      <c r="C10" s="372"/>
      <c r="D10" s="372"/>
      <c r="E10" s="372"/>
      <c r="F10" s="372"/>
      <c r="G10" s="372"/>
      <c r="H10" s="372"/>
      <c r="I10" s="372"/>
      <c r="J10" s="372"/>
      <c r="K10" s="372"/>
    </row>
    <row r="11" spans="1:11" s="51" customFormat="1" x14ac:dyDescent="0.2">
      <c r="A11" s="372" t="s">
        <v>9</v>
      </c>
      <c r="B11" s="372"/>
      <c r="C11" s="372"/>
      <c r="D11" s="372"/>
      <c r="E11" s="372"/>
      <c r="F11" s="372"/>
      <c r="G11" s="372"/>
      <c r="H11" s="372"/>
      <c r="I11" s="372"/>
      <c r="J11" s="372"/>
      <c r="K11" s="372"/>
    </row>
    <row r="12" spans="1:11" s="51" customFormat="1" x14ac:dyDescent="0.2">
      <c r="A12" s="372" t="s">
        <v>10</v>
      </c>
      <c r="B12" s="372"/>
      <c r="C12" s="372"/>
      <c r="D12" s="372"/>
      <c r="E12" s="372"/>
      <c r="F12" s="372"/>
      <c r="G12" s="372"/>
      <c r="H12" s="372"/>
      <c r="I12" s="372"/>
      <c r="J12" s="372"/>
      <c r="K12" s="372"/>
    </row>
    <row r="13" spans="1:11" s="59" customFormat="1" ht="6" customHeight="1" thickBot="1" x14ac:dyDescent="0.3">
      <c r="A13" s="60"/>
      <c r="B13" s="60"/>
      <c r="C13" s="116"/>
      <c r="D13" s="38"/>
      <c r="E13" s="58"/>
      <c r="F13" s="58"/>
      <c r="G13" s="58"/>
      <c r="H13" s="54"/>
      <c r="I13" s="54"/>
    </row>
    <row r="14" spans="1:11" s="59" customFormat="1" ht="15.75" thickBot="1" x14ac:dyDescent="0.3">
      <c r="A14" s="55" t="s">
        <v>381</v>
      </c>
      <c r="B14" s="56"/>
      <c r="C14" s="117"/>
      <c r="D14" s="61"/>
      <c r="E14" s="62"/>
      <c r="F14" s="62"/>
      <c r="G14" s="57">
        <f>'[1]Баррикад 2'!$G$38</f>
        <v>314244.11660000001</v>
      </c>
      <c r="H14" s="54"/>
      <c r="I14" s="54"/>
    </row>
    <row r="15" spans="1:11" s="51" customFormat="1" ht="6.75" customHeight="1" x14ac:dyDescent="0.2">
      <c r="C15" s="115"/>
    </row>
    <row r="16" spans="1:11" s="66" customFormat="1" ht="38.25" x14ac:dyDescent="0.25">
      <c r="A16" s="64" t="s">
        <v>11</v>
      </c>
      <c r="B16" s="64" t="s">
        <v>12</v>
      </c>
      <c r="C16" s="64" t="s">
        <v>61</v>
      </c>
      <c r="D16" s="64" t="s">
        <v>432</v>
      </c>
      <c r="E16" s="64" t="s">
        <v>433</v>
      </c>
      <c r="F16" s="65" t="s">
        <v>434</v>
      </c>
      <c r="G16" s="64" t="s">
        <v>435</v>
      </c>
    </row>
    <row r="17" spans="1:16" s="71" customFormat="1" ht="14.25" x14ac:dyDescent="0.2">
      <c r="A17" s="118" t="s">
        <v>14</v>
      </c>
      <c r="B17" s="119" t="s">
        <v>379</v>
      </c>
      <c r="C17" s="120">
        <v>20.32</v>
      </c>
      <c r="D17" s="68">
        <v>1161105.1200000001</v>
      </c>
      <c r="E17" s="68">
        <v>1133890.6499999999</v>
      </c>
      <c r="F17" s="68">
        <f t="shared" ref="F17:F27" si="0">D17</f>
        <v>1161105.1200000001</v>
      </c>
      <c r="G17" s="69">
        <f>D17-E17</f>
        <v>27214.470000000205</v>
      </c>
      <c r="H17" s="121">
        <f>C17</f>
        <v>20.32</v>
      </c>
      <c r="K17" s="122">
        <f>D17/C17/6</f>
        <v>9523.5000000000018</v>
      </c>
      <c r="O17" s="121"/>
      <c r="P17" s="122"/>
    </row>
    <row r="18" spans="1:16" s="51" customFormat="1" ht="15" hidden="1" outlineLevel="1" x14ac:dyDescent="0.25">
      <c r="A18" s="123" t="s">
        <v>16</v>
      </c>
      <c r="B18" s="124" t="s">
        <v>17</v>
      </c>
      <c r="C18" s="89">
        <v>3.46</v>
      </c>
      <c r="D18" s="75">
        <f>D17*I18</f>
        <v>197707.86000000002</v>
      </c>
      <c r="E18" s="75">
        <f>E17*I18</f>
        <v>193073.90004921259</v>
      </c>
      <c r="F18" s="75">
        <f t="shared" si="0"/>
        <v>197707.86000000002</v>
      </c>
      <c r="G18" s="76">
        <f t="shared" ref="G18:G33" si="1">D18-E18</f>
        <v>4633.9599507874227</v>
      </c>
      <c r="H18" s="70">
        <f>C18</f>
        <v>3.46</v>
      </c>
      <c r="I18" s="51">
        <f>H18/H17</f>
        <v>0.17027559055118111</v>
      </c>
    </row>
    <row r="19" spans="1:16" s="51" customFormat="1" ht="15" hidden="1" outlineLevel="1" x14ac:dyDescent="0.25">
      <c r="A19" s="123" t="s">
        <v>18</v>
      </c>
      <c r="B19" s="124" t="s">
        <v>19</v>
      </c>
      <c r="C19" s="89">
        <v>1.69</v>
      </c>
      <c r="D19" s="75">
        <f>D17*I19</f>
        <v>96568.29</v>
      </c>
      <c r="E19" s="75">
        <f>E17*I19</f>
        <v>94304.881815944871</v>
      </c>
      <c r="F19" s="75">
        <f t="shared" si="0"/>
        <v>96568.29</v>
      </c>
      <c r="G19" s="76">
        <f t="shared" si="1"/>
        <v>2263.4081840551225</v>
      </c>
      <c r="H19" s="70">
        <f>C19</f>
        <v>1.69</v>
      </c>
      <c r="I19" s="51">
        <f>H19/H17</f>
        <v>8.3169291338582668E-2</v>
      </c>
    </row>
    <row r="20" spans="1:16" s="51" customFormat="1" ht="15" hidden="1" outlineLevel="1" x14ac:dyDescent="0.25">
      <c r="A20" s="123" t="s">
        <v>20</v>
      </c>
      <c r="B20" s="124" t="s">
        <v>21</v>
      </c>
      <c r="C20" s="89">
        <v>2.15</v>
      </c>
      <c r="D20" s="75">
        <f>D17*I20</f>
        <v>122853.15000000001</v>
      </c>
      <c r="E20" s="75">
        <f>E17*I20</f>
        <v>119973.66621555116</v>
      </c>
      <c r="F20" s="75">
        <f t="shared" si="0"/>
        <v>122853.15000000001</v>
      </c>
      <c r="G20" s="76">
        <f t="shared" si="1"/>
        <v>2879.4837844488502</v>
      </c>
      <c r="H20" s="70">
        <f>C20</f>
        <v>2.15</v>
      </c>
      <c r="I20" s="51">
        <f>H20/H17</f>
        <v>0.10580708661417322</v>
      </c>
    </row>
    <row r="21" spans="1:16" s="51" customFormat="1" ht="15" hidden="1" outlineLevel="1" x14ac:dyDescent="0.25">
      <c r="A21" s="123" t="s">
        <v>22</v>
      </c>
      <c r="B21" s="124" t="s">
        <v>23</v>
      </c>
      <c r="C21" s="89">
        <v>3.04</v>
      </c>
      <c r="D21" s="75">
        <f>D17*I21</f>
        <v>173708.64000000004</v>
      </c>
      <c r="E21" s="75">
        <f>E17*I21</f>
        <v>169637.18385826773</v>
      </c>
      <c r="F21" s="75">
        <f t="shared" si="0"/>
        <v>173708.64000000004</v>
      </c>
      <c r="G21" s="76">
        <f t="shared" si="1"/>
        <v>4071.456141732313</v>
      </c>
      <c r="H21" s="70">
        <f>C21</f>
        <v>3.04</v>
      </c>
      <c r="I21" s="51">
        <f>H21/H17</f>
        <v>0.14960629921259844</v>
      </c>
    </row>
    <row r="22" spans="1:16" s="80" customFormat="1" ht="14.25" collapsed="1" x14ac:dyDescent="0.2">
      <c r="A22" s="125" t="s">
        <v>25</v>
      </c>
      <c r="B22" s="125" t="s">
        <v>26</v>
      </c>
      <c r="C22" s="126">
        <v>4.3600000000000003</v>
      </c>
      <c r="D22" s="68">
        <v>249134.52</v>
      </c>
      <c r="E22" s="68">
        <v>243108.18</v>
      </c>
      <c r="F22" s="68">
        <f>D22</f>
        <v>249134.52</v>
      </c>
      <c r="G22" s="69">
        <f>D22-E22</f>
        <v>6026.3399999999965</v>
      </c>
    </row>
    <row r="23" spans="1:16" s="80" customFormat="1" ht="14.25" x14ac:dyDescent="0.2">
      <c r="A23" s="125" t="s">
        <v>27</v>
      </c>
      <c r="B23" s="125" t="s">
        <v>154</v>
      </c>
      <c r="C23" s="357">
        <v>125</v>
      </c>
      <c r="D23" s="79">
        <v>0</v>
      </c>
      <c r="E23" s="79">
        <v>55.68</v>
      </c>
      <c r="F23" s="79">
        <f t="shared" si="0"/>
        <v>0</v>
      </c>
      <c r="G23" s="69">
        <f t="shared" si="1"/>
        <v>-55.68</v>
      </c>
    </row>
    <row r="24" spans="1:16" s="80" customFormat="1" ht="14.25" x14ac:dyDescent="0.2">
      <c r="A24" s="125" t="s">
        <v>29</v>
      </c>
      <c r="B24" s="125" t="s">
        <v>97</v>
      </c>
      <c r="C24" s="357">
        <v>0</v>
      </c>
      <c r="D24" s="79">
        <v>0</v>
      </c>
      <c r="E24" s="79">
        <v>0</v>
      </c>
      <c r="F24" s="79">
        <f t="shared" si="0"/>
        <v>0</v>
      </c>
      <c r="G24" s="69">
        <f t="shared" si="1"/>
        <v>0</v>
      </c>
    </row>
    <row r="25" spans="1:16" s="80" customFormat="1" ht="14.25" x14ac:dyDescent="0.2">
      <c r="A25" s="125" t="s">
        <v>31</v>
      </c>
      <c r="B25" s="125" t="s">
        <v>80</v>
      </c>
      <c r="C25" s="126">
        <v>5</v>
      </c>
      <c r="D25" s="79">
        <f>285705+D26</f>
        <v>290037</v>
      </c>
      <c r="E25" s="79">
        <f>278809.31+E26</f>
        <v>283141.31</v>
      </c>
      <c r="F25" s="79">
        <f>G46</f>
        <v>663570.31310000003</v>
      </c>
      <c r="G25" s="69">
        <f t="shared" si="1"/>
        <v>6895.6900000000023</v>
      </c>
    </row>
    <row r="26" spans="1:16" s="80" customFormat="1" ht="14.25" x14ac:dyDescent="0.2">
      <c r="A26" s="125"/>
      <c r="B26" s="292" t="s">
        <v>244</v>
      </c>
      <c r="C26" s="293"/>
      <c r="D26" s="294">
        <v>4332</v>
      </c>
      <c r="E26" s="294">
        <v>4332</v>
      </c>
      <c r="F26" s="294"/>
      <c r="G26" s="248"/>
    </row>
    <row r="27" spans="1:16" s="88" customFormat="1" ht="14.25" x14ac:dyDescent="0.2">
      <c r="A27" s="119" t="s">
        <v>33</v>
      </c>
      <c r="B27" s="119" t="s">
        <v>34</v>
      </c>
      <c r="C27" s="127">
        <v>0</v>
      </c>
      <c r="D27" s="69">
        <v>0</v>
      </c>
      <c r="E27" s="69">
        <v>0</v>
      </c>
      <c r="F27" s="79">
        <f t="shared" si="0"/>
        <v>0</v>
      </c>
      <c r="G27" s="69">
        <f t="shared" si="1"/>
        <v>0</v>
      </c>
    </row>
    <row r="28" spans="1:16" s="88" customFormat="1" ht="14.25" x14ac:dyDescent="0.2">
      <c r="A28" s="119" t="s">
        <v>35</v>
      </c>
      <c r="B28" s="119" t="s">
        <v>36</v>
      </c>
      <c r="C28" s="120"/>
      <c r="D28" s="69">
        <f>SUM(D29:D32)</f>
        <v>3051301.7199999997</v>
      </c>
      <c r="E28" s="69">
        <f>SUM(E29:E32)</f>
        <v>2983096.1599999997</v>
      </c>
      <c r="F28" s="69">
        <f>SUM(F29:F32)</f>
        <v>3051301.7199999997</v>
      </c>
      <c r="G28" s="69">
        <f t="shared" si="1"/>
        <v>68205.560000000056</v>
      </c>
      <c r="P28" s="237"/>
    </row>
    <row r="29" spans="1:16" ht="15" x14ac:dyDescent="0.25">
      <c r="A29" s="124" t="s">
        <v>37</v>
      </c>
      <c r="B29" s="34" t="s">
        <v>101</v>
      </c>
      <c r="C29" s="89">
        <v>7.36</v>
      </c>
      <c r="D29" s="76">
        <v>227583.96</v>
      </c>
      <c r="E29" s="76">
        <v>221924.01</v>
      </c>
      <c r="F29" s="76">
        <f>D29</f>
        <v>227583.96</v>
      </c>
      <c r="G29" s="76">
        <f>D29-E29</f>
        <v>5659.9499999999825</v>
      </c>
    </row>
    <row r="30" spans="1:16" ht="15" x14ac:dyDescent="0.25">
      <c r="A30" s="124" t="s">
        <v>39</v>
      </c>
      <c r="B30" s="34" t="s">
        <v>84</v>
      </c>
      <c r="C30" s="89">
        <v>88.38</v>
      </c>
      <c r="D30" s="76">
        <v>528585.68000000005</v>
      </c>
      <c r="E30" s="76">
        <v>510881.41</v>
      </c>
      <c r="F30" s="76">
        <f>D30</f>
        <v>528585.68000000005</v>
      </c>
      <c r="G30" s="76">
        <f t="shared" si="1"/>
        <v>17704.270000000077</v>
      </c>
    </row>
    <row r="31" spans="1:16" ht="15" x14ac:dyDescent="0.25">
      <c r="A31" s="124" t="s">
        <v>42</v>
      </c>
      <c r="B31" s="124" t="s">
        <v>135</v>
      </c>
      <c r="C31" s="128">
        <v>278.94</v>
      </c>
      <c r="D31" s="76">
        <v>796281.32</v>
      </c>
      <c r="E31" s="76">
        <v>779354.32</v>
      </c>
      <c r="F31" s="76">
        <f>D31</f>
        <v>796281.32</v>
      </c>
      <c r="G31" s="76">
        <f t="shared" si="1"/>
        <v>16927</v>
      </c>
    </row>
    <row r="32" spans="1:16" ht="15" x14ac:dyDescent="0.25">
      <c r="A32" s="124" t="s">
        <v>41</v>
      </c>
      <c r="B32" s="124" t="s">
        <v>43</v>
      </c>
      <c r="C32" s="89">
        <v>3352.42</v>
      </c>
      <c r="D32" s="76">
        <v>1498850.76</v>
      </c>
      <c r="E32" s="76">
        <v>1470936.42</v>
      </c>
      <c r="F32" s="76">
        <f>D32</f>
        <v>1498850.76</v>
      </c>
      <c r="G32" s="76">
        <f t="shared" si="1"/>
        <v>27914.340000000084</v>
      </c>
    </row>
    <row r="33" spans="1:16" ht="28.5" hidden="1" outlineLevel="1" x14ac:dyDescent="0.2">
      <c r="A33" s="39" t="s">
        <v>112</v>
      </c>
      <c r="B33" s="300" t="s">
        <v>140</v>
      </c>
      <c r="C33" s="291"/>
      <c r="D33" s="82">
        <v>1800</v>
      </c>
      <c r="E33" s="82">
        <v>1800</v>
      </c>
      <c r="F33" s="205"/>
      <c r="G33" s="82">
        <f t="shared" si="1"/>
        <v>0</v>
      </c>
    </row>
    <row r="34" spans="1:16" ht="15" hidden="1" outlineLevel="1" x14ac:dyDescent="0.25">
      <c r="A34" s="286"/>
      <c r="B34" s="287"/>
      <c r="C34" s="376" t="s">
        <v>246</v>
      </c>
      <c r="D34" s="377"/>
      <c r="E34" s="377"/>
      <c r="F34" s="377"/>
      <c r="G34" s="82">
        <f>E33-(E33*15%)</f>
        <v>1530</v>
      </c>
    </row>
    <row r="35" spans="1:16" s="92" customFormat="1" ht="16.5" customHeight="1" collapsed="1" thickBot="1" x14ac:dyDescent="0.3">
      <c r="A35" s="373"/>
      <c r="B35" s="374"/>
      <c r="C35" s="374"/>
      <c r="D35" s="375"/>
      <c r="E35" s="375"/>
      <c r="F35" s="375"/>
      <c r="G35" s="91"/>
      <c r="H35" s="91"/>
      <c r="I35" s="91"/>
    </row>
    <row r="36" spans="1:16" s="59" customFormat="1" ht="15.75" thickBot="1" x14ac:dyDescent="0.3">
      <c r="A36" s="387" t="s">
        <v>427</v>
      </c>
      <c r="B36" s="388"/>
      <c r="C36" s="388"/>
      <c r="D36" s="57">
        <v>108286.38</v>
      </c>
      <c r="E36" s="58"/>
      <c r="F36" s="58"/>
      <c r="G36" s="58"/>
      <c r="H36" s="54"/>
      <c r="I36" s="54"/>
    </row>
    <row r="37" spans="1:16" s="59" customFormat="1" ht="6" customHeight="1" thickBot="1" x14ac:dyDescent="0.3">
      <c r="A37" s="60"/>
      <c r="B37" s="60"/>
      <c r="C37" s="116"/>
      <c r="D37" s="38"/>
      <c r="E37" s="58"/>
      <c r="F37" s="58"/>
      <c r="G37" s="58"/>
      <c r="H37" s="54"/>
      <c r="I37" s="54"/>
    </row>
    <row r="38" spans="1:16" s="59" customFormat="1" ht="15.75" thickBot="1" x14ac:dyDescent="0.3">
      <c r="A38" s="55" t="s">
        <v>428</v>
      </c>
      <c r="B38" s="56"/>
      <c r="C38" s="117"/>
      <c r="D38" s="61"/>
      <c r="E38" s="62"/>
      <c r="F38" s="62"/>
      <c r="G38" s="129">
        <f>G14+E25-F25</f>
        <v>-66184.886500000022</v>
      </c>
      <c r="H38" s="54"/>
      <c r="I38" s="54"/>
      <c r="P38" s="130"/>
    </row>
    <row r="39" spans="1:16" s="59" customFormat="1" ht="15" x14ac:dyDescent="0.25">
      <c r="A39" s="392" t="s">
        <v>90</v>
      </c>
      <c r="B39" s="392"/>
      <c r="C39" s="60"/>
      <c r="D39" s="38"/>
      <c r="E39" s="58"/>
      <c r="F39" s="58"/>
      <c r="G39" s="38"/>
      <c r="H39" s="54"/>
      <c r="I39" s="54"/>
      <c r="P39" s="130"/>
    </row>
    <row r="40" spans="1:16" s="59" customFormat="1" ht="15" x14ac:dyDescent="0.25">
      <c r="A40" s="393" t="s">
        <v>91</v>
      </c>
      <c r="B40" s="394"/>
      <c r="C40" s="41" t="s">
        <v>92</v>
      </c>
      <c r="D40" s="41" t="s">
        <v>93</v>
      </c>
      <c r="E40" s="42" t="s">
        <v>94</v>
      </c>
      <c r="F40" s="40" t="s">
        <v>95</v>
      </c>
      <c r="G40" s="42" t="s">
        <v>96</v>
      </c>
      <c r="H40" s="54"/>
      <c r="I40" s="54"/>
      <c r="P40" s="130"/>
    </row>
    <row r="41" spans="1:16" s="59" customFormat="1" ht="15" x14ac:dyDescent="0.25">
      <c r="A41" s="395"/>
      <c r="B41" s="396"/>
      <c r="C41" s="305">
        <v>72.2</v>
      </c>
      <c r="D41" s="138">
        <f>E41/C41/12</f>
        <v>29.679916897506924</v>
      </c>
      <c r="E41" s="73">
        <v>25714.68</v>
      </c>
      <c r="F41" s="75">
        <v>19286.009999999998</v>
      </c>
      <c r="G41" s="138">
        <f>E41-F41</f>
        <v>6428.6700000000019</v>
      </c>
      <c r="H41" s="54"/>
      <c r="I41" s="59">
        <f>6428.67/3/72.2</f>
        <v>29.679916897506921</v>
      </c>
      <c r="J41" s="130">
        <f>C17+C22+C25</f>
        <v>29.68</v>
      </c>
      <c r="P41" s="130"/>
    </row>
    <row r="42" spans="1:16" s="92" customFormat="1" ht="9.75" customHeight="1" x14ac:dyDescent="0.25">
      <c r="A42" s="93"/>
      <c r="B42" s="93"/>
      <c r="C42" s="131"/>
      <c r="D42" s="93"/>
      <c r="E42" s="91"/>
      <c r="F42" s="91"/>
      <c r="G42" s="91"/>
      <c r="H42" s="91"/>
      <c r="I42" s="91"/>
      <c r="J42" s="91"/>
      <c r="K42" s="91"/>
      <c r="L42" s="91"/>
      <c r="M42" s="91"/>
    </row>
    <row r="43" spans="1:16" ht="23.25" customHeight="1" x14ac:dyDescent="0.2">
      <c r="A43" s="371" t="s">
        <v>44</v>
      </c>
      <c r="B43" s="371"/>
      <c r="C43" s="371"/>
      <c r="D43" s="371"/>
      <c r="E43" s="371"/>
      <c r="F43" s="371"/>
      <c r="G43" s="371"/>
      <c r="H43" s="132"/>
      <c r="I43" s="132"/>
      <c r="J43" s="132"/>
      <c r="K43" s="132"/>
    </row>
    <row r="45" spans="1:16" s="66" customFormat="1" ht="37.5" customHeight="1" x14ac:dyDescent="0.25">
      <c r="A45" s="64" t="s">
        <v>11</v>
      </c>
      <c r="B45" s="389" t="s">
        <v>45</v>
      </c>
      <c r="C45" s="390"/>
      <c r="D45" s="391"/>
      <c r="E45" s="64" t="s">
        <v>99</v>
      </c>
      <c r="F45" s="64" t="s">
        <v>98</v>
      </c>
      <c r="G45" s="64" t="s">
        <v>46</v>
      </c>
      <c r="L45" s="97"/>
    </row>
    <row r="46" spans="1:16" s="103" customFormat="1" ht="15" customHeight="1" x14ac:dyDescent="0.25">
      <c r="A46" s="98" t="s">
        <v>47</v>
      </c>
      <c r="B46" s="381" t="s">
        <v>75</v>
      </c>
      <c r="C46" s="382"/>
      <c r="D46" s="383"/>
      <c r="E46" s="99"/>
      <c r="F46" s="99"/>
      <c r="G46" s="100">
        <f>SUM(G47:O51)</f>
        <v>663570.31310000003</v>
      </c>
      <c r="L46" s="104"/>
    </row>
    <row r="47" spans="1:16" ht="15.75" customHeight="1" x14ac:dyDescent="0.2">
      <c r="A47" s="124" t="s">
        <v>16</v>
      </c>
      <c r="B47" s="378" t="s">
        <v>430</v>
      </c>
      <c r="C47" s="379"/>
      <c r="D47" s="380"/>
      <c r="E47" s="136" t="s">
        <v>100</v>
      </c>
      <c r="F47" s="332">
        <v>12</v>
      </c>
      <c r="G47" s="367">
        <v>10425.209999999999</v>
      </c>
      <c r="L47" s="106"/>
    </row>
    <row r="48" spans="1:16" ht="15.75" customHeight="1" x14ac:dyDescent="0.2">
      <c r="A48" s="124" t="s">
        <v>18</v>
      </c>
      <c r="B48" s="384" t="s">
        <v>430</v>
      </c>
      <c r="C48" s="385"/>
      <c r="D48" s="386"/>
      <c r="E48" s="136" t="s">
        <v>100</v>
      </c>
      <c r="F48" s="137">
        <v>67</v>
      </c>
      <c r="G48" s="367">
        <v>134427.18</v>
      </c>
      <c r="L48" s="106"/>
    </row>
    <row r="49" spans="1:12" ht="15.75" customHeight="1" x14ac:dyDescent="0.2">
      <c r="A49" s="124" t="s">
        <v>20</v>
      </c>
      <c r="B49" s="378" t="s">
        <v>431</v>
      </c>
      <c r="C49" s="379"/>
      <c r="D49" s="380"/>
      <c r="E49" s="173" t="s">
        <v>100</v>
      </c>
      <c r="F49" s="317">
        <v>1</v>
      </c>
      <c r="G49" s="368">
        <v>11886.51</v>
      </c>
      <c r="L49" s="106"/>
    </row>
    <row r="50" spans="1:12" ht="15.75" customHeight="1" x14ac:dyDescent="0.2">
      <c r="A50" s="124" t="s">
        <v>22</v>
      </c>
      <c r="B50" s="378" t="s">
        <v>617</v>
      </c>
      <c r="C50" s="379"/>
      <c r="D50" s="380"/>
      <c r="E50" s="173" t="s">
        <v>103</v>
      </c>
      <c r="F50" s="317">
        <v>240</v>
      </c>
      <c r="G50" s="368">
        <v>504000</v>
      </c>
      <c r="L50" s="106"/>
    </row>
    <row r="51" spans="1:12" ht="15.75" customHeight="1" x14ac:dyDescent="0.2">
      <c r="A51" s="124" t="s">
        <v>24</v>
      </c>
      <c r="B51" s="133" t="s">
        <v>107</v>
      </c>
      <c r="C51" s="134"/>
      <c r="D51" s="135"/>
      <c r="E51" s="136"/>
      <c r="F51" s="137"/>
      <c r="G51" s="138">
        <f>E25*1%</f>
        <v>2831.4131000000002</v>
      </c>
      <c r="L51" s="106"/>
    </row>
    <row r="52" spans="1:12" ht="13.5" customHeight="1" x14ac:dyDescent="0.2">
      <c r="B52" s="139"/>
      <c r="D52" s="139"/>
      <c r="E52" s="139"/>
      <c r="F52" s="139"/>
    </row>
    <row r="53" spans="1:12" s="51" customFormat="1" x14ac:dyDescent="0.2">
      <c r="A53" s="51" t="s">
        <v>372</v>
      </c>
      <c r="C53" s="115" t="s">
        <v>49</v>
      </c>
      <c r="E53" s="51" t="s">
        <v>60</v>
      </c>
    </row>
    <row r="54" spans="1:12" s="51" customFormat="1" x14ac:dyDescent="0.2">
      <c r="C54" s="115"/>
    </row>
    <row r="55" spans="1:12" s="59" customFormat="1" ht="15" x14ac:dyDescent="0.25">
      <c r="C55" s="140"/>
      <c r="F55" s="111" t="s">
        <v>429</v>
      </c>
    </row>
    <row r="56" spans="1:12" s="51" customFormat="1" ht="9" customHeight="1" x14ac:dyDescent="0.2">
      <c r="A56" s="51" t="s">
        <v>50</v>
      </c>
      <c r="C56" s="115"/>
    </row>
    <row r="57" spans="1:12" s="51" customFormat="1" x14ac:dyDescent="0.2">
      <c r="C57" s="115" t="s">
        <v>51</v>
      </c>
      <c r="G57" s="141"/>
      <c r="H57" s="141"/>
      <c r="I57" s="141"/>
      <c r="J57" s="141"/>
    </row>
    <row r="58" spans="1:12" s="51" customFormat="1" x14ac:dyDescent="0.2">
      <c r="C58" s="115"/>
      <c r="I58" s="51" t="s">
        <v>110</v>
      </c>
    </row>
  </sheetData>
  <mergeCells count="19">
    <mergeCell ref="B50:D50"/>
    <mergeCell ref="B49:D49"/>
    <mergeCell ref="B46:D46"/>
    <mergeCell ref="B47:D47"/>
    <mergeCell ref="B48:D48"/>
    <mergeCell ref="A36:C36"/>
    <mergeCell ref="A43:G43"/>
    <mergeCell ref="B45:D45"/>
    <mergeCell ref="A39:B39"/>
    <mergeCell ref="A40:B41"/>
    <mergeCell ref="A1:K1"/>
    <mergeCell ref="A2:K2"/>
    <mergeCell ref="A3:K3"/>
    <mergeCell ref="A5:K5"/>
    <mergeCell ref="A10:K10"/>
    <mergeCell ref="A35:F35"/>
    <mergeCell ref="A11:K11"/>
    <mergeCell ref="A12:K12"/>
    <mergeCell ref="C34:F34"/>
  </mergeCells>
  <phoneticPr fontId="14" type="noConversion"/>
  <pageMargins left="0" right="0" top="0" bottom="0" header="0.31496062992125984" footer="0.31496062992125984"/>
  <pageSetup paperSize="9" orientation="landscape" horizontalDpi="180" verticalDpi="18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724664-9263-4838-909A-E1921F7BB91D}">
  <sheetPr>
    <tabColor rgb="FF7030A0"/>
  </sheetPr>
  <dimension ref="A1:M55"/>
  <sheetViews>
    <sheetView topLeftCell="A31" zoomScaleNormal="100" workbookViewId="0">
      <selection activeCell="A56" sqref="A56:IV57"/>
    </sheetView>
  </sheetViews>
  <sheetFormatPr defaultRowHeight="15" outlineLevelRow="1" outlineLevelCol="1" x14ac:dyDescent="0.25"/>
  <cols>
    <col min="1" max="1" width="4.7109375" style="35" customWidth="1"/>
    <col min="2" max="2" width="47.7109375" style="35" customWidth="1"/>
    <col min="3" max="3" width="13.28515625" style="35" customWidth="1"/>
    <col min="4" max="4" width="13.140625" style="35" customWidth="1"/>
    <col min="5" max="5" width="13.85546875" style="35" customWidth="1"/>
    <col min="6" max="6" width="13.7109375" style="35" customWidth="1"/>
    <col min="7" max="7" width="13.28515625" style="35" customWidth="1"/>
    <col min="8" max="8" width="10.85546875" style="35" hidden="1" customWidth="1" outlineLevel="1"/>
    <col min="9" max="9" width="13.42578125" style="35" hidden="1" customWidth="1" outlineLevel="1"/>
    <col min="10" max="12" width="9.140625" style="35" hidden="1" customWidth="1" outlineLevel="1"/>
    <col min="13" max="13" width="11.85546875" style="35" bestFit="1" customWidth="1" collapsed="1"/>
    <col min="14" max="16384" width="9.140625" style="35"/>
  </cols>
  <sheetData>
    <row r="1" spans="1:11" x14ac:dyDescent="0.25">
      <c r="A1" s="397" t="s">
        <v>0</v>
      </c>
      <c r="B1" s="397"/>
      <c r="C1" s="397"/>
      <c r="D1" s="397"/>
      <c r="E1" s="397"/>
      <c r="F1" s="397"/>
      <c r="G1" s="397"/>
      <c r="H1" s="397"/>
      <c r="I1" s="397"/>
    </row>
    <row r="2" spans="1:11" ht="15" customHeight="1" x14ac:dyDescent="0.25">
      <c r="A2" s="370" t="s">
        <v>152</v>
      </c>
      <c r="B2" s="370"/>
      <c r="C2" s="370"/>
      <c r="D2" s="370"/>
      <c r="E2" s="370"/>
      <c r="F2" s="370"/>
      <c r="G2" s="370"/>
      <c r="H2" s="370"/>
      <c r="I2" s="370"/>
      <c r="J2" s="370"/>
      <c r="K2" s="370"/>
    </row>
    <row r="3" spans="1:11" ht="15" customHeight="1" x14ac:dyDescent="0.25">
      <c r="A3" s="370" t="s">
        <v>426</v>
      </c>
      <c r="B3" s="370"/>
      <c r="C3" s="370"/>
      <c r="D3" s="370"/>
      <c r="E3" s="370"/>
      <c r="F3" s="370"/>
      <c r="G3" s="370"/>
      <c r="H3" s="370"/>
      <c r="I3" s="370"/>
      <c r="J3" s="370"/>
      <c r="K3" s="370"/>
    </row>
    <row r="4" spans="1:11" ht="10.5" customHeight="1" x14ac:dyDescent="0.25">
      <c r="A4" s="142"/>
      <c r="B4" s="142"/>
      <c r="C4" s="142"/>
      <c r="D4" s="142"/>
      <c r="E4" s="142"/>
      <c r="F4" s="142"/>
      <c r="G4" s="142"/>
      <c r="H4" s="142"/>
      <c r="I4" s="142"/>
    </row>
    <row r="5" spans="1:11" ht="15" customHeight="1" x14ac:dyDescent="0.25">
      <c r="A5" s="398" t="s">
        <v>1</v>
      </c>
      <c r="B5" s="397"/>
      <c r="C5" s="397"/>
      <c r="D5" s="397"/>
      <c r="E5" s="397"/>
      <c r="F5" s="397"/>
      <c r="G5" s="397"/>
      <c r="H5" s="397"/>
      <c r="I5" s="397"/>
    </row>
    <row r="7" spans="1:11" s="59" customFormat="1" ht="16.5" customHeight="1" x14ac:dyDescent="0.25">
      <c r="A7" s="59" t="s">
        <v>2</v>
      </c>
      <c r="E7" s="111" t="s">
        <v>172</v>
      </c>
    </row>
    <row r="8" spans="1:11" s="59" customFormat="1" x14ac:dyDescent="0.25">
      <c r="A8" s="59" t="s">
        <v>3</v>
      </c>
      <c r="E8" s="239" t="s">
        <v>173</v>
      </c>
      <c r="I8" s="247">
        <v>0</v>
      </c>
      <c r="J8" s="247">
        <v>3467.1</v>
      </c>
    </row>
    <row r="9" spans="1:11" s="59" customFormat="1" ht="8.25" customHeight="1" x14ac:dyDescent="0.25"/>
    <row r="10" spans="1:11" s="59" customFormat="1" x14ac:dyDescent="0.25">
      <c r="A10" s="372" t="s">
        <v>8</v>
      </c>
      <c r="B10" s="372"/>
      <c r="C10" s="372"/>
      <c r="D10" s="372"/>
      <c r="E10" s="372"/>
      <c r="F10" s="372"/>
      <c r="G10" s="372"/>
      <c r="H10" s="372"/>
      <c r="I10" s="372"/>
    </row>
    <row r="11" spans="1:11" s="59" customFormat="1" x14ac:dyDescent="0.25">
      <c r="A11" s="372" t="s">
        <v>9</v>
      </c>
      <c r="B11" s="372"/>
      <c r="C11" s="372"/>
      <c r="D11" s="372"/>
      <c r="E11" s="372"/>
      <c r="F11" s="372"/>
      <c r="G11" s="372"/>
      <c r="H11" s="372"/>
      <c r="I11" s="372"/>
    </row>
    <row r="12" spans="1:11" s="59" customFormat="1" x14ac:dyDescent="0.25">
      <c r="A12" s="372" t="s">
        <v>10</v>
      </c>
      <c r="B12" s="372"/>
      <c r="C12" s="372"/>
      <c r="D12" s="372"/>
      <c r="E12" s="372"/>
      <c r="F12" s="372"/>
      <c r="G12" s="372"/>
      <c r="H12" s="372"/>
      <c r="I12" s="372"/>
    </row>
    <row r="13" spans="1:11" s="59" customFormat="1" ht="6" customHeight="1" thickBot="1" x14ac:dyDescent="0.3">
      <c r="A13" s="60"/>
      <c r="B13" s="60"/>
      <c r="C13" s="60"/>
      <c r="D13" s="38"/>
      <c r="E13" s="58"/>
      <c r="F13" s="58"/>
      <c r="G13" s="58"/>
      <c r="H13" s="54"/>
      <c r="I13" s="54"/>
    </row>
    <row r="14" spans="1:11" s="59" customFormat="1" ht="15.75" thickBot="1" x14ac:dyDescent="0.3">
      <c r="A14" s="55" t="s">
        <v>381</v>
      </c>
      <c r="B14" s="56"/>
      <c r="C14" s="56"/>
      <c r="D14" s="61"/>
      <c r="E14" s="62"/>
      <c r="F14" s="62"/>
      <c r="G14" s="129">
        <f>'[1]Огарева 3'!$G$37</f>
        <v>155134.02679999996</v>
      </c>
      <c r="H14" s="54"/>
      <c r="I14" s="54"/>
    </row>
    <row r="15" spans="1:11" s="59" customFormat="1" ht="7.5" customHeight="1" x14ac:dyDescent="0.25"/>
    <row r="16" spans="1:11" s="66" customFormat="1" ht="38.25" x14ac:dyDescent="0.25">
      <c r="A16" s="64" t="s">
        <v>11</v>
      </c>
      <c r="B16" s="64" t="s">
        <v>12</v>
      </c>
      <c r="C16" s="64" t="s">
        <v>61</v>
      </c>
      <c r="D16" s="64" t="s">
        <v>432</v>
      </c>
      <c r="E16" s="64" t="s">
        <v>433</v>
      </c>
      <c r="F16" s="65" t="s">
        <v>434</v>
      </c>
      <c r="G16" s="64" t="s">
        <v>435</v>
      </c>
    </row>
    <row r="17" spans="1:13" s="152" customFormat="1" ht="14.25" x14ac:dyDescent="0.2">
      <c r="A17" s="67" t="s">
        <v>14</v>
      </c>
      <c r="B17" s="39" t="s">
        <v>379</v>
      </c>
      <c r="C17" s="120">
        <v>23.85</v>
      </c>
      <c r="D17" s="68">
        <v>992285.88</v>
      </c>
      <c r="E17" s="68">
        <v>914884.83</v>
      </c>
      <c r="F17" s="68">
        <f>D17</f>
        <v>992285.88</v>
      </c>
      <c r="G17" s="69">
        <f>D17-E17</f>
        <v>77401.050000000047</v>
      </c>
      <c r="H17" s="70">
        <f>C17</f>
        <v>23.85</v>
      </c>
    </row>
    <row r="18" spans="1:13" s="59" customFormat="1" hidden="1" outlineLevel="1" x14ac:dyDescent="0.25">
      <c r="A18" s="73" t="s">
        <v>16</v>
      </c>
      <c r="B18" s="34" t="s">
        <v>17</v>
      </c>
      <c r="C18" s="89">
        <v>3.46</v>
      </c>
      <c r="D18" s="75">
        <f>D17*I18</f>
        <v>143954.26183647796</v>
      </c>
      <c r="E18" s="75">
        <f>E17*I18</f>
        <v>132725.43026415093</v>
      </c>
      <c r="F18" s="75">
        <f>D18</f>
        <v>143954.26183647796</v>
      </c>
      <c r="G18" s="76">
        <f>D18-E18</f>
        <v>11228.831572327035</v>
      </c>
      <c r="H18" s="70">
        <f>C18</f>
        <v>3.46</v>
      </c>
      <c r="I18" s="59">
        <f>H18/H17</f>
        <v>0.14507337526205449</v>
      </c>
    </row>
    <row r="19" spans="1:13" s="59" customFormat="1" hidden="1" outlineLevel="1" x14ac:dyDescent="0.25">
      <c r="A19" s="73" t="s">
        <v>18</v>
      </c>
      <c r="B19" s="34" t="s">
        <v>19</v>
      </c>
      <c r="C19" s="89">
        <v>1.69</v>
      </c>
      <c r="D19" s="75">
        <f>D17*I19</f>
        <v>70312.919798742121</v>
      </c>
      <c r="E19" s="75">
        <f>E17*I19</f>
        <v>64828.317094339611</v>
      </c>
      <c r="F19" s="75">
        <f>D19</f>
        <v>70312.919798742121</v>
      </c>
      <c r="G19" s="76">
        <f>D19-E19</f>
        <v>5484.6027044025104</v>
      </c>
      <c r="H19" s="70">
        <f>C19</f>
        <v>1.69</v>
      </c>
      <c r="I19" s="59">
        <f>H19/H17</f>
        <v>7.0859538784067075E-2</v>
      </c>
    </row>
    <row r="20" spans="1:13" s="59" customFormat="1" hidden="1" outlineLevel="1" x14ac:dyDescent="0.25">
      <c r="A20" s="73" t="s">
        <v>20</v>
      </c>
      <c r="B20" s="34" t="s">
        <v>21</v>
      </c>
      <c r="C20" s="89">
        <v>2.15</v>
      </c>
      <c r="D20" s="75">
        <f>D17*I20</f>
        <v>89451.347672955962</v>
      </c>
      <c r="E20" s="75">
        <f>E17*I20</f>
        <v>82473.894528301869</v>
      </c>
      <c r="F20" s="75">
        <f>D20</f>
        <v>89451.347672955962</v>
      </c>
      <c r="G20" s="76">
        <f>D20-E20</f>
        <v>6977.4531446540932</v>
      </c>
      <c r="H20" s="70">
        <f>C20</f>
        <v>2.15</v>
      </c>
      <c r="I20" s="59">
        <f>H20/H17</f>
        <v>9.0146750524109004E-2</v>
      </c>
    </row>
    <row r="21" spans="1:13" s="59" customFormat="1" hidden="1" outlineLevel="1" x14ac:dyDescent="0.25">
      <c r="A21" s="73" t="s">
        <v>22</v>
      </c>
      <c r="B21" s="34" t="s">
        <v>23</v>
      </c>
      <c r="C21" s="89">
        <v>3.04</v>
      </c>
      <c r="D21" s="75">
        <f>D17*I21</f>
        <v>126480.045081761</v>
      </c>
      <c r="E21" s="75">
        <f>E17*I21</f>
        <v>116614.25086792451</v>
      </c>
      <c r="F21" s="75">
        <f>D21</f>
        <v>126480.045081761</v>
      </c>
      <c r="G21" s="76">
        <f>D21-E21</f>
        <v>9865.7942138364888</v>
      </c>
      <c r="H21" s="70">
        <f>C21</f>
        <v>3.04</v>
      </c>
      <c r="I21" s="59">
        <f>H21/H17</f>
        <v>0.12746331236897274</v>
      </c>
    </row>
    <row r="22" spans="1:13" s="37" customFormat="1" collapsed="1" x14ac:dyDescent="0.25">
      <c r="A22" s="73" t="s">
        <v>25</v>
      </c>
      <c r="B22" s="78" t="s">
        <v>145</v>
      </c>
      <c r="C22" s="357">
        <v>110</v>
      </c>
      <c r="D22" s="69">
        <v>0</v>
      </c>
      <c r="E22" s="69">
        <v>713.87</v>
      </c>
      <c r="F22" s="68">
        <f t="shared" ref="F22:F31" si="0">D22</f>
        <v>0</v>
      </c>
      <c r="G22" s="69">
        <f t="shared" ref="G22:G31" si="1">D22-E22</f>
        <v>-713.87</v>
      </c>
      <c r="H22" s="37">
        <f>64*130</f>
        <v>8320</v>
      </c>
      <c r="I22" s="273">
        <f>D22/H22</f>
        <v>0</v>
      </c>
    </row>
    <row r="23" spans="1:13" s="37" customFormat="1" ht="14.25" x14ac:dyDescent="0.2">
      <c r="A23" s="39" t="s">
        <v>27</v>
      </c>
      <c r="B23" s="125" t="s">
        <v>28</v>
      </c>
      <c r="C23" s="126">
        <v>0</v>
      </c>
      <c r="D23" s="69">
        <v>0</v>
      </c>
      <c r="E23" s="69">
        <v>0</v>
      </c>
      <c r="F23" s="68">
        <f>D23</f>
        <v>0</v>
      </c>
      <c r="G23" s="69">
        <f t="shared" si="1"/>
        <v>0</v>
      </c>
    </row>
    <row r="24" spans="1:13" s="37" customFormat="1" ht="14.25" x14ac:dyDescent="0.2">
      <c r="A24" s="39" t="s">
        <v>29</v>
      </c>
      <c r="B24" s="125" t="s">
        <v>97</v>
      </c>
      <c r="C24" s="357">
        <v>0</v>
      </c>
      <c r="D24" s="69">
        <v>0</v>
      </c>
      <c r="E24" s="69">
        <v>0</v>
      </c>
      <c r="F24" s="68">
        <f t="shared" si="0"/>
        <v>0</v>
      </c>
      <c r="G24" s="69">
        <f t="shared" si="1"/>
        <v>0</v>
      </c>
    </row>
    <row r="25" spans="1:13" s="37" customFormat="1" ht="14.25" x14ac:dyDescent="0.2">
      <c r="A25" s="39" t="s">
        <v>31</v>
      </c>
      <c r="B25" s="125" t="s">
        <v>80</v>
      </c>
      <c r="C25" s="126">
        <v>2.36</v>
      </c>
      <c r="D25" s="69">
        <v>98188.92</v>
      </c>
      <c r="E25" s="69">
        <v>91593.18</v>
      </c>
      <c r="F25" s="68">
        <f>F43</f>
        <v>77997.461800000005</v>
      </c>
      <c r="G25" s="69">
        <f t="shared" si="1"/>
        <v>6595.7400000000052</v>
      </c>
    </row>
    <row r="26" spans="1:13" s="37" customFormat="1" ht="14.25" x14ac:dyDescent="0.2">
      <c r="A26" s="39" t="s">
        <v>33</v>
      </c>
      <c r="B26" s="119" t="s">
        <v>34</v>
      </c>
      <c r="C26" s="120">
        <v>0</v>
      </c>
      <c r="D26" s="69">
        <v>0</v>
      </c>
      <c r="E26" s="69">
        <v>0</v>
      </c>
      <c r="F26" s="68">
        <f>D26</f>
        <v>0</v>
      </c>
      <c r="G26" s="69">
        <f t="shared" si="1"/>
        <v>0</v>
      </c>
    </row>
    <row r="27" spans="1:13" s="37" customFormat="1" ht="14.25" x14ac:dyDescent="0.2">
      <c r="A27" s="39" t="s">
        <v>35</v>
      </c>
      <c r="B27" s="119" t="s">
        <v>36</v>
      </c>
      <c r="C27" s="120"/>
      <c r="D27" s="69">
        <f>SUM(D28:D31)</f>
        <v>2798479.3599999999</v>
      </c>
      <c r="E27" s="69">
        <f>SUM(E28:E31)</f>
        <v>2525050.67</v>
      </c>
      <c r="F27" s="68">
        <f t="shared" si="0"/>
        <v>2798479.3599999999</v>
      </c>
      <c r="G27" s="69">
        <f t="shared" si="1"/>
        <v>273428.68999999994</v>
      </c>
      <c r="M27" s="322"/>
    </row>
    <row r="28" spans="1:13" x14ac:dyDescent="0.25">
      <c r="A28" s="34" t="s">
        <v>37</v>
      </c>
      <c r="B28" s="34" t="s">
        <v>101</v>
      </c>
      <c r="C28" s="89">
        <v>7.36</v>
      </c>
      <c r="D28" s="76">
        <v>63977.89</v>
      </c>
      <c r="E28" s="76">
        <v>59087.44</v>
      </c>
      <c r="F28" s="75">
        <f>D28</f>
        <v>63977.89</v>
      </c>
      <c r="G28" s="76">
        <f t="shared" si="1"/>
        <v>4890.4499999999971</v>
      </c>
    </row>
    <row r="29" spans="1:13" x14ac:dyDescent="0.25">
      <c r="A29" s="34" t="s">
        <v>39</v>
      </c>
      <c r="B29" s="34" t="s">
        <v>84</v>
      </c>
      <c r="C29" s="89">
        <v>88.38</v>
      </c>
      <c r="D29" s="76">
        <v>609279.15</v>
      </c>
      <c r="E29" s="76">
        <v>534566.84</v>
      </c>
      <c r="F29" s="75">
        <v>21139.85</v>
      </c>
      <c r="G29" s="76">
        <f t="shared" si="1"/>
        <v>74712.310000000056</v>
      </c>
    </row>
    <row r="30" spans="1:13" x14ac:dyDescent="0.25">
      <c r="A30" s="34" t="s">
        <v>42</v>
      </c>
      <c r="B30" s="124" t="s">
        <v>135</v>
      </c>
      <c r="C30" s="128">
        <v>262.18</v>
      </c>
      <c r="D30" s="76">
        <v>679531.4</v>
      </c>
      <c r="E30" s="76">
        <v>595798.81000000006</v>
      </c>
      <c r="F30" s="75">
        <f t="shared" si="0"/>
        <v>679531.4</v>
      </c>
      <c r="G30" s="76">
        <f t="shared" si="1"/>
        <v>83732.589999999967</v>
      </c>
    </row>
    <row r="31" spans="1:13" x14ac:dyDescent="0.25">
      <c r="A31" s="34" t="s">
        <v>41</v>
      </c>
      <c r="B31" s="34" t="s">
        <v>43</v>
      </c>
      <c r="C31" s="89">
        <v>3352.42</v>
      </c>
      <c r="D31" s="76">
        <v>1445690.92</v>
      </c>
      <c r="E31" s="76">
        <v>1335597.58</v>
      </c>
      <c r="F31" s="75">
        <f t="shared" si="0"/>
        <v>1445690.92</v>
      </c>
      <c r="G31" s="76">
        <f t="shared" si="1"/>
        <v>110093.33999999985</v>
      </c>
    </row>
    <row r="32" spans="1:13" hidden="1" outlineLevel="1" x14ac:dyDescent="0.25">
      <c r="A32" s="240" t="s">
        <v>130</v>
      </c>
      <c r="B32" s="257" t="s">
        <v>131</v>
      </c>
      <c r="C32" s="298"/>
      <c r="D32" s="248">
        <v>1800</v>
      </c>
      <c r="E32" s="248">
        <v>1800</v>
      </c>
      <c r="F32" s="296">
        <v>0</v>
      </c>
      <c r="G32" s="248">
        <f>E32-D32</f>
        <v>0</v>
      </c>
    </row>
    <row r="33" spans="1:10" hidden="1" outlineLevel="1" x14ac:dyDescent="0.25">
      <c r="A33" s="174"/>
      <c r="B33" s="295"/>
      <c r="C33" s="376" t="s">
        <v>246</v>
      </c>
      <c r="D33" s="377"/>
      <c r="E33" s="377"/>
      <c r="F33" s="377"/>
      <c r="G33" s="82">
        <f>E32-(E32*15%)</f>
        <v>1530</v>
      </c>
    </row>
    <row r="34" spans="1:10" s="92" customFormat="1" ht="18.75" customHeight="1" collapsed="1" thickBot="1" x14ac:dyDescent="0.3">
      <c r="A34" s="373"/>
      <c r="B34" s="374"/>
      <c r="C34" s="374"/>
      <c r="D34" s="375"/>
      <c r="E34" s="375"/>
      <c r="F34" s="375"/>
      <c r="G34" s="91"/>
      <c r="H34" s="91"/>
      <c r="I34" s="91"/>
      <c r="J34" s="91"/>
    </row>
    <row r="35" spans="1:10" s="59" customFormat="1" ht="15.75" thickBot="1" x14ac:dyDescent="0.3">
      <c r="A35" s="387" t="s">
        <v>427</v>
      </c>
      <c r="B35" s="388"/>
      <c r="C35" s="388"/>
      <c r="D35" s="57">
        <v>356711.61</v>
      </c>
      <c r="E35" s="58"/>
      <c r="F35" s="58"/>
      <c r="G35" s="58"/>
      <c r="H35" s="54"/>
      <c r="I35" s="54"/>
    </row>
    <row r="36" spans="1:10" s="59" customFormat="1" ht="6" customHeight="1" thickBot="1" x14ac:dyDescent="0.3">
      <c r="A36" s="60"/>
      <c r="B36" s="60"/>
      <c r="C36" s="60"/>
      <c r="D36" s="38"/>
      <c r="E36" s="58"/>
      <c r="F36" s="58"/>
      <c r="G36" s="58"/>
      <c r="H36" s="54"/>
      <c r="I36" s="54"/>
    </row>
    <row r="37" spans="1:10" s="59" customFormat="1" ht="15.75" thickBot="1" x14ac:dyDescent="0.3">
      <c r="A37" s="55" t="s">
        <v>428</v>
      </c>
      <c r="B37" s="56"/>
      <c r="C37" s="56"/>
      <c r="D37" s="61"/>
      <c r="E37" s="62"/>
      <c r="F37" s="62"/>
      <c r="G37" s="129">
        <f>G14+E25-F25</f>
        <v>168729.74499999994</v>
      </c>
      <c r="H37" s="54"/>
      <c r="I37" s="54"/>
    </row>
    <row r="38" spans="1:10" s="59" customFormat="1" x14ac:dyDescent="0.25">
      <c r="A38" s="60"/>
      <c r="B38" s="60"/>
      <c r="C38" s="60"/>
      <c r="D38" s="38"/>
      <c r="E38" s="58"/>
      <c r="F38" s="58"/>
      <c r="G38" s="38"/>
      <c r="H38" s="54"/>
      <c r="I38" s="54"/>
    </row>
    <row r="39" spans="1:10" ht="9" customHeight="1" x14ac:dyDescent="0.25">
      <c r="B39" s="139"/>
      <c r="C39" s="139"/>
      <c r="D39" s="139"/>
      <c r="E39" s="139"/>
    </row>
    <row r="40" spans="1:10" ht="25.5" customHeight="1" x14ac:dyDescent="0.25">
      <c r="A40" s="371" t="s">
        <v>44</v>
      </c>
      <c r="B40" s="371"/>
      <c r="C40" s="371"/>
      <c r="D40" s="371"/>
      <c r="E40" s="371"/>
      <c r="F40" s="371"/>
      <c r="G40" s="371"/>
      <c r="H40" s="371"/>
      <c r="I40" s="371"/>
    </row>
    <row r="41" spans="1:10" ht="5.25" customHeight="1" x14ac:dyDescent="0.25"/>
    <row r="42" spans="1:10" s="156" customFormat="1" ht="28.5" customHeight="1" x14ac:dyDescent="0.25">
      <c r="A42" s="94" t="s">
        <v>11</v>
      </c>
      <c r="B42" s="416" t="s">
        <v>45</v>
      </c>
      <c r="C42" s="425"/>
      <c r="D42" s="94" t="s">
        <v>99</v>
      </c>
      <c r="E42" s="94" t="s">
        <v>98</v>
      </c>
      <c r="F42" s="416" t="s">
        <v>46</v>
      </c>
      <c r="G42" s="424"/>
    </row>
    <row r="43" spans="1:10" s="103" customFormat="1" ht="15" customHeight="1" x14ac:dyDescent="0.25">
      <c r="A43" s="98" t="s">
        <v>47</v>
      </c>
      <c r="B43" s="418" t="s">
        <v>75</v>
      </c>
      <c r="C43" s="430"/>
      <c r="D43" s="157"/>
      <c r="E43" s="157"/>
      <c r="F43" s="436">
        <f>SUM(F44:G48)</f>
        <v>77997.461800000005</v>
      </c>
      <c r="G43" s="424"/>
    </row>
    <row r="44" spans="1:10" ht="15.75" customHeight="1" x14ac:dyDescent="0.25">
      <c r="A44" s="34" t="s">
        <v>16</v>
      </c>
      <c r="B44" s="406" t="s">
        <v>409</v>
      </c>
      <c r="C44" s="431"/>
      <c r="D44" s="136" t="s">
        <v>100</v>
      </c>
      <c r="E44" s="136">
        <v>1</v>
      </c>
      <c r="F44" s="435">
        <v>8000</v>
      </c>
      <c r="G44" s="435"/>
    </row>
    <row r="45" spans="1:10" ht="15.75" customHeight="1" x14ac:dyDescent="0.25">
      <c r="A45" s="34" t="s">
        <v>18</v>
      </c>
      <c r="B45" s="401" t="s">
        <v>459</v>
      </c>
      <c r="C45" s="432"/>
      <c r="D45" s="136" t="s">
        <v>100</v>
      </c>
      <c r="E45" s="136">
        <v>14</v>
      </c>
      <c r="F45" s="435">
        <v>69081.53</v>
      </c>
      <c r="G45" s="435"/>
    </row>
    <row r="46" spans="1:10" ht="15.75" customHeight="1" x14ac:dyDescent="0.25">
      <c r="A46" s="34" t="s">
        <v>20</v>
      </c>
      <c r="B46" s="461"/>
      <c r="C46" s="462"/>
      <c r="D46" s="271"/>
      <c r="E46" s="271"/>
      <c r="F46" s="463"/>
      <c r="G46" s="463"/>
    </row>
    <row r="47" spans="1:10" ht="15.75" customHeight="1" x14ac:dyDescent="0.25">
      <c r="A47" s="34" t="s">
        <v>22</v>
      </c>
      <c r="B47" s="406"/>
      <c r="C47" s="454"/>
      <c r="D47" s="136"/>
      <c r="E47" s="136"/>
      <c r="F47" s="423"/>
      <c r="G47" s="423"/>
    </row>
    <row r="48" spans="1:10" ht="15.75" customHeight="1" x14ac:dyDescent="0.25">
      <c r="A48" s="34" t="s">
        <v>24</v>
      </c>
      <c r="B48" s="458" t="s">
        <v>108</v>
      </c>
      <c r="C48" s="459"/>
      <c r="D48" s="173"/>
      <c r="E48" s="173"/>
      <c r="F48" s="435">
        <f>E25*1%</f>
        <v>915.93179999999995</v>
      </c>
      <c r="G48" s="435"/>
    </row>
    <row r="49" spans="1:7" s="59" customFormat="1" x14ac:dyDescent="0.25"/>
    <row r="50" spans="1:7" s="59" customFormat="1" x14ac:dyDescent="0.25">
      <c r="A50" s="51" t="s">
        <v>372</v>
      </c>
      <c r="C50" s="59" t="s">
        <v>49</v>
      </c>
      <c r="F50" s="59" t="s">
        <v>60</v>
      </c>
    </row>
    <row r="51" spans="1:7" s="59" customFormat="1" ht="13.5" customHeight="1" x14ac:dyDescent="0.25">
      <c r="F51" s="111" t="s">
        <v>438</v>
      </c>
    </row>
    <row r="52" spans="1:7" s="59" customFormat="1" x14ac:dyDescent="0.25">
      <c r="A52" s="59" t="s">
        <v>50</v>
      </c>
    </row>
    <row r="53" spans="1:7" s="59" customFormat="1" x14ac:dyDescent="0.25">
      <c r="C53" s="113" t="s">
        <v>51</v>
      </c>
      <c r="E53" s="113"/>
      <c r="F53" s="113"/>
      <c r="G53" s="113"/>
    </row>
    <row r="54" spans="1:7" s="59" customFormat="1" x14ac:dyDescent="0.25"/>
    <row r="55" spans="1:7" s="59" customFormat="1" x14ac:dyDescent="0.25"/>
  </sheetData>
  <mergeCells count="25">
    <mergeCell ref="B47:C47"/>
    <mergeCell ref="F47:G47"/>
    <mergeCell ref="F48:G48"/>
    <mergeCell ref="F43:G43"/>
    <mergeCell ref="F44:G44"/>
    <mergeCell ref="B43:C43"/>
    <mergeCell ref="B44:C44"/>
    <mergeCell ref="B48:C48"/>
    <mergeCell ref="B45:C45"/>
    <mergeCell ref="A1:I1"/>
    <mergeCell ref="A5:I5"/>
    <mergeCell ref="A10:I10"/>
    <mergeCell ref="A3:K3"/>
    <mergeCell ref="F42:G42"/>
    <mergeCell ref="F46:G46"/>
    <mergeCell ref="A11:I11"/>
    <mergeCell ref="A40:I40"/>
    <mergeCell ref="A2:K2"/>
    <mergeCell ref="A12:I12"/>
    <mergeCell ref="A35:C35"/>
    <mergeCell ref="A34:F34"/>
    <mergeCell ref="F45:G45"/>
    <mergeCell ref="B46:C46"/>
    <mergeCell ref="B42:C42"/>
    <mergeCell ref="C33:F33"/>
  </mergeCells>
  <phoneticPr fontId="14" type="noConversion"/>
  <pageMargins left="0" right="0" top="0" bottom="0" header="0.31496062992125984" footer="0.31496062992125984"/>
  <pageSetup paperSize="9" scale="97" orientation="landscape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2A2D48-CB0E-4843-9DF5-5EC7B762BA3D}">
  <sheetPr>
    <tabColor rgb="FF7030A0"/>
  </sheetPr>
  <dimension ref="A1:M51"/>
  <sheetViews>
    <sheetView topLeftCell="A31" zoomScaleNormal="100" workbookViewId="0">
      <selection activeCell="A52" sqref="A52:IV53"/>
    </sheetView>
  </sheetViews>
  <sheetFormatPr defaultRowHeight="15" outlineLevelRow="1" outlineLevelCol="1" x14ac:dyDescent="0.25"/>
  <cols>
    <col min="1" max="1" width="4.7109375" style="35" customWidth="1"/>
    <col min="2" max="2" width="49" style="35" customWidth="1"/>
    <col min="3" max="3" width="14.7109375" style="35" customWidth="1"/>
    <col min="4" max="4" width="12.5703125" style="35" customWidth="1"/>
    <col min="5" max="5" width="12.7109375" style="35" customWidth="1"/>
    <col min="6" max="6" width="12.28515625" style="35" customWidth="1"/>
    <col min="7" max="7" width="13.7109375" style="35" customWidth="1"/>
    <col min="8" max="8" width="10.85546875" style="35" hidden="1" customWidth="1" outlineLevel="1"/>
    <col min="9" max="9" width="13.42578125" style="35" hidden="1" customWidth="1" outlineLevel="1"/>
    <col min="10" max="12" width="9.140625" style="35" hidden="1" customWidth="1" outlineLevel="1"/>
    <col min="13" max="13" width="10.140625" style="35" bestFit="1" customWidth="1" collapsed="1"/>
    <col min="14" max="16384" width="9.140625" style="35"/>
  </cols>
  <sheetData>
    <row r="1" spans="1:11" x14ac:dyDescent="0.25">
      <c r="A1" s="397" t="s">
        <v>0</v>
      </c>
      <c r="B1" s="397"/>
      <c r="C1" s="397"/>
      <c r="D1" s="397"/>
      <c r="E1" s="397"/>
      <c r="F1" s="397"/>
      <c r="G1" s="397"/>
      <c r="H1" s="397"/>
      <c r="I1" s="397"/>
    </row>
    <row r="2" spans="1:11" ht="15" customHeight="1" x14ac:dyDescent="0.25">
      <c r="A2" s="370" t="s">
        <v>152</v>
      </c>
      <c r="B2" s="370"/>
      <c r="C2" s="370"/>
      <c r="D2" s="370"/>
      <c r="E2" s="370"/>
      <c r="F2" s="370"/>
      <c r="G2" s="370"/>
      <c r="H2" s="370"/>
      <c r="I2" s="370"/>
      <c r="J2" s="370"/>
      <c r="K2" s="370"/>
    </row>
    <row r="3" spans="1:11" ht="16.5" customHeight="1" x14ac:dyDescent="0.25">
      <c r="A3" s="370" t="s">
        <v>426</v>
      </c>
      <c r="B3" s="370"/>
      <c r="C3" s="370"/>
      <c r="D3" s="370"/>
      <c r="E3" s="370"/>
      <c r="F3" s="370"/>
      <c r="G3" s="370"/>
      <c r="H3" s="370"/>
      <c r="I3" s="370"/>
      <c r="J3" s="370"/>
      <c r="K3" s="370"/>
    </row>
    <row r="4" spans="1:11" ht="4.5" customHeight="1" x14ac:dyDescent="0.25">
      <c r="A4" s="142"/>
      <c r="B4" s="142"/>
      <c r="C4" s="142"/>
      <c r="D4" s="142"/>
      <c r="E4" s="142"/>
      <c r="F4" s="142"/>
      <c r="G4" s="142"/>
      <c r="H4" s="142"/>
      <c r="I4" s="142"/>
    </row>
    <row r="5" spans="1:11" ht="16.5" customHeight="1" x14ac:dyDescent="0.25">
      <c r="A5" s="398" t="s">
        <v>1</v>
      </c>
      <c r="B5" s="397"/>
      <c r="C5" s="397"/>
      <c r="D5" s="397"/>
      <c r="E5" s="397"/>
      <c r="F5" s="397"/>
      <c r="G5" s="397"/>
      <c r="H5" s="397"/>
      <c r="I5" s="397"/>
    </row>
    <row r="6" spans="1:11" ht="7.5" customHeight="1" x14ac:dyDescent="0.25"/>
    <row r="7" spans="1:11" s="59" customFormat="1" ht="16.5" customHeight="1" x14ac:dyDescent="0.25">
      <c r="A7" s="59" t="s">
        <v>2</v>
      </c>
      <c r="E7" s="111" t="s">
        <v>174</v>
      </c>
      <c r="H7" s="59" t="s">
        <v>175</v>
      </c>
    </row>
    <row r="8" spans="1:11" s="59" customFormat="1" x14ac:dyDescent="0.25">
      <c r="A8" s="59" t="s">
        <v>3</v>
      </c>
      <c r="E8" s="111" t="s">
        <v>368</v>
      </c>
      <c r="H8" s="180">
        <v>58</v>
      </c>
      <c r="I8" s="59">
        <v>361.6</v>
      </c>
      <c r="J8" s="59">
        <f>H8+I8</f>
        <v>419.6</v>
      </c>
    </row>
    <row r="9" spans="1:11" s="59" customFormat="1" ht="7.5" customHeight="1" x14ac:dyDescent="0.25"/>
    <row r="10" spans="1:11" s="59" customFormat="1" x14ac:dyDescent="0.25">
      <c r="A10" s="372" t="s">
        <v>8</v>
      </c>
      <c r="B10" s="372"/>
      <c r="C10" s="372"/>
      <c r="D10" s="372"/>
      <c r="E10" s="372"/>
      <c r="F10" s="372"/>
      <c r="G10" s="372"/>
      <c r="H10" s="372"/>
      <c r="I10" s="372"/>
    </row>
    <row r="11" spans="1:11" s="59" customFormat="1" x14ac:dyDescent="0.25">
      <c r="A11" s="372" t="s">
        <v>9</v>
      </c>
      <c r="B11" s="372"/>
      <c r="C11" s="372"/>
      <c r="D11" s="372"/>
      <c r="E11" s="372"/>
      <c r="F11" s="372"/>
      <c r="G11" s="372"/>
      <c r="H11" s="372"/>
      <c r="I11" s="372"/>
    </row>
    <row r="12" spans="1:11" s="59" customFormat="1" x14ac:dyDescent="0.25">
      <c r="A12" s="372" t="s">
        <v>10</v>
      </c>
      <c r="B12" s="372"/>
      <c r="C12" s="372"/>
      <c r="D12" s="372"/>
      <c r="E12" s="372"/>
      <c r="F12" s="372"/>
      <c r="G12" s="372"/>
      <c r="H12" s="372"/>
      <c r="I12" s="372"/>
    </row>
    <row r="13" spans="1:11" s="59" customFormat="1" ht="6" customHeight="1" thickBot="1" x14ac:dyDescent="0.3">
      <c r="A13" s="60"/>
      <c r="B13" s="60"/>
      <c r="C13" s="60"/>
      <c r="D13" s="38"/>
      <c r="E13" s="58"/>
      <c r="F13" s="58"/>
      <c r="G13" s="58"/>
      <c r="H13" s="54"/>
      <c r="I13" s="54"/>
    </row>
    <row r="14" spans="1:11" s="59" customFormat="1" ht="15.75" thickBot="1" x14ac:dyDescent="0.3">
      <c r="A14" s="55" t="s">
        <v>381</v>
      </c>
      <c r="B14" s="56"/>
      <c r="C14" s="56"/>
      <c r="D14" s="61"/>
      <c r="E14" s="62"/>
      <c r="F14" s="62"/>
      <c r="G14" s="129">
        <f>'[1]Огарева 34а'!$G$35</f>
        <v>-60510.6944</v>
      </c>
      <c r="H14" s="54"/>
      <c r="I14" s="54"/>
    </row>
    <row r="15" spans="1:11" s="59" customFormat="1" ht="9" customHeight="1" x14ac:dyDescent="0.25"/>
    <row r="16" spans="1:11" s="66" customFormat="1" ht="38.25" x14ac:dyDescent="0.25">
      <c r="A16" s="64" t="s">
        <v>11</v>
      </c>
      <c r="B16" s="64" t="s">
        <v>12</v>
      </c>
      <c r="C16" s="64" t="s">
        <v>61</v>
      </c>
      <c r="D16" s="64" t="s">
        <v>432</v>
      </c>
      <c r="E16" s="64" t="s">
        <v>433</v>
      </c>
      <c r="F16" s="65" t="s">
        <v>434</v>
      </c>
      <c r="G16" s="64" t="s">
        <v>435</v>
      </c>
    </row>
    <row r="17" spans="1:13" s="152" customFormat="1" x14ac:dyDescent="0.25">
      <c r="A17" s="67" t="s">
        <v>14</v>
      </c>
      <c r="B17" s="39" t="s">
        <v>379</v>
      </c>
      <c r="C17" s="120">
        <v>20.66</v>
      </c>
      <c r="D17" s="68">
        <v>82010.880000000005</v>
      </c>
      <c r="E17" s="68">
        <v>67498.240000000005</v>
      </c>
      <c r="F17" s="68">
        <f>D17</f>
        <v>82010.880000000005</v>
      </c>
      <c r="G17" s="69">
        <f>D17-E17</f>
        <v>14512.64</v>
      </c>
      <c r="H17" s="130">
        <f>C17</f>
        <v>20.66</v>
      </c>
    </row>
    <row r="18" spans="1:13" s="59" customFormat="1" hidden="1" outlineLevel="1" x14ac:dyDescent="0.25">
      <c r="A18" s="73" t="s">
        <v>16</v>
      </c>
      <c r="B18" s="34" t="s">
        <v>17</v>
      </c>
      <c r="C18" s="89">
        <v>3.46</v>
      </c>
      <c r="D18" s="75">
        <f>D17*I18</f>
        <v>13734.639148112296</v>
      </c>
      <c r="E18" s="75">
        <f>E17*I18</f>
        <v>11304.15829622459</v>
      </c>
      <c r="F18" s="75">
        <f>D18</f>
        <v>13734.639148112296</v>
      </c>
      <c r="G18" s="76">
        <f>D18-E18</f>
        <v>2430.4808518877053</v>
      </c>
      <c r="H18" s="130">
        <f>C18</f>
        <v>3.46</v>
      </c>
      <c r="I18" s="59">
        <f>H18/H17</f>
        <v>0.16747337850919652</v>
      </c>
    </row>
    <row r="19" spans="1:13" s="59" customFormat="1" hidden="1" outlineLevel="1" x14ac:dyDescent="0.25">
      <c r="A19" s="73" t="s">
        <v>18</v>
      </c>
      <c r="B19" s="34" t="s">
        <v>19</v>
      </c>
      <c r="C19" s="89">
        <v>1.69</v>
      </c>
      <c r="D19" s="75">
        <f>D17*I19</f>
        <v>6708.5376185866407</v>
      </c>
      <c r="E19" s="75">
        <f>E17*I19</f>
        <v>5521.3952371732821</v>
      </c>
      <c r="F19" s="75">
        <f>D19</f>
        <v>6708.5376185866407</v>
      </c>
      <c r="G19" s="76">
        <f>D19-E19</f>
        <v>1187.1423814133586</v>
      </c>
      <c r="H19" s="130">
        <f>C19</f>
        <v>1.69</v>
      </c>
      <c r="I19" s="59">
        <f>H19/H17</f>
        <v>8.1800580832526615E-2</v>
      </c>
    </row>
    <row r="20" spans="1:13" s="59" customFormat="1" hidden="1" outlineLevel="1" x14ac:dyDescent="0.25">
      <c r="A20" s="73" t="s">
        <v>20</v>
      </c>
      <c r="B20" s="34" t="s">
        <v>21</v>
      </c>
      <c r="C20" s="89">
        <v>1.69</v>
      </c>
      <c r="D20" s="75">
        <f>D17*I20</f>
        <v>6708.5376185866407</v>
      </c>
      <c r="E20" s="75">
        <f>E17*I20</f>
        <v>5521.3952371732821</v>
      </c>
      <c r="F20" s="75">
        <f>D20</f>
        <v>6708.5376185866407</v>
      </c>
      <c r="G20" s="76">
        <f>D20-E20</f>
        <v>1187.1423814133586</v>
      </c>
      <c r="H20" s="130">
        <f>C20</f>
        <v>1.69</v>
      </c>
      <c r="I20" s="59">
        <f>H20/H17</f>
        <v>8.1800580832526615E-2</v>
      </c>
    </row>
    <row r="21" spans="1:13" s="59" customFormat="1" hidden="1" outlineLevel="1" x14ac:dyDescent="0.25">
      <c r="A21" s="73" t="s">
        <v>22</v>
      </c>
      <c r="B21" s="34" t="s">
        <v>23</v>
      </c>
      <c r="C21" s="89">
        <v>3.04</v>
      </c>
      <c r="D21" s="75">
        <f>D17*I21</f>
        <v>12067.428615682478</v>
      </c>
      <c r="E21" s="75">
        <f>E17*I21</f>
        <v>9931.9772313649573</v>
      </c>
      <c r="F21" s="75">
        <f>D21</f>
        <v>12067.428615682478</v>
      </c>
      <c r="G21" s="76">
        <f>D21-E21</f>
        <v>2135.4513843175209</v>
      </c>
      <c r="H21" s="130">
        <f>C21</f>
        <v>3.04</v>
      </c>
      <c r="I21" s="59">
        <f>H21/H17</f>
        <v>0.14714424007744434</v>
      </c>
    </row>
    <row r="22" spans="1:13" s="37" customFormat="1" collapsed="1" x14ac:dyDescent="0.25">
      <c r="A22" s="73" t="s">
        <v>25</v>
      </c>
      <c r="B22" s="78" t="s">
        <v>145</v>
      </c>
      <c r="C22" s="87">
        <v>0</v>
      </c>
      <c r="D22" s="69">
        <v>0</v>
      </c>
      <c r="E22" s="69">
        <v>0</v>
      </c>
      <c r="F22" s="68">
        <f t="shared" ref="F22:F31" si="0">D22</f>
        <v>0</v>
      </c>
      <c r="G22" s="69">
        <f t="shared" ref="G22:G31" si="1">D22-E22</f>
        <v>0</v>
      </c>
      <c r="H22" s="37">
        <f>40*130</f>
        <v>5200</v>
      </c>
      <c r="I22" s="37">
        <f>D22/H22</f>
        <v>0</v>
      </c>
    </row>
    <row r="23" spans="1:13" s="37" customFormat="1" ht="14.25" x14ac:dyDescent="0.2">
      <c r="A23" s="39" t="s">
        <v>27</v>
      </c>
      <c r="B23" s="125" t="s">
        <v>28</v>
      </c>
      <c r="C23" s="87">
        <v>0</v>
      </c>
      <c r="D23" s="69">
        <v>0</v>
      </c>
      <c r="E23" s="69">
        <v>0</v>
      </c>
      <c r="F23" s="68">
        <f>D23</f>
        <v>0</v>
      </c>
      <c r="G23" s="69">
        <f t="shared" si="1"/>
        <v>0</v>
      </c>
    </row>
    <row r="24" spans="1:13" s="37" customFormat="1" ht="14.25" x14ac:dyDescent="0.2">
      <c r="A24" s="39" t="s">
        <v>29</v>
      </c>
      <c r="B24" s="125" t="s">
        <v>97</v>
      </c>
      <c r="C24" s="357">
        <v>0</v>
      </c>
      <c r="D24" s="69">
        <v>0</v>
      </c>
      <c r="E24" s="69">
        <v>0</v>
      </c>
      <c r="F24" s="68">
        <f t="shared" si="0"/>
        <v>0</v>
      </c>
      <c r="G24" s="69">
        <f t="shared" si="1"/>
        <v>0</v>
      </c>
    </row>
    <row r="25" spans="1:13" s="37" customFormat="1" ht="14.25" x14ac:dyDescent="0.2">
      <c r="A25" s="39" t="s">
        <v>31</v>
      </c>
      <c r="B25" s="125" t="s">
        <v>80</v>
      </c>
      <c r="C25" s="87">
        <v>2.04</v>
      </c>
      <c r="D25" s="69">
        <v>8851.92</v>
      </c>
      <c r="E25" s="69">
        <v>7722.73</v>
      </c>
      <c r="F25" s="68">
        <f>F41</f>
        <v>77.2273</v>
      </c>
      <c r="G25" s="69">
        <f t="shared" si="1"/>
        <v>1129.1900000000005</v>
      </c>
      <c r="M25" s="165"/>
    </row>
    <row r="26" spans="1:13" s="37" customFormat="1" ht="14.25" x14ac:dyDescent="0.2">
      <c r="A26" s="39" t="s">
        <v>33</v>
      </c>
      <c r="B26" s="119" t="s">
        <v>34</v>
      </c>
      <c r="C26" s="43">
        <v>0</v>
      </c>
      <c r="D26" s="69">
        <v>0</v>
      </c>
      <c r="E26" s="69">
        <v>0</v>
      </c>
      <c r="F26" s="68">
        <f>D26</f>
        <v>0</v>
      </c>
      <c r="G26" s="69">
        <f t="shared" si="1"/>
        <v>0</v>
      </c>
    </row>
    <row r="27" spans="1:13" s="37" customFormat="1" ht="14.25" x14ac:dyDescent="0.2">
      <c r="A27" s="39" t="s">
        <v>35</v>
      </c>
      <c r="B27" s="119" t="s">
        <v>36</v>
      </c>
      <c r="C27" s="87"/>
      <c r="D27" s="69">
        <f>SUM(D28:D31)</f>
        <v>90092.920000000013</v>
      </c>
      <c r="E27" s="69">
        <f>SUM(E28:E31)</f>
        <v>92017.239999999991</v>
      </c>
      <c r="F27" s="68">
        <f t="shared" si="0"/>
        <v>90092.920000000013</v>
      </c>
      <c r="G27" s="69">
        <f t="shared" si="1"/>
        <v>-1924.3199999999779</v>
      </c>
    </row>
    <row r="28" spans="1:13" x14ac:dyDescent="0.25">
      <c r="A28" s="34" t="s">
        <v>37</v>
      </c>
      <c r="B28" s="34" t="s">
        <v>101</v>
      </c>
      <c r="C28" s="89">
        <v>7.36</v>
      </c>
      <c r="D28" s="76">
        <v>24181.18</v>
      </c>
      <c r="E28" s="76">
        <v>18377.21</v>
      </c>
      <c r="F28" s="75">
        <f>D28</f>
        <v>24181.18</v>
      </c>
      <c r="G28" s="76">
        <f t="shared" si="1"/>
        <v>5803.9700000000012</v>
      </c>
    </row>
    <row r="29" spans="1:13" x14ac:dyDescent="0.25">
      <c r="A29" s="34" t="s">
        <v>39</v>
      </c>
      <c r="B29" s="34" t="s">
        <v>84</v>
      </c>
      <c r="C29" s="89">
        <v>88.38</v>
      </c>
      <c r="D29" s="76">
        <v>65911.740000000005</v>
      </c>
      <c r="E29" s="76">
        <v>73640.03</v>
      </c>
      <c r="F29" s="75">
        <f t="shared" si="0"/>
        <v>65911.740000000005</v>
      </c>
      <c r="G29" s="76">
        <f t="shared" si="1"/>
        <v>-7728.2899999999936</v>
      </c>
    </row>
    <row r="30" spans="1:13" x14ac:dyDescent="0.25">
      <c r="A30" s="34" t="s">
        <v>42</v>
      </c>
      <c r="B30" s="124" t="s">
        <v>135</v>
      </c>
      <c r="C30" s="128">
        <v>0</v>
      </c>
      <c r="D30" s="76">
        <v>0</v>
      </c>
      <c r="E30" s="76">
        <v>0</v>
      </c>
      <c r="F30" s="75">
        <f t="shared" si="0"/>
        <v>0</v>
      </c>
      <c r="G30" s="76">
        <f t="shared" si="1"/>
        <v>0</v>
      </c>
    </row>
    <row r="31" spans="1:13" x14ac:dyDescent="0.25">
      <c r="A31" s="34" t="s">
        <v>41</v>
      </c>
      <c r="B31" s="34" t="s">
        <v>43</v>
      </c>
      <c r="C31" s="89">
        <v>0</v>
      </c>
      <c r="D31" s="76">
        <v>0</v>
      </c>
      <c r="E31" s="76">
        <v>0</v>
      </c>
      <c r="F31" s="75">
        <f t="shared" si="0"/>
        <v>0</v>
      </c>
      <c r="G31" s="76">
        <f t="shared" si="1"/>
        <v>0</v>
      </c>
    </row>
    <row r="32" spans="1:13" s="92" customFormat="1" ht="17.25" customHeight="1" thickBot="1" x14ac:dyDescent="0.3">
      <c r="A32" s="373"/>
      <c r="B32" s="374"/>
      <c r="C32" s="374"/>
      <c r="D32" s="375"/>
      <c r="E32" s="375"/>
      <c r="F32" s="375"/>
      <c r="G32" s="91"/>
      <c r="H32" s="91"/>
      <c r="I32" s="91"/>
      <c r="J32" s="91"/>
    </row>
    <row r="33" spans="1:9" s="59" customFormat="1" ht="15.75" thickBot="1" x14ac:dyDescent="0.3">
      <c r="A33" s="387" t="s">
        <v>427</v>
      </c>
      <c r="B33" s="388"/>
      <c r="C33" s="388"/>
      <c r="D33" s="57">
        <v>13717.51</v>
      </c>
      <c r="E33" s="58"/>
      <c r="F33" s="58"/>
      <c r="G33" s="58"/>
      <c r="H33" s="54"/>
      <c r="I33" s="54"/>
    </row>
    <row r="34" spans="1:9" s="59" customFormat="1" ht="6" customHeight="1" thickBot="1" x14ac:dyDescent="0.3">
      <c r="A34" s="60"/>
      <c r="B34" s="60"/>
      <c r="C34" s="60"/>
      <c r="D34" s="38"/>
      <c r="E34" s="58"/>
      <c r="F34" s="58"/>
      <c r="G34" s="58"/>
      <c r="H34" s="54"/>
      <c r="I34" s="54"/>
    </row>
    <row r="35" spans="1:9" s="59" customFormat="1" ht="15.75" thickBot="1" x14ac:dyDescent="0.3">
      <c r="A35" s="55" t="s">
        <v>428</v>
      </c>
      <c r="B35" s="56"/>
      <c r="C35" s="56"/>
      <c r="D35" s="61"/>
      <c r="E35" s="62"/>
      <c r="F35" s="62"/>
      <c r="G35" s="129">
        <f>G14+E25-F25</f>
        <v>-52865.191699999996</v>
      </c>
      <c r="H35" s="54"/>
      <c r="I35" s="54"/>
    </row>
    <row r="36" spans="1:9" s="59" customFormat="1" x14ac:dyDescent="0.25">
      <c r="A36" s="60"/>
      <c r="B36" s="60"/>
      <c r="C36" s="60"/>
      <c r="D36" s="38"/>
      <c r="E36" s="58"/>
      <c r="F36" s="58"/>
      <c r="G36" s="38"/>
      <c r="H36" s="54"/>
      <c r="I36" s="54"/>
    </row>
    <row r="37" spans="1:9" ht="8.25" customHeight="1" x14ac:dyDescent="0.25">
      <c r="B37" s="139"/>
      <c r="C37" s="139"/>
      <c r="D37" s="139"/>
      <c r="E37" s="139"/>
    </row>
    <row r="38" spans="1:9" ht="24.75" customHeight="1" x14ac:dyDescent="0.25">
      <c r="A38" s="371" t="s">
        <v>44</v>
      </c>
      <c r="B38" s="371"/>
      <c r="C38" s="371"/>
      <c r="D38" s="371"/>
      <c r="E38" s="371"/>
      <c r="F38" s="371"/>
      <c r="G38" s="371"/>
      <c r="H38" s="371"/>
      <c r="I38" s="371"/>
    </row>
    <row r="39" spans="1:9" ht="8.25" customHeight="1" x14ac:dyDescent="0.25"/>
    <row r="40" spans="1:9" s="156" customFormat="1" ht="28.5" customHeight="1" x14ac:dyDescent="0.25">
      <c r="A40" s="94" t="s">
        <v>11</v>
      </c>
      <c r="B40" s="416" t="s">
        <v>45</v>
      </c>
      <c r="C40" s="425"/>
      <c r="D40" s="94" t="s">
        <v>99</v>
      </c>
      <c r="E40" s="94" t="s">
        <v>98</v>
      </c>
      <c r="F40" s="416" t="s">
        <v>46</v>
      </c>
      <c r="G40" s="424"/>
    </row>
    <row r="41" spans="1:9" s="103" customFormat="1" ht="13.5" customHeight="1" x14ac:dyDescent="0.25">
      <c r="A41" s="98">
        <v>1</v>
      </c>
      <c r="B41" s="418" t="s">
        <v>75</v>
      </c>
      <c r="C41" s="430"/>
      <c r="D41" s="157"/>
      <c r="E41" s="157"/>
      <c r="F41" s="436">
        <f>SUM(F42:G44)</f>
        <v>77.2273</v>
      </c>
      <c r="G41" s="424"/>
    </row>
    <row r="42" spans="1:9" s="103" customFormat="1" ht="13.5" customHeight="1" x14ac:dyDescent="0.25">
      <c r="A42" s="34" t="s">
        <v>16</v>
      </c>
      <c r="B42" s="412"/>
      <c r="C42" s="428"/>
      <c r="D42" s="268"/>
      <c r="E42" s="268"/>
      <c r="F42" s="464"/>
      <c r="G42" s="464"/>
    </row>
    <row r="43" spans="1:9" s="103" customFormat="1" ht="13.5" customHeight="1" x14ac:dyDescent="0.25">
      <c r="A43" s="34" t="s">
        <v>18</v>
      </c>
      <c r="B43" s="406"/>
      <c r="C43" s="454"/>
      <c r="D43" s="173"/>
      <c r="E43" s="137"/>
      <c r="F43" s="423"/>
      <c r="G43" s="423"/>
    </row>
    <row r="44" spans="1:9" ht="13.5" customHeight="1" x14ac:dyDescent="0.25">
      <c r="A44" s="34" t="s">
        <v>20</v>
      </c>
      <c r="B44" s="458" t="s">
        <v>108</v>
      </c>
      <c r="C44" s="459"/>
      <c r="D44" s="173"/>
      <c r="E44" s="173"/>
      <c r="F44" s="435">
        <f>E25*1%</f>
        <v>77.2273</v>
      </c>
      <c r="G44" s="435"/>
    </row>
    <row r="45" spans="1:9" s="59" customFormat="1" x14ac:dyDescent="0.25"/>
    <row r="46" spans="1:9" s="59" customFormat="1" x14ac:dyDescent="0.25">
      <c r="A46" s="51" t="s">
        <v>372</v>
      </c>
      <c r="C46" s="59" t="s">
        <v>49</v>
      </c>
      <c r="F46" s="59" t="s">
        <v>60</v>
      </c>
    </row>
    <row r="47" spans="1:9" s="59" customFormat="1" ht="13.5" customHeight="1" x14ac:dyDescent="0.25">
      <c r="F47" s="111" t="s">
        <v>438</v>
      </c>
    </row>
    <row r="48" spans="1:9" s="59" customFormat="1" x14ac:dyDescent="0.25">
      <c r="A48" s="59" t="s">
        <v>50</v>
      </c>
    </row>
    <row r="49" spans="3:7" s="59" customFormat="1" ht="11.25" customHeight="1" x14ac:dyDescent="0.25">
      <c r="C49" s="113" t="s">
        <v>51</v>
      </c>
      <c r="E49" s="113"/>
      <c r="F49" s="113"/>
      <c r="G49" s="113"/>
    </row>
    <row r="50" spans="3:7" s="59" customFormat="1" x14ac:dyDescent="0.25"/>
    <row r="51" spans="3:7" s="59" customFormat="1" x14ac:dyDescent="0.25"/>
  </sheetData>
  <mergeCells count="20">
    <mergeCell ref="A2:K2"/>
    <mergeCell ref="B43:C43"/>
    <mergeCell ref="F42:G42"/>
    <mergeCell ref="A1:I1"/>
    <mergeCell ref="A5:I5"/>
    <mergeCell ref="A10:I10"/>
    <mergeCell ref="A3:K3"/>
    <mergeCell ref="A11:I11"/>
    <mergeCell ref="F40:G40"/>
    <mergeCell ref="A12:I12"/>
    <mergeCell ref="A32:F32"/>
    <mergeCell ref="B41:C41"/>
    <mergeCell ref="B40:C40"/>
    <mergeCell ref="B42:C42"/>
    <mergeCell ref="B44:C44"/>
    <mergeCell ref="F44:G44"/>
    <mergeCell ref="A33:C33"/>
    <mergeCell ref="F41:G41"/>
    <mergeCell ref="A38:I38"/>
    <mergeCell ref="F43:G43"/>
  </mergeCells>
  <phoneticPr fontId="14" type="noConversion"/>
  <pageMargins left="0" right="0" top="0" bottom="0" header="0.31496062992125984" footer="0.31496062992125984"/>
  <pageSetup paperSize="9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790E84-A592-4109-8F9A-980C0F401F8D}">
  <sheetPr>
    <tabColor rgb="FF7030A0"/>
  </sheetPr>
  <dimension ref="A1:M55"/>
  <sheetViews>
    <sheetView topLeftCell="A34" zoomScaleNormal="100" workbookViewId="0">
      <selection activeCell="A57" sqref="A57:IV58"/>
    </sheetView>
  </sheetViews>
  <sheetFormatPr defaultRowHeight="15" outlineLevelRow="1" outlineLevelCol="1" x14ac:dyDescent="0.25"/>
  <cols>
    <col min="1" max="1" width="4.7109375" style="35" customWidth="1"/>
    <col min="2" max="2" width="40.5703125" style="35" customWidth="1"/>
    <col min="3" max="3" width="13.140625" style="35" customWidth="1"/>
    <col min="4" max="4" width="12.85546875" style="35" customWidth="1"/>
    <col min="5" max="5" width="13.42578125" style="35" customWidth="1"/>
    <col min="6" max="6" width="13" style="35" customWidth="1"/>
    <col min="7" max="7" width="14.5703125" style="35" customWidth="1"/>
    <col min="8" max="8" width="10.85546875" style="35" hidden="1" customWidth="1" outlineLevel="1"/>
    <col min="9" max="9" width="13.42578125" style="35" hidden="1" customWidth="1" outlineLevel="1"/>
    <col min="10" max="12" width="9.140625" style="35" hidden="1" customWidth="1" outlineLevel="1"/>
    <col min="13" max="13" width="10.140625" style="35" bestFit="1" customWidth="1" collapsed="1"/>
    <col min="14" max="16384" width="9.140625" style="35"/>
  </cols>
  <sheetData>
    <row r="1" spans="1:11" x14ac:dyDescent="0.25">
      <c r="A1" s="397" t="s">
        <v>0</v>
      </c>
      <c r="B1" s="397"/>
      <c r="C1" s="397"/>
      <c r="D1" s="397"/>
      <c r="E1" s="397"/>
      <c r="F1" s="397"/>
      <c r="G1" s="397"/>
      <c r="H1" s="397"/>
      <c r="I1" s="397"/>
    </row>
    <row r="2" spans="1:11" ht="15" customHeight="1" x14ac:dyDescent="0.25">
      <c r="A2" s="370" t="s">
        <v>152</v>
      </c>
      <c r="B2" s="370"/>
      <c r="C2" s="370"/>
      <c r="D2" s="370"/>
      <c r="E2" s="370"/>
      <c r="F2" s="370"/>
      <c r="G2" s="370"/>
      <c r="H2" s="370"/>
      <c r="I2" s="370"/>
      <c r="J2" s="370"/>
      <c r="K2" s="370"/>
    </row>
    <row r="3" spans="1:11" ht="17.25" customHeight="1" x14ac:dyDescent="0.25">
      <c r="A3" s="370" t="s">
        <v>426</v>
      </c>
      <c r="B3" s="370"/>
      <c r="C3" s="370"/>
      <c r="D3" s="370"/>
      <c r="E3" s="370"/>
      <c r="F3" s="370"/>
      <c r="G3" s="370"/>
      <c r="H3" s="370"/>
      <c r="I3" s="370"/>
      <c r="J3" s="370"/>
      <c r="K3" s="370"/>
    </row>
    <row r="4" spans="1:11" ht="11.25" customHeight="1" x14ac:dyDescent="0.25">
      <c r="A4" s="142"/>
      <c r="B4" s="142"/>
      <c r="C4" s="142"/>
      <c r="D4" s="142"/>
      <c r="E4" s="142"/>
      <c r="F4" s="142"/>
      <c r="G4" s="142"/>
      <c r="H4" s="142"/>
      <c r="I4" s="142"/>
    </row>
    <row r="5" spans="1:11" ht="13.5" customHeight="1" x14ac:dyDescent="0.25">
      <c r="A5" s="398" t="s">
        <v>1</v>
      </c>
      <c r="B5" s="397"/>
      <c r="C5" s="397"/>
      <c r="D5" s="397"/>
      <c r="E5" s="397"/>
      <c r="F5" s="397"/>
      <c r="G5" s="397"/>
      <c r="H5" s="397"/>
      <c r="I5" s="397"/>
    </row>
    <row r="7" spans="1:11" s="59" customFormat="1" ht="16.5" customHeight="1" x14ac:dyDescent="0.25">
      <c r="A7" s="59" t="s">
        <v>2</v>
      </c>
      <c r="E7" s="111" t="s">
        <v>176</v>
      </c>
    </row>
    <row r="8" spans="1:11" s="59" customFormat="1" x14ac:dyDescent="0.25">
      <c r="A8" s="59" t="s">
        <v>3</v>
      </c>
      <c r="E8" s="239" t="s">
        <v>177</v>
      </c>
      <c r="I8" s="180">
        <f>65.2+48.3</f>
        <v>113.5</v>
      </c>
      <c r="J8" s="110">
        <v>3386.5</v>
      </c>
    </row>
    <row r="9" spans="1:11" s="59" customFormat="1" ht="15" customHeight="1" x14ac:dyDescent="0.25">
      <c r="B9" s="51" t="s">
        <v>244</v>
      </c>
      <c r="C9" s="115"/>
      <c r="D9" s="51"/>
      <c r="E9" s="285" t="s">
        <v>250</v>
      </c>
    </row>
    <row r="10" spans="1:11" s="59" customFormat="1" x14ac:dyDescent="0.25">
      <c r="A10" s="372" t="s">
        <v>8</v>
      </c>
      <c r="B10" s="372"/>
      <c r="C10" s="372"/>
      <c r="D10" s="372"/>
      <c r="E10" s="372"/>
      <c r="F10" s="372"/>
      <c r="G10" s="372"/>
      <c r="H10" s="372"/>
      <c r="I10" s="372"/>
    </row>
    <row r="11" spans="1:11" s="59" customFormat="1" x14ac:dyDescent="0.25">
      <c r="A11" s="372" t="s">
        <v>9</v>
      </c>
      <c r="B11" s="372"/>
      <c r="C11" s="372"/>
      <c r="D11" s="372"/>
      <c r="E11" s="372"/>
      <c r="F11" s="372"/>
      <c r="G11" s="372"/>
      <c r="H11" s="372"/>
      <c r="I11" s="372"/>
    </row>
    <row r="12" spans="1:11" s="59" customFormat="1" x14ac:dyDescent="0.25">
      <c r="A12" s="372" t="s">
        <v>10</v>
      </c>
      <c r="B12" s="372"/>
      <c r="C12" s="372"/>
      <c r="D12" s="372"/>
      <c r="E12" s="372"/>
      <c r="F12" s="372"/>
      <c r="G12" s="372"/>
      <c r="H12" s="372"/>
      <c r="I12" s="372"/>
    </row>
    <row r="13" spans="1:11" s="59" customFormat="1" ht="6" customHeight="1" thickBot="1" x14ac:dyDescent="0.3">
      <c r="A13" s="60"/>
      <c r="B13" s="60"/>
      <c r="C13" s="60"/>
      <c r="D13" s="38"/>
      <c r="E13" s="58"/>
      <c r="F13" s="58"/>
      <c r="G13" s="58"/>
      <c r="H13" s="54"/>
      <c r="I13" s="54"/>
    </row>
    <row r="14" spans="1:11" s="59" customFormat="1" ht="15.75" thickBot="1" x14ac:dyDescent="0.3">
      <c r="A14" s="55" t="s">
        <v>381</v>
      </c>
      <c r="B14" s="56"/>
      <c r="C14" s="56"/>
      <c r="D14" s="61"/>
      <c r="E14" s="62"/>
      <c r="F14" s="62"/>
      <c r="G14" s="129">
        <f>'[1]Огарева 4'!$G$37</f>
        <v>294923.6152</v>
      </c>
      <c r="H14" s="54"/>
      <c r="I14" s="54"/>
    </row>
    <row r="15" spans="1:11" s="59" customFormat="1" ht="7.5" customHeight="1" x14ac:dyDescent="0.25"/>
    <row r="16" spans="1:11" s="66" customFormat="1" ht="38.25" x14ac:dyDescent="0.25">
      <c r="A16" s="64" t="s">
        <v>11</v>
      </c>
      <c r="B16" s="64" t="s">
        <v>12</v>
      </c>
      <c r="C16" s="64" t="s">
        <v>61</v>
      </c>
      <c r="D16" s="64" t="s">
        <v>432</v>
      </c>
      <c r="E16" s="64" t="s">
        <v>433</v>
      </c>
      <c r="F16" s="65" t="s">
        <v>434</v>
      </c>
      <c r="G16" s="64" t="s">
        <v>435</v>
      </c>
    </row>
    <row r="17" spans="1:13" s="152" customFormat="1" ht="31.5" customHeight="1" x14ac:dyDescent="0.2">
      <c r="A17" s="67" t="s">
        <v>14</v>
      </c>
      <c r="B17" s="39" t="s">
        <v>379</v>
      </c>
      <c r="C17" s="120">
        <v>23.01</v>
      </c>
      <c r="D17" s="68">
        <v>935080.68</v>
      </c>
      <c r="E17" s="68">
        <v>886020.8</v>
      </c>
      <c r="F17" s="68">
        <f t="shared" ref="F17:F22" si="0">D17</f>
        <v>935080.68</v>
      </c>
      <c r="G17" s="69">
        <f>D17-E17</f>
        <v>49059.880000000005</v>
      </c>
      <c r="H17" s="121">
        <f>C17</f>
        <v>23.01</v>
      </c>
    </row>
    <row r="18" spans="1:13" s="59" customFormat="1" hidden="1" outlineLevel="1" x14ac:dyDescent="0.25">
      <c r="A18" s="73" t="s">
        <v>16</v>
      </c>
      <c r="B18" s="34" t="s">
        <v>17</v>
      </c>
      <c r="C18" s="89">
        <v>3.46</v>
      </c>
      <c r="D18" s="75">
        <f>D17*I18</f>
        <v>140607.52511082139</v>
      </c>
      <c r="E18" s="75">
        <f>E17*I18</f>
        <v>133230.4201651456</v>
      </c>
      <c r="F18" s="75">
        <f t="shared" si="0"/>
        <v>140607.52511082139</v>
      </c>
      <c r="G18" s="76">
        <f>D18-E18</f>
        <v>7377.1049456757901</v>
      </c>
      <c r="H18" s="70">
        <f>C18</f>
        <v>3.46</v>
      </c>
      <c r="I18" s="59">
        <f>H18/H17</f>
        <v>0.15036940460669274</v>
      </c>
    </row>
    <row r="19" spans="1:13" s="59" customFormat="1" hidden="1" outlineLevel="1" x14ac:dyDescent="0.25">
      <c r="A19" s="73" t="s">
        <v>18</v>
      </c>
      <c r="B19" s="34" t="s">
        <v>19</v>
      </c>
      <c r="C19" s="89">
        <v>1.69</v>
      </c>
      <c r="D19" s="75">
        <f>D17*I19</f>
        <v>68678.242033898292</v>
      </c>
      <c r="E19" s="75">
        <f>E17*I19</f>
        <v>65074.974011299426</v>
      </c>
      <c r="F19" s="75">
        <f t="shared" si="0"/>
        <v>68678.242033898292</v>
      </c>
      <c r="G19" s="76">
        <f>D19-E19</f>
        <v>3603.2680225988661</v>
      </c>
      <c r="H19" s="70">
        <f>C19</f>
        <v>1.69</v>
      </c>
      <c r="I19" s="59">
        <f>H19/H17</f>
        <v>7.3446327683615809E-2</v>
      </c>
    </row>
    <row r="20" spans="1:13" s="59" customFormat="1" ht="15" hidden="1" customHeight="1" outlineLevel="1" x14ac:dyDescent="0.25">
      <c r="A20" s="73" t="s">
        <v>20</v>
      </c>
      <c r="B20" s="34" t="s">
        <v>21</v>
      </c>
      <c r="C20" s="89">
        <v>1.69</v>
      </c>
      <c r="D20" s="75">
        <f>D17*I20</f>
        <v>68678.242033898292</v>
      </c>
      <c r="E20" s="75">
        <f>E17*I20</f>
        <v>65074.974011299426</v>
      </c>
      <c r="F20" s="75">
        <f t="shared" si="0"/>
        <v>68678.242033898292</v>
      </c>
      <c r="G20" s="76">
        <f>D20-E20</f>
        <v>3603.2680225988661</v>
      </c>
      <c r="H20" s="70">
        <f>C20</f>
        <v>1.69</v>
      </c>
      <c r="I20" s="59">
        <f>H20/H17</f>
        <v>7.3446327683615809E-2</v>
      </c>
    </row>
    <row r="21" spans="1:13" s="59" customFormat="1" hidden="1" outlineLevel="1" x14ac:dyDescent="0.25">
      <c r="A21" s="73" t="s">
        <v>22</v>
      </c>
      <c r="B21" s="34" t="s">
        <v>23</v>
      </c>
      <c r="C21" s="89">
        <v>3.04</v>
      </c>
      <c r="D21" s="75">
        <f>D17*I21</f>
        <v>123539.55963494132</v>
      </c>
      <c r="E21" s="75">
        <f>E17*I21</f>
        <v>117057.94141677531</v>
      </c>
      <c r="F21" s="75">
        <f t="shared" si="0"/>
        <v>123539.55963494132</v>
      </c>
      <c r="G21" s="76">
        <f>D21-E21</f>
        <v>6481.6182181660115</v>
      </c>
      <c r="H21" s="70">
        <f>C21</f>
        <v>3.04</v>
      </c>
      <c r="I21" s="59">
        <f>H21/H17</f>
        <v>0.13211647109952193</v>
      </c>
    </row>
    <row r="22" spans="1:13" s="37" customFormat="1" ht="13.5" customHeight="1" collapsed="1" x14ac:dyDescent="0.2">
      <c r="A22" s="39" t="s">
        <v>25</v>
      </c>
      <c r="B22" s="125" t="s">
        <v>28</v>
      </c>
      <c r="C22" s="126">
        <v>0</v>
      </c>
      <c r="D22" s="69">
        <v>0</v>
      </c>
      <c r="E22" s="69">
        <v>0</v>
      </c>
      <c r="F22" s="68">
        <f t="shared" si="0"/>
        <v>0</v>
      </c>
      <c r="G22" s="69">
        <f t="shared" ref="G22:G31" si="1">D22-E22</f>
        <v>0</v>
      </c>
    </row>
    <row r="23" spans="1:13" s="37" customFormat="1" ht="15.75" customHeight="1" x14ac:dyDescent="0.2">
      <c r="A23" s="39" t="s">
        <v>27</v>
      </c>
      <c r="B23" s="125" t="s">
        <v>97</v>
      </c>
      <c r="C23" s="357">
        <v>0</v>
      </c>
      <c r="D23" s="69">
        <v>0</v>
      </c>
      <c r="E23" s="69">
        <v>0</v>
      </c>
      <c r="F23" s="68">
        <f t="shared" ref="F23:F31" si="2">D23</f>
        <v>0</v>
      </c>
      <c r="G23" s="69">
        <f t="shared" si="1"/>
        <v>0</v>
      </c>
    </row>
    <row r="24" spans="1:13" s="37" customFormat="1" ht="14.25" x14ac:dyDescent="0.2">
      <c r="A24" s="39" t="s">
        <v>29</v>
      </c>
      <c r="B24" s="125" t="s">
        <v>80</v>
      </c>
      <c r="C24" s="126">
        <v>2.2799999999999998</v>
      </c>
      <c r="D24" s="69">
        <f>92654.88+D25</f>
        <v>95760.24</v>
      </c>
      <c r="E24" s="69">
        <f>87887.11+E25</f>
        <v>90992.47</v>
      </c>
      <c r="F24" s="68">
        <f>F44</f>
        <v>909.92470000000003</v>
      </c>
      <c r="G24" s="69">
        <f t="shared" si="1"/>
        <v>4767.7700000000041</v>
      </c>
      <c r="M24" s="165"/>
    </row>
    <row r="25" spans="1:13" s="37" customFormat="1" ht="14.25" x14ac:dyDescent="0.2">
      <c r="A25" s="39"/>
      <c r="B25" s="292" t="s">
        <v>244</v>
      </c>
      <c r="C25" s="293"/>
      <c r="D25" s="294">
        <v>3105.36</v>
      </c>
      <c r="E25" s="294">
        <v>3105.36</v>
      </c>
      <c r="F25" s="294"/>
      <c r="G25" s="248">
        <f>D25-E25</f>
        <v>0</v>
      </c>
      <c r="M25" s="165"/>
    </row>
    <row r="26" spans="1:13" s="37" customFormat="1" ht="14.25" x14ac:dyDescent="0.2">
      <c r="A26" s="39" t="s">
        <v>31</v>
      </c>
      <c r="B26" s="119" t="s">
        <v>34</v>
      </c>
      <c r="C26" s="120">
        <v>0</v>
      </c>
      <c r="D26" s="69">
        <v>0</v>
      </c>
      <c r="E26" s="69">
        <v>0</v>
      </c>
      <c r="F26" s="68">
        <f>D26</f>
        <v>0</v>
      </c>
      <c r="G26" s="69">
        <f t="shared" si="1"/>
        <v>0</v>
      </c>
    </row>
    <row r="27" spans="1:13" s="37" customFormat="1" ht="14.25" x14ac:dyDescent="0.2">
      <c r="A27" s="39" t="s">
        <v>111</v>
      </c>
      <c r="B27" s="119" t="s">
        <v>36</v>
      </c>
      <c r="C27" s="120"/>
      <c r="D27" s="69">
        <f>SUM(D28:D31)</f>
        <v>2214289.33</v>
      </c>
      <c r="E27" s="69">
        <f>SUM(E28:E31)</f>
        <v>2084090.6400000001</v>
      </c>
      <c r="F27" s="68">
        <f t="shared" si="2"/>
        <v>2214289.33</v>
      </c>
      <c r="G27" s="69">
        <f t="shared" si="1"/>
        <v>130198.68999999994</v>
      </c>
    </row>
    <row r="28" spans="1:13" x14ac:dyDescent="0.25">
      <c r="A28" s="34" t="s">
        <v>146</v>
      </c>
      <c r="B28" s="34" t="s">
        <v>101</v>
      </c>
      <c r="C28" s="89">
        <v>7.36</v>
      </c>
      <c r="D28" s="76">
        <v>81599.520000000004</v>
      </c>
      <c r="E28" s="76">
        <v>76155.289999999994</v>
      </c>
      <c r="F28" s="75">
        <f>D28</f>
        <v>81599.520000000004</v>
      </c>
      <c r="G28" s="76">
        <f t="shared" si="1"/>
        <v>5444.2300000000105</v>
      </c>
    </row>
    <row r="29" spans="1:13" x14ac:dyDescent="0.25">
      <c r="A29" s="34" t="s">
        <v>147</v>
      </c>
      <c r="B29" s="34" t="s">
        <v>84</v>
      </c>
      <c r="C29" s="89">
        <v>88.38</v>
      </c>
      <c r="D29" s="76">
        <v>686647.06</v>
      </c>
      <c r="E29" s="76">
        <v>639740.64</v>
      </c>
      <c r="F29" s="75">
        <f t="shared" si="2"/>
        <v>686647.06</v>
      </c>
      <c r="G29" s="76">
        <f t="shared" si="1"/>
        <v>46906.420000000042</v>
      </c>
      <c r="H29" s="144"/>
    </row>
    <row r="30" spans="1:13" x14ac:dyDescent="0.25">
      <c r="A30" s="34" t="s">
        <v>148</v>
      </c>
      <c r="B30" s="34" t="s">
        <v>135</v>
      </c>
      <c r="C30" s="128">
        <v>0</v>
      </c>
      <c r="D30" s="76">
        <v>0</v>
      </c>
      <c r="E30" s="76">
        <v>0</v>
      </c>
      <c r="F30" s="75">
        <f t="shared" si="2"/>
        <v>0</v>
      </c>
      <c r="G30" s="76">
        <f t="shared" si="1"/>
        <v>0</v>
      </c>
    </row>
    <row r="31" spans="1:13" ht="15" customHeight="1" x14ac:dyDescent="0.25">
      <c r="A31" s="34" t="s">
        <v>149</v>
      </c>
      <c r="B31" s="34" t="s">
        <v>43</v>
      </c>
      <c r="C31" s="89">
        <v>3352.42</v>
      </c>
      <c r="D31" s="76">
        <v>1446042.75</v>
      </c>
      <c r="E31" s="76">
        <v>1368194.71</v>
      </c>
      <c r="F31" s="75">
        <f t="shared" si="2"/>
        <v>1446042.75</v>
      </c>
      <c r="G31" s="76">
        <f t="shared" si="1"/>
        <v>77848.040000000037</v>
      </c>
    </row>
    <row r="32" spans="1:13" ht="15" hidden="1" customHeight="1" outlineLevel="1" x14ac:dyDescent="0.25">
      <c r="A32" s="240" t="s">
        <v>130</v>
      </c>
      <c r="B32" s="257" t="s">
        <v>131</v>
      </c>
      <c r="C32" s="235"/>
      <c r="D32" s="248">
        <f>1000+1800</f>
        <v>2800</v>
      </c>
      <c r="E32" s="248">
        <v>1800</v>
      </c>
      <c r="F32" s="296">
        <v>0</v>
      </c>
      <c r="G32" s="248">
        <f>D32-E32</f>
        <v>1000</v>
      </c>
    </row>
    <row r="33" spans="1:13" ht="15" hidden="1" customHeight="1" outlineLevel="1" x14ac:dyDescent="0.25">
      <c r="A33" s="174"/>
      <c r="B33" s="295"/>
      <c r="C33" s="376" t="s">
        <v>246</v>
      </c>
      <c r="D33" s="377"/>
      <c r="E33" s="377"/>
      <c r="F33" s="377"/>
      <c r="G33" s="82">
        <f>E32-(E32*15%)</f>
        <v>1530</v>
      </c>
    </row>
    <row r="34" spans="1:13" s="92" customFormat="1" ht="15.6" customHeight="1" collapsed="1" thickBot="1" x14ac:dyDescent="0.3">
      <c r="A34" s="373"/>
      <c r="B34" s="374"/>
      <c r="C34" s="374"/>
      <c r="D34" s="375"/>
      <c r="E34" s="375"/>
      <c r="F34" s="375"/>
      <c r="G34" s="91"/>
      <c r="H34" s="91"/>
      <c r="I34" s="91"/>
      <c r="J34" s="91"/>
    </row>
    <row r="35" spans="1:13" s="59" customFormat="1" ht="15.75" thickBot="1" x14ac:dyDescent="0.3">
      <c r="A35" s="387" t="s">
        <v>427</v>
      </c>
      <c r="B35" s="388"/>
      <c r="C35" s="388"/>
      <c r="D35" s="57">
        <v>184026.34</v>
      </c>
      <c r="E35" s="58"/>
      <c r="F35" s="58"/>
      <c r="G35" s="58"/>
      <c r="H35" s="54"/>
      <c r="I35" s="54"/>
    </row>
    <row r="36" spans="1:13" s="59" customFormat="1" ht="6" customHeight="1" thickBot="1" x14ac:dyDescent="0.3">
      <c r="A36" s="60"/>
      <c r="B36" s="60"/>
      <c r="C36" s="60"/>
      <c r="D36" s="38"/>
      <c r="E36" s="58"/>
      <c r="F36" s="58"/>
      <c r="G36" s="58"/>
      <c r="H36" s="54"/>
      <c r="I36" s="54"/>
    </row>
    <row r="37" spans="1:13" s="59" customFormat="1" ht="15.75" thickBot="1" x14ac:dyDescent="0.3">
      <c r="A37" s="55" t="s">
        <v>428</v>
      </c>
      <c r="B37" s="56"/>
      <c r="C37" s="56"/>
      <c r="D37" s="61"/>
      <c r="E37" s="62"/>
      <c r="F37" s="62"/>
      <c r="G37" s="129">
        <f>G14+E24-F24</f>
        <v>385006.1605</v>
      </c>
      <c r="H37" s="54"/>
      <c r="I37" s="54"/>
      <c r="M37" s="130"/>
    </row>
    <row r="38" spans="1:13" s="59" customFormat="1" x14ac:dyDescent="0.25">
      <c r="A38" s="392" t="s">
        <v>90</v>
      </c>
      <c r="B38" s="392"/>
      <c r="C38" s="60"/>
      <c r="D38" s="38"/>
      <c r="E38" s="58"/>
      <c r="F38" s="58"/>
      <c r="G38" s="38"/>
      <c r="H38" s="54"/>
      <c r="I38" s="54"/>
      <c r="M38" s="130"/>
    </row>
    <row r="39" spans="1:13" s="59" customFormat="1" x14ac:dyDescent="0.25">
      <c r="A39" s="465" t="s">
        <v>91</v>
      </c>
      <c r="B39" s="465"/>
      <c r="C39" s="41" t="s">
        <v>92</v>
      </c>
      <c r="D39" s="41" t="s">
        <v>93</v>
      </c>
      <c r="E39" s="42" t="s">
        <v>94</v>
      </c>
      <c r="F39" s="40" t="s">
        <v>95</v>
      </c>
      <c r="G39" s="42" t="s">
        <v>96</v>
      </c>
      <c r="H39" s="54"/>
      <c r="I39" s="54"/>
      <c r="M39" s="130"/>
    </row>
    <row r="40" spans="1:13" s="59" customFormat="1" x14ac:dyDescent="0.25">
      <c r="A40" s="465"/>
      <c r="B40" s="465"/>
      <c r="C40" s="358">
        <f>65.2+48.3</f>
        <v>113.5</v>
      </c>
      <c r="D40" s="138">
        <f>E40/C40/12</f>
        <v>25.290044052863436</v>
      </c>
      <c r="E40" s="73">
        <v>34445.040000000001</v>
      </c>
      <c r="F40" s="75">
        <v>34445.040000000001</v>
      </c>
      <c r="G40" s="138">
        <f>E40-F40</f>
        <v>0</v>
      </c>
      <c r="H40" s="335">
        <f>C17+C24</f>
        <v>25.290000000000003</v>
      </c>
      <c r="I40" s="54">
        <f>H40*C40*3</f>
        <v>8611.2450000000008</v>
      </c>
    </row>
    <row r="41" spans="1:13" ht="26.25" customHeight="1" x14ac:dyDescent="0.25">
      <c r="A41" s="371" t="s">
        <v>44</v>
      </c>
      <c r="B41" s="371"/>
      <c r="C41" s="371"/>
      <c r="D41" s="371"/>
      <c r="E41" s="371"/>
      <c r="F41" s="371"/>
      <c r="G41" s="371"/>
      <c r="H41" s="371"/>
      <c r="I41" s="371"/>
    </row>
    <row r="43" spans="1:13" s="156" customFormat="1" ht="28.5" customHeight="1" x14ac:dyDescent="0.25">
      <c r="A43" s="94" t="s">
        <v>11</v>
      </c>
      <c r="B43" s="416" t="s">
        <v>45</v>
      </c>
      <c r="C43" s="425"/>
      <c r="D43" s="94" t="s">
        <v>99</v>
      </c>
      <c r="E43" s="94" t="s">
        <v>98</v>
      </c>
      <c r="F43" s="416" t="s">
        <v>46</v>
      </c>
      <c r="G43" s="424"/>
    </row>
    <row r="44" spans="1:13" s="103" customFormat="1" ht="12.75" customHeight="1" x14ac:dyDescent="0.25">
      <c r="A44" s="98" t="s">
        <v>47</v>
      </c>
      <c r="B44" s="418" t="s">
        <v>75</v>
      </c>
      <c r="C44" s="430"/>
      <c r="D44" s="157"/>
      <c r="E44" s="157"/>
      <c r="F44" s="436">
        <f>SUM(F45:G48)</f>
        <v>909.92470000000003</v>
      </c>
      <c r="G44" s="424"/>
    </row>
    <row r="45" spans="1:13" ht="15" customHeight="1" x14ac:dyDescent="0.25">
      <c r="A45" s="34" t="s">
        <v>16</v>
      </c>
      <c r="B45" s="412"/>
      <c r="C45" s="428"/>
      <c r="D45" s="266"/>
      <c r="E45" s="266"/>
      <c r="F45" s="463"/>
      <c r="G45" s="463"/>
    </row>
    <row r="46" spans="1:13" ht="12.75" customHeight="1" x14ac:dyDescent="0.25">
      <c r="A46" s="34" t="s">
        <v>18</v>
      </c>
      <c r="B46" s="412"/>
      <c r="C46" s="428"/>
      <c r="D46" s="266"/>
      <c r="E46" s="266"/>
      <c r="F46" s="463"/>
      <c r="G46" s="463"/>
    </row>
    <row r="47" spans="1:13" ht="12.75" customHeight="1" x14ac:dyDescent="0.25">
      <c r="A47" s="34" t="s">
        <v>20</v>
      </c>
      <c r="B47" s="412"/>
      <c r="C47" s="428"/>
      <c r="D47" s="266"/>
      <c r="E47" s="266"/>
      <c r="F47" s="463"/>
      <c r="G47" s="463"/>
    </row>
    <row r="48" spans="1:13" ht="12.75" customHeight="1" x14ac:dyDescent="0.25">
      <c r="A48" s="34" t="s">
        <v>22</v>
      </c>
      <c r="B48" s="406" t="s">
        <v>108</v>
      </c>
      <c r="C48" s="431"/>
      <c r="D48" s="136"/>
      <c r="E48" s="136"/>
      <c r="F48" s="466">
        <f>E24*1%</f>
        <v>909.92470000000003</v>
      </c>
      <c r="G48" s="467"/>
    </row>
    <row r="49" spans="1:7" x14ac:dyDescent="0.25">
      <c r="B49" s="139"/>
      <c r="C49" s="139"/>
      <c r="D49" s="139"/>
      <c r="E49" s="139"/>
    </row>
    <row r="50" spans="1:7" s="59" customFormat="1" x14ac:dyDescent="0.25">
      <c r="A50" s="51" t="s">
        <v>372</v>
      </c>
      <c r="C50" s="59" t="s">
        <v>49</v>
      </c>
      <c r="F50" s="59" t="s">
        <v>60</v>
      </c>
    </row>
    <row r="51" spans="1:7" s="59" customFormat="1" ht="13.5" customHeight="1" x14ac:dyDescent="0.25">
      <c r="F51" s="111" t="s">
        <v>460</v>
      </c>
    </row>
    <row r="52" spans="1:7" s="59" customFormat="1" x14ac:dyDescent="0.25">
      <c r="A52" s="59" t="s">
        <v>50</v>
      </c>
    </row>
    <row r="53" spans="1:7" s="59" customFormat="1" x14ac:dyDescent="0.25">
      <c r="C53" s="113" t="s">
        <v>51</v>
      </c>
      <c r="E53" s="113"/>
      <c r="F53" s="113"/>
      <c r="G53" s="113"/>
    </row>
    <row r="54" spans="1:7" s="59" customFormat="1" x14ac:dyDescent="0.25"/>
    <row r="55" spans="1:7" s="59" customFormat="1" x14ac:dyDescent="0.25"/>
  </sheetData>
  <mergeCells count="25">
    <mergeCell ref="A1:I1"/>
    <mergeCell ref="A5:I5"/>
    <mergeCell ref="A10:I10"/>
    <mergeCell ref="A3:K3"/>
    <mergeCell ref="F45:G45"/>
    <mergeCell ref="B43:C43"/>
    <mergeCell ref="B44:C44"/>
    <mergeCell ref="A34:F34"/>
    <mergeCell ref="B45:C45"/>
    <mergeCell ref="A41:I41"/>
    <mergeCell ref="F46:G46"/>
    <mergeCell ref="F47:G47"/>
    <mergeCell ref="F48:G48"/>
    <mergeCell ref="B48:C48"/>
    <mergeCell ref="B46:C46"/>
    <mergeCell ref="B47:C47"/>
    <mergeCell ref="F44:G44"/>
    <mergeCell ref="F43:G43"/>
    <mergeCell ref="A2:K2"/>
    <mergeCell ref="A38:B38"/>
    <mergeCell ref="A39:B40"/>
    <mergeCell ref="A11:I11"/>
    <mergeCell ref="A35:C35"/>
    <mergeCell ref="A12:I12"/>
    <mergeCell ref="C33:F33"/>
  </mergeCells>
  <phoneticPr fontId="14" type="noConversion"/>
  <pageMargins left="0" right="0" top="0" bottom="0" header="0.31496062992125984" footer="0.31496062992125984"/>
  <pageSetup paperSize="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294425-9CC0-4525-8453-B56CD94070E6}">
  <sheetPr>
    <tabColor rgb="FF7030A0"/>
  </sheetPr>
  <dimension ref="A1:N57"/>
  <sheetViews>
    <sheetView topLeftCell="A38" zoomScaleNormal="100" workbookViewId="0">
      <selection activeCell="A59" sqref="A59:IV60"/>
    </sheetView>
  </sheetViews>
  <sheetFormatPr defaultRowHeight="15" outlineLevelRow="1" outlineLevelCol="1" x14ac:dyDescent="0.25"/>
  <cols>
    <col min="1" max="1" width="4.7109375" style="35" customWidth="1"/>
    <col min="2" max="2" width="44.42578125" style="35" customWidth="1"/>
    <col min="3" max="3" width="14.85546875" style="35" customWidth="1"/>
    <col min="4" max="4" width="12.85546875" style="35" customWidth="1"/>
    <col min="5" max="5" width="13.42578125" style="35" customWidth="1"/>
    <col min="6" max="6" width="13.140625" style="35" customWidth="1"/>
    <col min="7" max="7" width="13.7109375" style="35" customWidth="1"/>
    <col min="8" max="8" width="10.85546875" style="35" hidden="1" customWidth="1" outlineLevel="1"/>
    <col min="9" max="9" width="13.42578125" style="35" hidden="1" customWidth="1" outlineLevel="1"/>
    <col min="10" max="12" width="9.140625" style="35" hidden="1" customWidth="1" outlineLevel="1"/>
    <col min="13" max="13" width="10.85546875" style="35" bestFit="1" customWidth="1" collapsed="1"/>
    <col min="14" max="16384" width="9.140625" style="35"/>
  </cols>
  <sheetData>
    <row r="1" spans="1:11" x14ac:dyDescent="0.25">
      <c r="A1" s="397" t="s">
        <v>0</v>
      </c>
      <c r="B1" s="397"/>
      <c r="C1" s="397"/>
      <c r="D1" s="397"/>
      <c r="E1" s="397"/>
      <c r="F1" s="397"/>
      <c r="G1" s="397"/>
      <c r="H1" s="397"/>
      <c r="I1" s="397"/>
    </row>
    <row r="2" spans="1:11" ht="15" customHeight="1" x14ac:dyDescent="0.25">
      <c r="A2" s="370" t="s">
        <v>152</v>
      </c>
      <c r="B2" s="370"/>
      <c r="C2" s="370"/>
      <c r="D2" s="370"/>
      <c r="E2" s="370"/>
      <c r="F2" s="370"/>
      <c r="G2" s="370"/>
      <c r="H2" s="370"/>
      <c r="I2" s="370"/>
      <c r="J2" s="370"/>
      <c r="K2" s="370"/>
    </row>
    <row r="3" spans="1:11" ht="15" customHeight="1" x14ac:dyDescent="0.25">
      <c r="A3" s="370" t="s">
        <v>426</v>
      </c>
      <c r="B3" s="370"/>
      <c r="C3" s="370"/>
      <c r="D3" s="370"/>
      <c r="E3" s="370"/>
      <c r="F3" s="370"/>
      <c r="G3" s="370"/>
      <c r="H3" s="370"/>
      <c r="I3" s="370"/>
      <c r="J3" s="370"/>
      <c r="K3" s="370"/>
    </row>
    <row r="4" spans="1:11" ht="6.75" customHeight="1" x14ac:dyDescent="0.25">
      <c r="A4" s="142"/>
      <c r="B4" s="142"/>
      <c r="C4" s="142"/>
      <c r="D4" s="142"/>
      <c r="E4" s="142"/>
      <c r="F4" s="142"/>
      <c r="G4" s="142"/>
      <c r="H4" s="142"/>
      <c r="I4" s="142"/>
    </row>
    <row r="5" spans="1:11" ht="14.25" customHeight="1" x14ac:dyDescent="0.25">
      <c r="A5" s="398" t="s">
        <v>1</v>
      </c>
      <c r="B5" s="397"/>
      <c r="C5" s="397"/>
      <c r="D5" s="397"/>
      <c r="E5" s="397"/>
      <c r="F5" s="397"/>
      <c r="G5" s="397"/>
      <c r="H5" s="397"/>
      <c r="I5" s="397"/>
    </row>
    <row r="7" spans="1:11" s="59" customFormat="1" ht="16.5" customHeight="1" x14ac:dyDescent="0.25">
      <c r="A7" s="59" t="s">
        <v>2</v>
      </c>
      <c r="F7" s="111" t="s">
        <v>178</v>
      </c>
    </row>
    <row r="8" spans="1:11" s="59" customFormat="1" x14ac:dyDescent="0.25">
      <c r="A8" s="59" t="s">
        <v>3</v>
      </c>
      <c r="F8" s="239" t="s">
        <v>179</v>
      </c>
      <c r="I8" s="180">
        <v>100.4</v>
      </c>
      <c r="J8" s="180">
        <v>2555.5</v>
      </c>
    </row>
    <row r="9" spans="1:11" s="59" customFormat="1" ht="17.25" customHeight="1" x14ac:dyDescent="0.25">
      <c r="B9" s="51" t="s">
        <v>244</v>
      </c>
      <c r="C9" s="115"/>
      <c r="D9" s="51"/>
      <c r="E9" s="285"/>
      <c r="F9" s="285" t="s">
        <v>251</v>
      </c>
      <c r="G9" s="297"/>
    </row>
    <row r="10" spans="1:11" s="59" customFormat="1" x14ac:dyDescent="0.25">
      <c r="A10" s="372" t="s">
        <v>8</v>
      </c>
      <c r="B10" s="372"/>
      <c r="C10" s="372"/>
      <c r="D10" s="372"/>
      <c r="E10" s="372"/>
      <c r="F10" s="372"/>
      <c r="G10" s="372"/>
      <c r="H10" s="372"/>
      <c r="I10" s="372"/>
    </row>
    <row r="11" spans="1:11" s="59" customFormat="1" x14ac:dyDescent="0.25">
      <c r="A11" s="372" t="s">
        <v>9</v>
      </c>
      <c r="B11" s="372"/>
      <c r="C11" s="372"/>
      <c r="D11" s="372"/>
      <c r="E11" s="372"/>
      <c r="F11" s="372"/>
      <c r="G11" s="372"/>
      <c r="H11" s="372"/>
      <c r="I11" s="372"/>
    </row>
    <row r="12" spans="1:11" s="59" customFormat="1" x14ac:dyDescent="0.25">
      <c r="A12" s="372" t="s">
        <v>10</v>
      </c>
      <c r="B12" s="372"/>
      <c r="C12" s="372"/>
      <c r="D12" s="372"/>
      <c r="E12" s="372"/>
      <c r="F12" s="372"/>
      <c r="G12" s="372"/>
      <c r="H12" s="372"/>
      <c r="I12" s="372"/>
    </row>
    <row r="13" spans="1:11" s="59" customFormat="1" ht="6" customHeight="1" thickBot="1" x14ac:dyDescent="0.3">
      <c r="A13" s="60"/>
      <c r="B13" s="60"/>
      <c r="C13" s="60"/>
      <c r="D13" s="38"/>
      <c r="E13" s="58"/>
      <c r="F13" s="58"/>
      <c r="G13" s="58"/>
      <c r="H13" s="54"/>
      <c r="I13" s="54"/>
    </row>
    <row r="14" spans="1:11" s="59" customFormat="1" ht="15.75" thickBot="1" x14ac:dyDescent="0.3">
      <c r="A14" s="55" t="s">
        <v>381</v>
      </c>
      <c r="B14" s="56"/>
      <c r="C14" s="56"/>
      <c r="D14" s="61"/>
      <c r="E14" s="62"/>
      <c r="F14" s="62"/>
      <c r="G14" s="129">
        <f>'[1]Огарева 40 корп.1'!$G$38</f>
        <v>1928.6762999999919</v>
      </c>
      <c r="H14" s="54"/>
      <c r="I14" s="54"/>
    </row>
    <row r="15" spans="1:11" s="59" customFormat="1" ht="8.25" customHeight="1" x14ac:dyDescent="0.25"/>
    <row r="16" spans="1:11" s="66" customFormat="1" ht="38.25" x14ac:dyDescent="0.25">
      <c r="A16" s="64" t="s">
        <v>11</v>
      </c>
      <c r="B16" s="64" t="s">
        <v>12</v>
      </c>
      <c r="C16" s="64" t="s">
        <v>61</v>
      </c>
      <c r="D16" s="64" t="s">
        <v>432</v>
      </c>
      <c r="E16" s="64" t="s">
        <v>433</v>
      </c>
      <c r="F16" s="65" t="s">
        <v>434</v>
      </c>
      <c r="G16" s="64" t="s">
        <v>435</v>
      </c>
    </row>
    <row r="17" spans="1:14" s="152" customFormat="1" ht="14.25" x14ac:dyDescent="0.2">
      <c r="A17" s="67" t="s">
        <v>14</v>
      </c>
      <c r="B17" s="39" t="s">
        <v>379</v>
      </c>
      <c r="C17" s="120">
        <v>20.32</v>
      </c>
      <c r="D17" s="68">
        <v>623133.6</v>
      </c>
      <c r="E17" s="68">
        <v>602568.53</v>
      </c>
      <c r="F17" s="68">
        <f>D17</f>
        <v>623133.6</v>
      </c>
      <c r="G17" s="69">
        <f>D17-E17</f>
        <v>20565.069999999949</v>
      </c>
      <c r="H17" s="151">
        <f>C17</f>
        <v>20.32</v>
      </c>
      <c r="N17" s="151"/>
    </row>
    <row r="18" spans="1:14" s="59" customFormat="1" hidden="1" outlineLevel="1" x14ac:dyDescent="0.25">
      <c r="A18" s="73" t="s">
        <v>16</v>
      </c>
      <c r="B18" s="34" t="s">
        <v>17</v>
      </c>
      <c r="C18" s="89">
        <v>3.46</v>
      </c>
      <c r="D18" s="75">
        <f>D17*I18</f>
        <v>106104.44173228346</v>
      </c>
      <c r="E18" s="75">
        <f>E17*I18</f>
        <v>102602.71229330709</v>
      </c>
      <c r="F18" s="75">
        <f>D18</f>
        <v>106104.44173228346</v>
      </c>
      <c r="G18" s="76">
        <f>D18-E18</f>
        <v>3501.7294389763701</v>
      </c>
      <c r="H18" s="130">
        <f>C18</f>
        <v>3.46</v>
      </c>
      <c r="I18" s="59">
        <f>H18/H17</f>
        <v>0.17027559055118111</v>
      </c>
    </row>
    <row r="19" spans="1:14" s="59" customFormat="1" hidden="1" outlineLevel="1" x14ac:dyDescent="0.25">
      <c r="A19" s="73" t="s">
        <v>18</v>
      </c>
      <c r="B19" s="34" t="s">
        <v>19</v>
      </c>
      <c r="C19" s="89">
        <v>1.69</v>
      </c>
      <c r="D19" s="75">
        <f>D17*I19</f>
        <v>51825.579921259836</v>
      </c>
      <c r="E19" s="75">
        <f>E17*I19</f>
        <v>50115.19762303149</v>
      </c>
      <c r="F19" s="75">
        <f>D19</f>
        <v>51825.579921259836</v>
      </c>
      <c r="G19" s="76">
        <f>D19-E19</f>
        <v>1710.3822982283455</v>
      </c>
      <c r="H19" s="130">
        <f>C19</f>
        <v>1.69</v>
      </c>
      <c r="I19" s="59">
        <f>H19/H17</f>
        <v>8.3169291338582668E-2</v>
      </c>
    </row>
    <row r="20" spans="1:14" s="59" customFormat="1" hidden="1" outlineLevel="1" x14ac:dyDescent="0.25">
      <c r="A20" s="73" t="s">
        <v>20</v>
      </c>
      <c r="B20" s="34" t="s">
        <v>21</v>
      </c>
      <c r="C20" s="89">
        <v>2.15</v>
      </c>
      <c r="D20" s="75">
        <f>D17*I20</f>
        <v>65931.950787401569</v>
      </c>
      <c r="E20" s="75">
        <f>E17*I20</f>
        <v>63756.020644685035</v>
      </c>
      <c r="F20" s="75">
        <f>D20</f>
        <v>65931.950787401569</v>
      </c>
      <c r="G20" s="76">
        <f>D20-E20</f>
        <v>2175.9301427165337</v>
      </c>
      <c r="H20" s="130">
        <f>C20</f>
        <v>2.15</v>
      </c>
      <c r="I20" s="59">
        <f>H20/H17</f>
        <v>0.10580708661417322</v>
      </c>
    </row>
    <row r="21" spans="1:14" s="59" customFormat="1" hidden="1" outlineLevel="1" x14ac:dyDescent="0.25">
      <c r="A21" s="73" t="s">
        <v>22</v>
      </c>
      <c r="B21" s="34" t="s">
        <v>23</v>
      </c>
      <c r="C21" s="89">
        <v>3.04</v>
      </c>
      <c r="D21" s="75">
        <f>D17*I21</f>
        <v>93224.711811023619</v>
      </c>
      <c r="E21" s="75">
        <f>E17*I21</f>
        <v>90148.047795275605</v>
      </c>
      <c r="F21" s="75">
        <f>D21</f>
        <v>93224.711811023619</v>
      </c>
      <c r="G21" s="76">
        <f>D21-E21</f>
        <v>3076.6640157480142</v>
      </c>
      <c r="H21" s="130">
        <f>C21</f>
        <v>3.04</v>
      </c>
      <c r="I21" s="59">
        <f>H21/H17</f>
        <v>0.14960629921259844</v>
      </c>
    </row>
    <row r="22" spans="1:14" s="37" customFormat="1" ht="14.25" collapsed="1" x14ac:dyDescent="0.2">
      <c r="A22" s="39" t="s">
        <v>25</v>
      </c>
      <c r="B22" s="78" t="s">
        <v>145</v>
      </c>
      <c r="C22" s="46">
        <v>120</v>
      </c>
      <c r="D22" s="69">
        <v>0</v>
      </c>
      <c r="E22" s="69">
        <v>155.32</v>
      </c>
      <c r="F22" s="68">
        <f t="shared" ref="F22:F32" si="0">D22</f>
        <v>0</v>
      </c>
      <c r="G22" s="69">
        <f t="shared" ref="G22:G32" si="1">D22-E22</f>
        <v>-155.32</v>
      </c>
      <c r="H22" s="37">
        <f>38*130</f>
        <v>4940</v>
      </c>
      <c r="I22" s="37">
        <f>D22/H22</f>
        <v>0</v>
      </c>
    </row>
    <row r="23" spans="1:14" s="37" customFormat="1" ht="14.25" x14ac:dyDescent="0.2">
      <c r="A23" s="39" t="s">
        <v>27</v>
      </c>
      <c r="B23" s="125" t="s">
        <v>26</v>
      </c>
      <c r="C23" s="87">
        <v>4.3600000000000003</v>
      </c>
      <c r="D23" s="69">
        <v>133356.71</v>
      </c>
      <c r="E23" s="69">
        <v>129584.1</v>
      </c>
      <c r="F23" s="68">
        <f>D23</f>
        <v>133356.71</v>
      </c>
      <c r="G23" s="69">
        <f t="shared" si="1"/>
        <v>3772.609999999986</v>
      </c>
    </row>
    <row r="24" spans="1:14" s="37" customFormat="1" ht="14.25" x14ac:dyDescent="0.2">
      <c r="A24" s="39" t="s">
        <v>29</v>
      </c>
      <c r="B24" s="125" t="s">
        <v>97</v>
      </c>
      <c r="C24" s="357">
        <v>0</v>
      </c>
      <c r="D24" s="69">
        <v>0</v>
      </c>
      <c r="E24" s="69">
        <v>0</v>
      </c>
      <c r="F24" s="68">
        <f t="shared" si="0"/>
        <v>0</v>
      </c>
      <c r="G24" s="69">
        <f t="shared" si="1"/>
        <v>0</v>
      </c>
    </row>
    <row r="25" spans="1:14" s="37" customFormat="1" ht="14.25" x14ac:dyDescent="0.2">
      <c r="A25" s="39" t="s">
        <v>31</v>
      </c>
      <c r="B25" s="125" t="s">
        <v>80</v>
      </c>
      <c r="C25" s="87">
        <v>2.0099999999999998</v>
      </c>
      <c r="D25" s="69">
        <f>61638.84+D26</f>
        <v>64060.49</v>
      </c>
      <c r="E25" s="69">
        <f>59934.2+E26</f>
        <v>62355.85</v>
      </c>
      <c r="F25" s="68">
        <f>F45</f>
        <v>27008.998500000002</v>
      </c>
      <c r="G25" s="69">
        <f>D25-E25</f>
        <v>1704.6399999999994</v>
      </c>
      <c r="M25" s="165"/>
    </row>
    <row r="26" spans="1:14" s="37" customFormat="1" ht="14.25" x14ac:dyDescent="0.2">
      <c r="A26" s="39"/>
      <c r="B26" s="292" t="s">
        <v>244</v>
      </c>
      <c r="C26" s="293"/>
      <c r="D26" s="294">
        <v>2421.65</v>
      </c>
      <c r="E26" s="294">
        <v>2421.65</v>
      </c>
      <c r="F26" s="294"/>
      <c r="G26" s="248">
        <f>D26-E26</f>
        <v>0</v>
      </c>
      <c r="M26" s="165"/>
    </row>
    <row r="27" spans="1:14" s="37" customFormat="1" ht="14.25" x14ac:dyDescent="0.2">
      <c r="A27" s="39" t="s">
        <v>33</v>
      </c>
      <c r="B27" s="119" t="s">
        <v>34</v>
      </c>
      <c r="C27" s="43">
        <v>0</v>
      </c>
      <c r="D27" s="69">
        <v>0</v>
      </c>
      <c r="E27" s="69">
        <v>0</v>
      </c>
      <c r="F27" s="68">
        <f>D27</f>
        <v>0</v>
      </c>
      <c r="G27" s="69">
        <f t="shared" si="1"/>
        <v>0</v>
      </c>
    </row>
    <row r="28" spans="1:14" s="37" customFormat="1" ht="14.25" x14ac:dyDescent="0.2">
      <c r="A28" s="39" t="s">
        <v>35</v>
      </c>
      <c r="B28" s="119" t="s">
        <v>36</v>
      </c>
      <c r="C28" s="87"/>
      <c r="D28" s="69">
        <f>SUM(D29:D32)</f>
        <v>1749805.69</v>
      </c>
      <c r="E28" s="69">
        <f>SUM(E29:E32)</f>
        <v>1673952.7799999998</v>
      </c>
      <c r="F28" s="68">
        <f t="shared" si="0"/>
        <v>1749805.69</v>
      </c>
      <c r="G28" s="69">
        <f t="shared" si="1"/>
        <v>75852.910000000149</v>
      </c>
    </row>
    <row r="29" spans="1:14" x14ac:dyDescent="0.25">
      <c r="A29" s="34" t="s">
        <v>37</v>
      </c>
      <c r="B29" s="34" t="s">
        <v>101</v>
      </c>
      <c r="C29" s="89">
        <v>7.36</v>
      </c>
      <c r="D29" s="76">
        <v>116297.4</v>
      </c>
      <c r="E29" s="76">
        <v>112890.29</v>
      </c>
      <c r="F29" s="75">
        <f>D29</f>
        <v>116297.4</v>
      </c>
      <c r="G29" s="76">
        <f t="shared" si="1"/>
        <v>3407.1100000000006</v>
      </c>
    </row>
    <row r="30" spans="1:14" x14ac:dyDescent="0.25">
      <c r="A30" s="34" t="s">
        <v>39</v>
      </c>
      <c r="B30" s="34" t="s">
        <v>84</v>
      </c>
      <c r="C30" s="89">
        <v>88.38</v>
      </c>
      <c r="D30" s="76">
        <v>295105.19</v>
      </c>
      <c r="E30" s="76">
        <v>273565.09999999998</v>
      </c>
      <c r="F30" s="75">
        <f t="shared" si="0"/>
        <v>295105.19</v>
      </c>
      <c r="G30" s="76">
        <f t="shared" si="1"/>
        <v>21540.090000000026</v>
      </c>
    </row>
    <row r="31" spans="1:14" x14ac:dyDescent="0.25">
      <c r="A31" s="34" t="s">
        <v>42</v>
      </c>
      <c r="B31" s="34" t="s">
        <v>135</v>
      </c>
      <c r="C31" s="128">
        <v>278.94</v>
      </c>
      <c r="D31" s="76">
        <v>316472.84999999998</v>
      </c>
      <c r="E31" s="76">
        <v>291935.46999999997</v>
      </c>
      <c r="F31" s="75">
        <f t="shared" si="0"/>
        <v>316472.84999999998</v>
      </c>
      <c r="G31" s="76">
        <f t="shared" si="1"/>
        <v>24537.380000000005</v>
      </c>
    </row>
    <row r="32" spans="1:14" x14ac:dyDescent="0.25">
      <c r="A32" s="34" t="s">
        <v>41</v>
      </c>
      <c r="B32" s="34" t="s">
        <v>43</v>
      </c>
      <c r="C32" s="89">
        <v>3352.42</v>
      </c>
      <c r="D32" s="76">
        <v>1021930.25</v>
      </c>
      <c r="E32" s="76">
        <v>995561.92</v>
      </c>
      <c r="F32" s="75">
        <f t="shared" si="0"/>
        <v>1021930.25</v>
      </c>
      <c r="G32" s="76">
        <f t="shared" si="1"/>
        <v>26368.329999999958</v>
      </c>
    </row>
    <row r="33" spans="1:13" hidden="1" outlineLevel="1" x14ac:dyDescent="0.25">
      <c r="A33" s="240" t="s">
        <v>130</v>
      </c>
      <c r="B33" s="257" t="s">
        <v>131</v>
      </c>
      <c r="C33" s="235"/>
      <c r="D33" s="248">
        <f>1000+1800</f>
        <v>2800</v>
      </c>
      <c r="E33" s="248">
        <v>1800</v>
      </c>
      <c r="F33" s="296">
        <v>0</v>
      </c>
      <c r="G33" s="248">
        <f>D33-E33</f>
        <v>1000</v>
      </c>
    </row>
    <row r="34" spans="1:13" hidden="1" outlineLevel="1" x14ac:dyDescent="0.25">
      <c r="A34" s="174"/>
      <c r="B34" s="295"/>
      <c r="C34" s="376" t="s">
        <v>246</v>
      </c>
      <c r="D34" s="377"/>
      <c r="E34" s="377"/>
      <c r="F34" s="377"/>
      <c r="G34" s="82">
        <f>E33-(E33*15%)</f>
        <v>1530</v>
      </c>
    </row>
    <row r="35" spans="1:13" s="92" customFormat="1" ht="21" customHeight="1" collapsed="1" thickBot="1" x14ac:dyDescent="0.3">
      <c r="A35" s="373"/>
      <c r="B35" s="374"/>
      <c r="C35" s="374"/>
      <c r="D35" s="375"/>
      <c r="E35" s="375"/>
      <c r="F35" s="375"/>
      <c r="G35" s="91"/>
      <c r="H35" s="91"/>
      <c r="I35" s="91"/>
      <c r="J35" s="91"/>
    </row>
    <row r="36" spans="1:13" s="59" customFormat="1" ht="15.75" thickBot="1" x14ac:dyDescent="0.3">
      <c r="A36" s="387" t="s">
        <v>427</v>
      </c>
      <c r="B36" s="388"/>
      <c r="C36" s="388"/>
      <c r="D36" s="57">
        <v>101739.91</v>
      </c>
      <c r="E36" s="58"/>
      <c r="F36" s="58"/>
      <c r="G36" s="58"/>
      <c r="H36" s="54"/>
      <c r="I36" s="54"/>
    </row>
    <row r="37" spans="1:13" s="59" customFormat="1" ht="6" customHeight="1" thickBot="1" x14ac:dyDescent="0.3">
      <c r="A37" s="60"/>
      <c r="B37" s="60"/>
      <c r="C37" s="60"/>
      <c r="D37" s="38"/>
      <c r="E37" s="58"/>
      <c r="F37" s="58"/>
      <c r="G37" s="58"/>
      <c r="H37" s="54"/>
      <c r="I37" s="54"/>
    </row>
    <row r="38" spans="1:13" s="59" customFormat="1" ht="15.75" thickBot="1" x14ac:dyDescent="0.3">
      <c r="A38" s="55" t="s">
        <v>428</v>
      </c>
      <c r="B38" s="56"/>
      <c r="C38" s="56"/>
      <c r="D38" s="61"/>
      <c r="E38" s="62"/>
      <c r="F38" s="62"/>
      <c r="G38" s="129">
        <f>G14+E25-F25</f>
        <v>37275.527799999989</v>
      </c>
      <c r="H38" s="54"/>
      <c r="I38" s="54"/>
      <c r="M38" s="130"/>
    </row>
    <row r="39" spans="1:13" s="59" customFormat="1" x14ac:dyDescent="0.25">
      <c r="A39" s="392" t="s">
        <v>90</v>
      </c>
      <c r="B39" s="392"/>
      <c r="C39" s="60"/>
      <c r="D39" s="38"/>
      <c r="E39" s="58"/>
      <c r="F39" s="58"/>
      <c r="G39" s="38"/>
      <c r="H39" s="54"/>
      <c r="I39" s="54"/>
      <c r="M39" s="130"/>
    </row>
    <row r="40" spans="1:13" s="59" customFormat="1" x14ac:dyDescent="0.25">
      <c r="A40" s="393" t="s">
        <v>91</v>
      </c>
      <c r="B40" s="394"/>
      <c r="C40" s="41" t="s">
        <v>92</v>
      </c>
      <c r="D40" s="41" t="s">
        <v>93</v>
      </c>
      <c r="E40" s="42" t="s">
        <v>94</v>
      </c>
      <c r="F40" s="40" t="s">
        <v>95</v>
      </c>
      <c r="G40" s="42" t="s">
        <v>96</v>
      </c>
      <c r="H40" s="54"/>
      <c r="I40" s="54"/>
      <c r="M40" s="130"/>
    </row>
    <row r="41" spans="1:13" s="59" customFormat="1" x14ac:dyDescent="0.25">
      <c r="A41" s="395"/>
      <c r="B41" s="396"/>
      <c r="C41" s="358">
        <v>100.4</v>
      </c>
      <c r="D41" s="138">
        <f>E41/C41/12</f>
        <v>26.689940239043825</v>
      </c>
      <c r="E41" s="358">
        <v>32156.04</v>
      </c>
      <c r="F41" s="359">
        <v>32156.04</v>
      </c>
      <c r="G41" s="138">
        <f>E41-F41</f>
        <v>0</v>
      </c>
      <c r="H41" s="335">
        <f>C17+C25+C23</f>
        <v>26.689999999999998</v>
      </c>
      <c r="I41" s="54">
        <f>H41*C41*3</f>
        <v>8039.0280000000002</v>
      </c>
    </row>
    <row r="42" spans="1:13" ht="27" customHeight="1" x14ac:dyDescent="0.25">
      <c r="A42" s="371" t="s">
        <v>44</v>
      </c>
      <c r="B42" s="371"/>
      <c r="C42" s="371"/>
      <c r="D42" s="371"/>
      <c r="E42" s="371"/>
      <c r="F42" s="371"/>
      <c r="G42" s="371"/>
      <c r="H42" s="371"/>
      <c r="I42" s="371"/>
    </row>
    <row r="43" spans="1:13" ht="4.5" customHeight="1" x14ac:dyDescent="0.25"/>
    <row r="44" spans="1:13" s="156" customFormat="1" ht="28.5" customHeight="1" x14ac:dyDescent="0.25">
      <c r="A44" s="94" t="s">
        <v>11</v>
      </c>
      <c r="B44" s="416" t="s">
        <v>45</v>
      </c>
      <c r="C44" s="425"/>
      <c r="D44" s="94" t="s">
        <v>99</v>
      </c>
      <c r="E44" s="94" t="s">
        <v>98</v>
      </c>
      <c r="F44" s="416" t="s">
        <v>46</v>
      </c>
      <c r="G44" s="424"/>
    </row>
    <row r="45" spans="1:13" s="103" customFormat="1" ht="12.75" customHeight="1" x14ac:dyDescent="0.25">
      <c r="A45" s="98" t="s">
        <v>47</v>
      </c>
      <c r="B45" s="418" t="s">
        <v>75</v>
      </c>
      <c r="C45" s="430"/>
      <c r="D45" s="99"/>
      <c r="E45" s="99"/>
      <c r="F45" s="436">
        <f>SUM(F46:G50)</f>
        <v>27008.998500000002</v>
      </c>
      <c r="G45" s="424"/>
    </row>
    <row r="46" spans="1:13" ht="12.75" customHeight="1" x14ac:dyDescent="0.25">
      <c r="A46" s="34" t="s">
        <v>16</v>
      </c>
      <c r="B46" s="406" t="s">
        <v>461</v>
      </c>
      <c r="C46" s="431"/>
      <c r="D46" s="105" t="s">
        <v>137</v>
      </c>
      <c r="E46" s="107">
        <v>0.09</v>
      </c>
      <c r="F46" s="466">
        <v>9176.5400000000009</v>
      </c>
      <c r="G46" s="467"/>
    </row>
    <row r="47" spans="1:13" ht="12.75" customHeight="1" x14ac:dyDescent="0.25">
      <c r="A47" s="34" t="s">
        <v>18</v>
      </c>
      <c r="B47" s="406" t="s">
        <v>462</v>
      </c>
      <c r="C47" s="431"/>
      <c r="D47" s="105" t="s">
        <v>137</v>
      </c>
      <c r="E47" s="107">
        <v>2.5000000000000001E-2</v>
      </c>
      <c r="F47" s="466">
        <v>4961.9799999999996</v>
      </c>
      <c r="G47" s="467"/>
    </row>
    <row r="48" spans="1:13" ht="12.75" customHeight="1" x14ac:dyDescent="0.25">
      <c r="A48" s="34" t="s">
        <v>20</v>
      </c>
      <c r="B48" s="406" t="s">
        <v>463</v>
      </c>
      <c r="C48" s="431"/>
      <c r="D48" s="105" t="s">
        <v>100</v>
      </c>
      <c r="E48" s="105">
        <v>1</v>
      </c>
      <c r="F48" s="466">
        <v>12246.92</v>
      </c>
      <c r="G48" s="467"/>
    </row>
    <row r="49" spans="1:7" ht="12.75" customHeight="1" x14ac:dyDescent="0.25">
      <c r="A49" s="34" t="s">
        <v>22</v>
      </c>
      <c r="B49" s="412"/>
      <c r="C49" s="428"/>
      <c r="D49" s="258"/>
      <c r="E49" s="258"/>
      <c r="F49" s="468"/>
      <c r="G49" s="469"/>
    </row>
    <row r="50" spans="1:7" ht="12.75" customHeight="1" x14ac:dyDescent="0.25">
      <c r="A50" s="34" t="s">
        <v>24</v>
      </c>
      <c r="B50" s="458" t="s">
        <v>108</v>
      </c>
      <c r="C50" s="459"/>
      <c r="D50" s="109"/>
      <c r="E50" s="109"/>
      <c r="F50" s="466">
        <f>E25*1%</f>
        <v>623.55849999999998</v>
      </c>
      <c r="G50" s="467"/>
    </row>
    <row r="51" spans="1:7" ht="12.75" customHeight="1" x14ac:dyDescent="0.25">
      <c r="A51" s="153"/>
      <c r="B51" s="84"/>
      <c r="C51" s="84"/>
      <c r="D51" s="85"/>
      <c r="E51" s="85"/>
      <c r="F51" s="164"/>
      <c r="G51" s="164"/>
    </row>
    <row r="52" spans="1:7" s="59" customFormat="1" x14ac:dyDescent="0.25">
      <c r="A52" s="51" t="s">
        <v>372</v>
      </c>
      <c r="C52" s="59" t="s">
        <v>49</v>
      </c>
      <c r="F52" s="59" t="s">
        <v>60</v>
      </c>
    </row>
    <row r="53" spans="1:7" s="59" customFormat="1" ht="13.5" customHeight="1" x14ac:dyDescent="0.25">
      <c r="F53" s="111" t="s">
        <v>438</v>
      </c>
    </row>
    <row r="54" spans="1:7" s="59" customFormat="1" x14ac:dyDescent="0.25">
      <c r="A54" s="59" t="s">
        <v>50</v>
      </c>
    </row>
    <row r="55" spans="1:7" s="59" customFormat="1" x14ac:dyDescent="0.25">
      <c r="C55" s="113" t="s">
        <v>51</v>
      </c>
      <c r="E55" s="113"/>
      <c r="F55" s="113"/>
      <c r="G55" s="113"/>
    </row>
    <row r="56" spans="1:7" s="59" customFormat="1" x14ac:dyDescent="0.25"/>
    <row r="57" spans="1:7" s="59" customFormat="1" x14ac:dyDescent="0.25"/>
  </sheetData>
  <mergeCells count="27">
    <mergeCell ref="A1:I1"/>
    <mergeCell ref="A5:I5"/>
    <mergeCell ref="A10:I10"/>
    <mergeCell ref="A3:K3"/>
    <mergeCell ref="A2:K2"/>
    <mergeCell ref="A35:F35"/>
    <mergeCell ref="A11:I11"/>
    <mergeCell ref="A12:I12"/>
    <mergeCell ref="B45:C45"/>
    <mergeCell ref="A39:B39"/>
    <mergeCell ref="B46:C46"/>
    <mergeCell ref="A36:C36"/>
    <mergeCell ref="C34:F34"/>
    <mergeCell ref="A40:B41"/>
    <mergeCell ref="B44:C44"/>
    <mergeCell ref="F44:G44"/>
    <mergeCell ref="A42:I42"/>
    <mergeCell ref="F50:G50"/>
    <mergeCell ref="B50:C50"/>
    <mergeCell ref="F47:G47"/>
    <mergeCell ref="B47:C47"/>
    <mergeCell ref="F45:G45"/>
    <mergeCell ref="F48:G48"/>
    <mergeCell ref="F46:G46"/>
    <mergeCell ref="B49:C49"/>
    <mergeCell ref="F49:G49"/>
    <mergeCell ref="B48:C48"/>
  </mergeCells>
  <phoneticPr fontId="14" type="noConversion"/>
  <pageMargins left="0" right="0" top="0" bottom="0" header="0.31496062992125984" footer="0.31496062992125984"/>
  <pageSetup paperSize="9" scale="95" orientation="portrait" verticalDpi="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DCC99F-F472-4CB4-8AAC-B83AEC67FACA}">
  <sheetPr>
    <tabColor rgb="FF7030A0"/>
  </sheetPr>
  <dimension ref="A1:M54"/>
  <sheetViews>
    <sheetView topLeftCell="A31" zoomScaleNormal="100" workbookViewId="0">
      <selection activeCell="A56" sqref="A56:IV57"/>
    </sheetView>
  </sheetViews>
  <sheetFormatPr defaultRowHeight="15" outlineLevelRow="1" outlineLevelCol="1" x14ac:dyDescent="0.25"/>
  <cols>
    <col min="1" max="1" width="4.7109375" style="35" customWidth="1"/>
    <col min="2" max="2" width="41.42578125" style="35" customWidth="1"/>
    <col min="3" max="3" width="13.28515625" style="35" customWidth="1"/>
    <col min="4" max="4" width="13.5703125" style="35" customWidth="1"/>
    <col min="5" max="5" width="13.140625" style="35" customWidth="1"/>
    <col min="6" max="6" width="12.85546875" style="35" customWidth="1"/>
    <col min="7" max="7" width="13.28515625" style="35" customWidth="1"/>
    <col min="8" max="8" width="10.85546875" style="35" hidden="1" customWidth="1" outlineLevel="1"/>
    <col min="9" max="9" width="14.42578125" style="35" hidden="1" customWidth="1" outlineLevel="1"/>
    <col min="10" max="11" width="9.140625" style="35" hidden="1" customWidth="1" outlineLevel="1"/>
    <col min="12" max="12" width="9.140625" style="35" hidden="1" customWidth="1" outlineLevel="1" collapsed="1"/>
    <col min="13" max="13" width="10.140625" style="35" bestFit="1" customWidth="1" collapsed="1"/>
    <col min="14" max="16384" width="9.140625" style="35"/>
  </cols>
  <sheetData>
    <row r="1" spans="1:11" x14ac:dyDescent="0.25">
      <c r="A1" s="397" t="s">
        <v>0</v>
      </c>
      <c r="B1" s="397"/>
      <c r="C1" s="397"/>
      <c r="D1" s="397"/>
      <c r="E1" s="397"/>
      <c r="F1" s="397"/>
      <c r="G1" s="397"/>
      <c r="H1" s="397"/>
      <c r="I1" s="397"/>
    </row>
    <row r="2" spans="1:11" ht="15" customHeight="1" x14ac:dyDescent="0.25">
      <c r="A2" s="370" t="s">
        <v>152</v>
      </c>
      <c r="B2" s="370"/>
      <c r="C2" s="370"/>
      <c r="D2" s="370"/>
      <c r="E2" s="370"/>
      <c r="F2" s="370"/>
      <c r="G2" s="370"/>
      <c r="H2" s="370"/>
      <c r="I2" s="370"/>
      <c r="J2" s="370"/>
      <c r="K2" s="370"/>
    </row>
    <row r="3" spans="1:11" ht="15" customHeight="1" x14ac:dyDescent="0.25">
      <c r="A3" s="370" t="s">
        <v>426</v>
      </c>
      <c r="B3" s="370"/>
      <c r="C3" s="370"/>
      <c r="D3" s="370"/>
      <c r="E3" s="370"/>
      <c r="F3" s="370"/>
      <c r="G3" s="370"/>
      <c r="H3" s="370"/>
      <c r="I3" s="370"/>
      <c r="J3" s="370"/>
      <c r="K3" s="370"/>
    </row>
    <row r="4" spans="1:11" ht="7.5" customHeight="1" x14ac:dyDescent="0.25">
      <c r="A4" s="142"/>
      <c r="B4" s="142"/>
      <c r="C4" s="142"/>
      <c r="D4" s="142"/>
      <c r="E4" s="142"/>
      <c r="F4" s="142"/>
      <c r="G4" s="142"/>
      <c r="H4" s="142"/>
      <c r="I4" s="142"/>
    </row>
    <row r="5" spans="1:11" ht="15.75" customHeight="1" x14ac:dyDescent="0.25">
      <c r="A5" s="398" t="s">
        <v>1</v>
      </c>
      <c r="B5" s="397"/>
      <c r="C5" s="397"/>
      <c r="D5" s="397"/>
      <c r="E5" s="397"/>
      <c r="F5" s="397"/>
      <c r="G5" s="397"/>
      <c r="H5" s="397"/>
      <c r="I5" s="397"/>
    </row>
    <row r="6" spans="1:11" ht="3.75" customHeight="1" x14ac:dyDescent="0.25"/>
    <row r="7" spans="1:11" s="59" customFormat="1" ht="16.5" customHeight="1" x14ac:dyDescent="0.25">
      <c r="A7" s="59" t="s">
        <v>2</v>
      </c>
      <c r="F7" s="111" t="s">
        <v>180</v>
      </c>
    </row>
    <row r="8" spans="1:11" s="59" customFormat="1" x14ac:dyDescent="0.25">
      <c r="A8" s="59" t="s">
        <v>3</v>
      </c>
      <c r="F8" s="239" t="s">
        <v>181</v>
      </c>
    </row>
    <row r="9" spans="1:11" s="59" customFormat="1" ht="18" customHeight="1" x14ac:dyDescent="0.25"/>
    <row r="10" spans="1:11" s="59" customFormat="1" ht="11.25" customHeight="1" x14ac:dyDescent="0.25">
      <c r="A10" s="372" t="s">
        <v>8</v>
      </c>
      <c r="B10" s="372"/>
      <c r="C10" s="372"/>
      <c r="D10" s="372"/>
      <c r="E10" s="372"/>
      <c r="F10" s="372"/>
      <c r="G10" s="372"/>
      <c r="H10" s="372"/>
      <c r="I10" s="372"/>
    </row>
    <row r="11" spans="1:11" s="59" customFormat="1" ht="13.5" customHeight="1" x14ac:dyDescent="0.25">
      <c r="A11" s="372" t="s">
        <v>9</v>
      </c>
      <c r="B11" s="372"/>
      <c r="C11" s="372"/>
      <c r="D11" s="372"/>
      <c r="E11" s="372"/>
      <c r="F11" s="372"/>
      <c r="G11" s="372"/>
      <c r="H11" s="372"/>
      <c r="I11" s="372"/>
    </row>
    <row r="12" spans="1:11" s="59" customFormat="1" ht="12.75" customHeight="1" thickBot="1" x14ac:dyDescent="0.3">
      <c r="A12" s="372" t="s">
        <v>10</v>
      </c>
      <c r="B12" s="372"/>
      <c r="C12" s="372"/>
      <c r="D12" s="372"/>
      <c r="E12" s="372"/>
      <c r="F12" s="372"/>
      <c r="G12" s="372"/>
      <c r="H12" s="372"/>
      <c r="I12" s="372"/>
    </row>
    <row r="13" spans="1:11" s="59" customFormat="1" ht="22.5" customHeight="1" thickBot="1" x14ac:dyDescent="0.3">
      <c r="A13" s="55" t="s">
        <v>384</v>
      </c>
      <c r="B13" s="55"/>
      <c r="C13" s="56"/>
      <c r="D13" s="61"/>
      <c r="E13" s="62"/>
      <c r="F13" s="62"/>
      <c r="G13" s="129">
        <f>'[1]Огарева 40 корп.2'!$G$37</f>
        <v>187906.29</v>
      </c>
      <c r="H13" s="54"/>
      <c r="I13" s="54"/>
    </row>
    <row r="14" spans="1:11" s="59" customFormat="1" ht="15.75" thickBot="1" x14ac:dyDescent="0.3">
      <c r="A14" s="55" t="s">
        <v>381</v>
      </c>
      <c r="B14" s="56"/>
      <c r="C14" s="56"/>
      <c r="D14" s="278"/>
      <c r="E14" s="279"/>
      <c r="F14" s="279"/>
      <c r="G14" s="280">
        <f>'[1]Огарева 40 корп.2'!$G$38</f>
        <v>-103960.21280000001</v>
      </c>
      <c r="H14" s="54"/>
      <c r="I14" s="54"/>
    </row>
    <row r="15" spans="1:11" s="59" customFormat="1" ht="8.25" customHeight="1" x14ac:dyDescent="0.25"/>
    <row r="16" spans="1:11" s="66" customFormat="1" ht="38.25" x14ac:dyDescent="0.25">
      <c r="A16" s="64" t="s">
        <v>11</v>
      </c>
      <c r="B16" s="64" t="s">
        <v>12</v>
      </c>
      <c r="C16" s="64" t="s">
        <v>61</v>
      </c>
      <c r="D16" s="64" t="s">
        <v>432</v>
      </c>
      <c r="E16" s="64" t="s">
        <v>433</v>
      </c>
      <c r="F16" s="65" t="s">
        <v>434</v>
      </c>
      <c r="G16" s="64" t="s">
        <v>435</v>
      </c>
    </row>
    <row r="17" spans="1:13" s="152" customFormat="1" x14ac:dyDescent="0.25">
      <c r="A17" s="67" t="s">
        <v>14</v>
      </c>
      <c r="B17" s="39" t="s">
        <v>379</v>
      </c>
      <c r="C17" s="120">
        <v>20.32</v>
      </c>
      <c r="D17" s="68">
        <v>937832.4</v>
      </c>
      <c r="E17" s="68">
        <v>957989.81</v>
      </c>
      <c r="F17" s="68">
        <f>D17</f>
        <v>937832.4</v>
      </c>
      <c r="G17" s="69">
        <f>D17-E17</f>
        <v>-20157.410000000033</v>
      </c>
      <c r="H17" s="130">
        <f>C17</f>
        <v>20.32</v>
      </c>
    </row>
    <row r="18" spans="1:13" s="59" customFormat="1" hidden="1" outlineLevel="1" x14ac:dyDescent="0.25">
      <c r="A18" s="73" t="s">
        <v>16</v>
      </c>
      <c r="B18" s="34" t="s">
        <v>17</v>
      </c>
      <c r="C18" s="89">
        <v>3.46</v>
      </c>
      <c r="D18" s="75">
        <f>D17*I18</f>
        <v>159689.96574803151</v>
      </c>
      <c r="E18" s="75">
        <f>E17*I18</f>
        <v>163122.28063976381</v>
      </c>
      <c r="F18" s="75">
        <f>D18</f>
        <v>159689.96574803151</v>
      </c>
      <c r="G18" s="76">
        <f>D18-E18</f>
        <v>-3432.3148917322978</v>
      </c>
      <c r="H18" s="130">
        <f>C18</f>
        <v>3.46</v>
      </c>
      <c r="I18" s="59">
        <f>H18/H17</f>
        <v>0.17027559055118111</v>
      </c>
    </row>
    <row r="19" spans="1:13" s="59" customFormat="1" hidden="1" outlineLevel="1" x14ac:dyDescent="0.25">
      <c r="A19" s="73" t="s">
        <v>18</v>
      </c>
      <c r="B19" s="34" t="s">
        <v>19</v>
      </c>
      <c r="C19" s="89">
        <v>1.69</v>
      </c>
      <c r="D19" s="75">
        <f>D17*I19</f>
        <v>77998.856102362202</v>
      </c>
      <c r="E19" s="75">
        <f>E17*I19</f>
        <v>79675.333607283465</v>
      </c>
      <c r="F19" s="75">
        <f>D19</f>
        <v>77998.856102362202</v>
      </c>
      <c r="G19" s="76">
        <f>D19-E19</f>
        <v>-1676.4775049212622</v>
      </c>
      <c r="H19" s="130">
        <f>C19</f>
        <v>1.69</v>
      </c>
      <c r="I19" s="59">
        <f>H19/H17</f>
        <v>8.3169291338582668E-2</v>
      </c>
    </row>
    <row r="20" spans="1:13" s="59" customFormat="1" hidden="1" outlineLevel="1" x14ac:dyDescent="0.25">
      <c r="A20" s="73" t="s">
        <v>20</v>
      </c>
      <c r="B20" s="34" t="s">
        <v>21</v>
      </c>
      <c r="C20" s="89">
        <v>2.15</v>
      </c>
      <c r="D20" s="75">
        <f>D17*I20</f>
        <v>99229.313976377947</v>
      </c>
      <c r="E20" s="75">
        <f>E17*I20</f>
        <v>101362.11080216535</v>
      </c>
      <c r="F20" s="75">
        <f>D20</f>
        <v>99229.313976377947</v>
      </c>
      <c r="G20" s="76">
        <f>D20-E20</f>
        <v>-2132.7968257874018</v>
      </c>
      <c r="H20" s="130">
        <f>C20</f>
        <v>2.15</v>
      </c>
      <c r="I20" s="59">
        <f>H20/H17</f>
        <v>0.10580708661417322</v>
      </c>
    </row>
    <row r="21" spans="1:13" s="59" customFormat="1" hidden="1" outlineLevel="1" x14ac:dyDescent="0.25">
      <c r="A21" s="73" t="s">
        <v>22</v>
      </c>
      <c r="B21" s="34" t="s">
        <v>23</v>
      </c>
      <c r="C21" s="89">
        <v>3.04</v>
      </c>
      <c r="D21" s="75">
        <f>D17*I21</f>
        <v>140305.63464566931</v>
      </c>
      <c r="E21" s="75">
        <f>E17*I21</f>
        <v>143321.31015748033</v>
      </c>
      <c r="F21" s="75">
        <f>D21</f>
        <v>140305.63464566931</v>
      </c>
      <c r="G21" s="76">
        <f>D21-E21</f>
        <v>-3015.6755118110159</v>
      </c>
      <c r="H21" s="130">
        <f>C21</f>
        <v>3.04</v>
      </c>
      <c r="I21" s="59">
        <f>H21/H17</f>
        <v>0.14960629921259844</v>
      </c>
    </row>
    <row r="22" spans="1:13" s="37" customFormat="1" ht="14.25" collapsed="1" x14ac:dyDescent="0.2">
      <c r="A22" s="39" t="s">
        <v>25</v>
      </c>
      <c r="B22" s="78" t="s">
        <v>145</v>
      </c>
      <c r="C22" s="46">
        <v>120</v>
      </c>
      <c r="D22" s="69">
        <v>0</v>
      </c>
      <c r="E22" s="69">
        <v>356.39</v>
      </c>
      <c r="F22" s="68">
        <f t="shared" ref="F22:F31" si="0">D22</f>
        <v>0</v>
      </c>
      <c r="G22" s="69">
        <f t="shared" ref="G22:G31" si="1">D22-E22</f>
        <v>-356.39</v>
      </c>
    </row>
    <row r="23" spans="1:13" s="37" customFormat="1" ht="14.25" x14ac:dyDescent="0.2">
      <c r="A23" s="39" t="s">
        <v>27</v>
      </c>
      <c r="B23" s="125" t="s">
        <v>26</v>
      </c>
      <c r="C23" s="87">
        <v>4.3600000000000003</v>
      </c>
      <c r="D23" s="69">
        <v>201228</v>
      </c>
      <c r="E23" s="69">
        <v>205279.43</v>
      </c>
      <c r="F23" s="68">
        <f>D23</f>
        <v>201228</v>
      </c>
      <c r="G23" s="69">
        <f t="shared" si="1"/>
        <v>-4051.429999999993</v>
      </c>
    </row>
    <row r="24" spans="1:13" s="37" customFormat="1" ht="14.25" x14ac:dyDescent="0.2">
      <c r="A24" s="39" t="s">
        <v>29</v>
      </c>
      <c r="B24" s="125" t="s">
        <v>97</v>
      </c>
      <c r="C24" s="357"/>
      <c r="D24" s="69">
        <v>0</v>
      </c>
      <c r="E24" s="69">
        <v>0</v>
      </c>
      <c r="F24" s="68">
        <f t="shared" si="0"/>
        <v>0</v>
      </c>
      <c r="G24" s="69">
        <f t="shared" si="1"/>
        <v>0</v>
      </c>
    </row>
    <row r="25" spans="1:13" s="37" customFormat="1" ht="14.25" x14ac:dyDescent="0.2">
      <c r="A25" s="39" t="s">
        <v>31</v>
      </c>
      <c r="B25" s="125" t="s">
        <v>80</v>
      </c>
      <c r="C25" s="87">
        <v>2.0099999999999998</v>
      </c>
      <c r="D25" s="69">
        <v>92768.52</v>
      </c>
      <c r="E25" s="69">
        <v>94624.94</v>
      </c>
      <c r="F25" s="68">
        <f>F44</f>
        <v>946.24940000000004</v>
      </c>
      <c r="G25" s="69">
        <f t="shared" si="1"/>
        <v>-1856.4199999999983</v>
      </c>
      <c r="M25" s="165"/>
    </row>
    <row r="26" spans="1:13" s="37" customFormat="1" ht="14.25" x14ac:dyDescent="0.2">
      <c r="A26" s="39" t="s">
        <v>33</v>
      </c>
      <c r="B26" s="119" t="s">
        <v>34</v>
      </c>
      <c r="C26" s="43">
        <v>0</v>
      </c>
      <c r="D26" s="69">
        <v>0</v>
      </c>
      <c r="E26" s="69">
        <v>0</v>
      </c>
      <c r="F26" s="68">
        <f>D26</f>
        <v>0</v>
      </c>
      <c r="G26" s="69">
        <f t="shared" si="1"/>
        <v>0</v>
      </c>
    </row>
    <row r="27" spans="1:13" s="37" customFormat="1" ht="14.25" x14ac:dyDescent="0.2">
      <c r="A27" s="39" t="s">
        <v>35</v>
      </c>
      <c r="B27" s="119" t="s">
        <v>36</v>
      </c>
      <c r="C27" s="87"/>
      <c r="D27" s="69">
        <f>SUM(D28:D31)</f>
        <v>2950777.9699999997</v>
      </c>
      <c r="E27" s="69">
        <f>SUM(E28:E31)</f>
        <v>2929388.14</v>
      </c>
      <c r="F27" s="68">
        <f t="shared" si="0"/>
        <v>2950777.9699999997</v>
      </c>
      <c r="G27" s="69">
        <f t="shared" si="1"/>
        <v>21389.829999999609</v>
      </c>
    </row>
    <row r="28" spans="1:13" x14ac:dyDescent="0.25">
      <c r="A28" s="34" t="s">
        <v>37</v>
      </c>
      <c r="B28" s="34" t="s">
        <v>101</v>
      </c>
      <c r="C28" s="89">
        <v>7.36</v>
      </c>
      <c r="D28" s="76">
        <v>177322.2</v>
      </c>
      <c r="E28" s="76">
        <v>180244.47</v>
      </c>
      <c r="F28" s="75">
        <f>D28</f>
        <v>177322.2</v>
      </c>
      <c r="G28" s="76">
        <f t="shared" si="1"/>
        <v>-2922.2699999999895</v>
      </c>
    </row>
    <row r="29" spans="1:13" x14ac:dyDescent="0.25">
      <c r="A29" s="34" t="s">
        <v>39</v>
      </c>
      <c r="B29" s="34" t="s">
        <v>84</v>
      </c>
      <c r="C29" s="89">
        <v>88.38</v>
      </c>
      <c r="D29" s="76">
        <v>510753.69</v>
      </c>
      <c r="E29" s="76">
        <v>503886.15</v>
      </c>
      <c r="F29" s="75">
        <f t="shared" si="0"/>
        <v>510753.69</v>
      </c>
      <c r="G29" s="76">
        <f t="shared" si="1"/>
        <v>6867.539999999979</v>
      </c>
    </row>
    <row r="30" spans="1:13" x14ac:dyDescent="0.25">
      <c r="A30" s="34" t="s">
        <v>42</v>
      </c>
      <c r="B30" s="34" t="s">
        <v>40</v>
      </c>
      <c r="C30" s="128">
        <v>278.94</v>
      </c>
      <c r="D30" s="76">
        <v>608369.93000000005</v>
      </c>
      <c r="E30" s="76">
        <v>583565.41</v>
      </c>
      <c r="F30" s="75">
        <f t="shared" si="0"/>
        <v>608369.93000000005</v>
      </c>
      <c r="G30" s="76">
        <f t="shared" si="1"/>
        <v>24804.520000000019</v>
      </c>
    </row>
    <row r="31" spans="1:13" x14ac:dyDescent="0.25">
      <c r="A31" s="34" t="s">
        <v>41</v>
      </c>
      <c r="B31" s="34" t="s">
        <v>43</v>
      </c>
      <c r="C31" s="89">
        <v>3352.42</v>
      </c>
      <c r="D31" s="76">
        <v>1654332.15</v>
      </c>
      <c r="E31" s="76">
        <v>1661692.11</v>
      </c>
      <c r="F31" s="75">
        <f t="shared" si="0"/>
        <v>1654332.15</v>
      </c>
      <c r="G31" s="76">
        <f t="shared" si="1"/>
        <v>-7359.9600000001956</v>
      </c>
    </row>
    <row r="32" spans="1:13" hidden="1" outlineLevel="1" x14ac:dyDescent="0.25">
      <c r="A32" s="240" t="s">
        <v>130</v>
      </c>
      <c r="B32" s="257" t="s">
        <v>131</v>
      </c>
      <c r="C32" s="298"/>
      <c r="D32" s="248">
        <f>1800</f>
        <v>1800</v>
      </c>
      <c r="E32" s="248">
        <v>1800</v>
      </c>
      <c r="F32" s="296">
        <v>0</v>
      </c>
      <c r="G32" s="248">
        <f>E32-D32</f>
        <v>0</v>
      </c>
    </row>
    <row r="33" spans="1:10" hidden="1" outlineLevel="1" x14ac:dyDescent="0.25">
      <c r="A33" s="174"/>
      <c r="B33" s="295"/>
      <c r="C33" s="376" t="s">
        <v>246</v>
      </c>
      <c r="D33" s="377"/>
      <c r="E33" s="377"/>
      <c r="F33" s="377"/>
      <c r="G33" s="82">
        <f>E32-(E32*15%)</f>
        <v>1530</v>
      </c>
    </row>
    <row r="34" spans="1:10" s="92" customFormat="1" ht="17.25" customHeight="1" collapsed="1" thickBot="1" x14ac:dyDescent="0.3">
      <c r="A34" s="373"/>
      <c r="B34" s="374"/>
      <c r="C34" s="374"/>
      <c r="D34" s="375"/>
      <c r="E34" s="375"/>
      <c r="F34" s="375"/>
      <c r="G34" s="91"/>
      <c r="H34" s="91"/>
      <c r="I34" s="91"/>
      <c r="J34" s="91"/>
    </row>
    <row r="35" spans="1:10" s="59" customFormat="1" ht="15.75" thickBot="1" x14ac:dyDescent="0.3">
      <c r="A35" s="387" t="s">
        <v>427</v>
      </c>
      <c r="B35" s="388"/>
      <c r="C35" s="388"/>
      <c r="D35" s="57">
        <v>-5031.82</v>
      </c>
      <c r="E35" s="58"/>
      <c r="F35" s="58"/>
      <c r="G35" s="58"/>
      <c r="H35" s="54"/>
      <c r="I35" s="54"/>
    </row>
    <row r="36" spans="1:10" s="59" customFormat="1" ht="6" customHeight="1" thickBot="1" x14ac:dyDescent="0.3">
      <c r="A36" s="60"/>
      <c r="B36" s="60"/>
      <c r="C36" s="60"/>
      <c r="D36" s="38"/>
      <c r="E36" s="58"/>
      <c r="F36" s="58"/>
      <c r="G36" s="58"/>
      <c r="H36" s="54"/>
      <c r="I36" s="54"/>
    </row>
    <row r="37" spans="1:10" s="59" customFormat="1" ht="15.75" thickBot="1" x14ac:dyDescent="0.3">
      <c r="A37" s="55" t="s">
        <v>464</v>
      </c>
      <c r="B37" s="56"/>
      <c r="C37" s="56"/>
      <c r="D37" s="61"/>
      <c r="E37" s="62"/>
      <c r="F37" s="62"/>
      <c r="G37" s="129">
        <f>G13+E26-F26</f>
        <v>187906.29</v>
      </c>
      <c r="H37" s="54"/>
      <c r="I37" s="54"/>
    </row>
    <row r="38" spans="1:10" s="59" customFormat="1" ht="15.75" thickBot="1" x14ac:dyDescent="0.3">
      <c r="A38" s="55" t="s">
        <v>428</v>
      </c>
      <c r="B38" s="56"/>
      <c r="C38" s="56"/>
      <c r="D38" s="61"/>
      <c r="E38" s="62"/>
      <c r="F38" s="62"/>
      <c r="G38" s="129">
        <f>G14+E25-F25</f>
        <v>-10281.522200000007</v>
      </c>
      <c r="H38" s="54"/>
      <c r="I38" s="54"/>
    </row>
    <row r="39" spans="1:10" s="59" customFormat="1" x14ac:dyDescent="0.25">
      <c r="A39" s="60"/>
      <c r="B39" s="60"/>
      <c r="C39" s="60"/>
      <c r="D39" s="38"/>
      <c r="E39" s="58"/>
      <c r="F39" s="58"/>
      <c r="G39" s="38"/>
      <c r="H39" s="54"/>
      <c r="I39" s="54"/>
    </row>
    <row r="40" spans="1:10" s="59" customFormat="1" ht="9" customHeight="1" x14ac:dyDescent="0.25"/>
    <row r="41" spans="1:10" ht="23.25" customHeight="1" x14ac:dyDescent="0.25">
      <c r="A41" s="371" t="s">
        <v>44</v>
      </c>
      <c r="B41" s="371"/>
      <c r="C41" s="371"/>
      <c r="D41" s="371"/>
      <c r="E41" s="371"/>
      <c r="F41" s="371"/>
      <c r="G41" s="371"/>
      <c r="H41" s="371"/>
      <c r="I41" s="371"/>
    </row>
    <row r="42" spans="1:10" ht="6.75" customHeight="1" x14ac:dyDescent="0.25"/>
    <row r="43" spans="1:10" s="156" customFormat="1" ht="28.5" customHeight="1" x14ac:dyDescent="0.25">
      <c r="A43" s="94" t="s">
        <v>11</v>
      </c>
      <c r="B43" s="416" t="s">
        <v>45</v>
      </c>
      <c r="C43" s="425"/>
      <c r="D43" s="94" t="s">
        <v>99</v>
      </c>
      <c r="E43" s="94" t="s">
        <v>98</v>
      </c>
      <c r="F43" s="416" t="s">
        <v>46</v>
      </c>
      <c r="G43" s="424"/>
    </row>
    <row r="44" spans="1:10" s="103" customFormat="1" ht="13.5" customHeight="1" x14ac:dyDescent="0.25">
      <c r="A44" s="98" t="s">
        <v>47</v>
      </c>
      <c r="B44" s="418" t="s">
        <v>75</v>
      </c>
      <c r="C44" s="430"/>
      <c r="D44" s="99"/>
      <c r="E44" s="99"/>
      <c r="F44" s="436">
        <f>SUM(F45:G47)</f>
        <v>946.24940000000004</v>
      </c>
      <c r="G44" s="424"/>
    </row>
    <row r="45" spans="1:10" s="103" customFormat="1" ht="13.5" customHeight="1" x14ac:dyDescent="0.25">
      <c r="A45" s="34" t="s">
        <v>16</v>
      </c>
      <c r="B45" s="470"/>
      <c r="C45" s="471"/>
      <c r="D45" s="260"/>
      <c r="E45" s="260"/>
      <c r="F45" s="468"/>
      <c r="G45" s="469"/>
    </row>
    <row r="46" spans="1:10" s="103" customFormat="1" ht="13.5" customHeight="1" x14ac:dyDescent="0.25">
      <c r="A46" s="34" t="s">
        <v>18</v>
      </c>
      <c r="B46" s="470"/>
      <c r="C46" s="471"/>
      <c r="D46" s="260"/>
      <c r="E46" s="260"/>
      <c r="F46" s="468"/>
      <c r="G46" s="469"/>
    </row>
    <row r="47" spans="1:10" ht="13.5" customHeight="1" x14ac:dyDescent="0.25">
      <c r="A47" s="34" t="s">
        <v>20</v>
      </c>
      <c r="B47" s="384" t="s">
        <v>108</v>
      </c>
      <c r="C47" s="386"/>
      <c r="D47" s="109"/>
      <c r="E47" s="109"/>
      <c r="F47" s="466">
        <f>E25*1%</f>
        <v>946.24940000000004</v>
      </c>
      <c r="G47" s="467"/>
    </row>
    <row r="48" spans="1:10" ht="15.75" customHeight="1" x14ac:dyDescent="0.25">
      <c r="A48" s="153"/>
      <c r="B48" s="84"/>
      <c r="C48" s="84"/>
      <c r="D48" s="84"/>
      <c r="E48" s="84"/>
      <c r="F48" s="164"/>
      <c r="G48" s="164"/>
    </row>
    <row r="49" spans="1:7" s="59" customFormat="1" x14ac:dyDescent="0.25">
      <c r="A49" s="51" t="s">
        <v>372</v>
      </c>
      <c r="C49" s="59" t="s">
        <v>49</v>
      </c>
      <c r="F49" s="59" t="s">
        <v>60</v>
      </c>
    </row>
    <row r="50" spans="1:7" s="59" customFormat="1" ht="13.5" customHeight="1" x14ac:dyDescent="0.25">
      <c r="F50" s="111" t="s">
        <v>438</v>
      </c>
    </row>
    <row r="51" spans="1:7" s="59" customFormat="1" ht="21" customHeight="1" x14ac:dyDescent="0.25">
      <c r="A51" s="59" t="s">
        <v>50</v>
      </c>
    </row>
    <row r="52" spans="1:7" s="59" customFormat="1" x14ac:dyDescent="0.25">
      <c r="C52" s="113" t="s">
        <v>51</v>
      </c>
      <c r="E52" s="113"/>
      <c r="F52" s="113"/>
      <c r="G52" s="113"/>
    </row>
    <row r="53" spans="1:7" s="59" customFormat="1" x14ac:dyDescent="0.25"/>
    <row r="54" spans="1:7" s="59" customFormat="1" x14ac:dyDescent="0.25"/>
  </sheetData>
  <mergeCells count="21">
    <mergeCell ref="B46:C46"/>
    <mergeCell ref="F47:G47"/>
    <mergeCell ref="B47:C47"/>
    <mergeCell ref="A12:I12"/>
    <mergeCell ref="A35:C35"/>
    <mergeCell ref="A41:I41"/>
    <mergeCell ref="F43:G43"/>
    <mergeCell ref="F44:G44"/>
    <mergeCell ref="F46:G46"/>
    <mergeCell ref="B43:C43"/>
    <mergeCell ref="C33:F33"/>
    <mergeCell ref="B45:C45"/>
    <mergeCell ref="F45:G45"/>
    <mergeCell ref="A1:I1"/>
    <mergeCell ref="A5:I5"/>
    <mergeCell ref="A10:I10"/>
    <mergeCell ref="A3:K3"/>
    <mergeCell ref="A11:I11"/>
    <mergeCell ref="B44:C44"/>
    <mergeCell ref="A34:F34"/>
    <mergeCell ref="A2:K2"/>
  </mergeCells>
  <phoneticPr fontId="14" type="noConversion"/>
  <pageMargins left="0" right="0" top="0" bottom="0" header="0.31496062992125984" footer="0.31496062992125984"/>
  <pageSetup paperSize="9" scale="96" orientation="portrait" verticalDpi="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93C72A-236C-4BEB-89A5-1ADB8002E9FF}">
  <sheetPr>
    <tabColor rgb="FF7030A0"/>
  </sheetPr>
  <dimension ref="A1:M52"/>
  <sheetViews>
    <sheetView topLeftCell="A34" zoomScaleNormal="100" workbookViewId="0">
      <selection activeCell="A53" sqref="A53:IV54"/>
    </sheetView>
  </sheetViews>
  <sheetFormatPr defaultRowHeight="15" outlineLevelRow="1" outlineLevelCol="1" x14ac:dyDescent="0.25"/>
  <cols>
    <col min="1" max="1" width="4.7109375" style="35" customWidth="1"/>
    <col min="2" max="2" width="43.28515625" style="35" customWidth="1"/>
    <col min="3" max="3" width="13.140625" style="35" customWidth="1"/>
    <col min="4" max="4" width="14.28515625" style="35" customWidth="1"/>
    <col min="5" max="5" width="12.85546875" style="35" customWidth="1"/>
    <col min="6" max="6" width="13.28515625" style="35" customWidth="1"/>
    <col min="7" max="7" width="13.7109375" style="35" customWidth="1"/>
    <col min="8" max="8" width="10.85546875" style="35" hidden="1" customWidth="1" outlineLevel="1"/>
    <col min="9" max="9" width="13.42578125" style="35" hidden="1" customWidth="1" outlineLevel="1"/>
    <col min="10" max="12" width="9.140625" style="35" hidden="1" customWidth="1" outlineLevel="1"/>
    <col min="13" max="13" width="9.85546875" style="35" bestFit="1" customWidth="1" collapsed="1"/>
    <col min="14" max="16384" width="9.140625" style="35"/>
  </cols>
  <sheetData>
    <row r="1" spans="1:11" x14ac:dyDescent="0.25">
      <c r="A1" s="397" t="s">
        <v>0</v>
      </c>
      <c r="B1" s="397"/>
      <c r="C1" s="397"/>
      <c r="D1" s="397"/>
      <c r="E1" s="397"/>
      <c r="F1" s="397"/>
      <c r="G1" s="397"/>
      <c r="H1" s="397"/>
      <c r="I1" s="397"/>
    </row>
    <row r="2" spans="1:11" ht="15" customHeight="1" x14ac:dyDescent="0.25">
      <c r="A2" s="370" t="s">
        <v>152</v>
      </c>
      <c r="B2" s="370"/>
      <c r="C2" s="370"/>
      <c r="D2" s="370"/>
      <c r="E2" s="370"/>
      <c r="F2" s="370"/>
      <c r="G2" s="370"/>
      <c r="H2" s="370"/>
      <c r="I2" s="370"/>
      <c r="J2" s="370"/>
      <c r="K2" s="370"/>
    </row>
    <row r="3" spans="1:11" ht="14.25" customHeight="1" x14ac:dyDescent="0.25">
      <c r="A3" s="370" t="s">
        <v>426</v>
      </c>
      <c r="B3" s="370"/>
      <c r="C3" s="370"/>
      <c r="D3" s="370"/>
      <c r="E3" s="370"/>
      <c r="F3" s="370"/>
      <c r="G3" s="370"/>
      <c r="H3" s="370"/>
      <c r="I3" s="370"/>
      <c r="J3" s="370"/>
      <c r="K3" s="370"/>
    </row>
    <row r="4" spans="1:11" ht="6.75" customHeight="1" x14ac:dyDescent="0.25">
      <c r="A4" s="142"/>
      <c r="B4" s="142"/>
      <c r="C4" s="142"/>
      <c r="D4" s="142"/>
      <c r="E4" s="142"/>
      <c r="F4" s="142"/>
      <c r="G4" s="142"/>
      <c r="H4" s="142"/>
      <c r="I4" s="142"/>
    </row>
    <row r="5" spans="1:11" ht="14.25" customHeight="1" x14ac:dyDescent="0.25">
      <c r="A5" s="398" t="s">
        <v>1</v>
      </c>
      <c r="B5" s="397"/>
      <c r="C5" s="397"/>
      <c r="D5" s="397"/>
      <c r="E5" s="397"/>
      <c r="F5" s="397"/>
      <c r="G5" s="397"/>
      <c r="H5" s="397"/>
      <c r="I5" s="397"/>
    </row>
    <row r="6" spans="1:11" ht="4.5" customHeight="1" x14ac:dyDescent="0.25"/>
    <row r="7" spans="1:11" s="59" customFormat="1" ht="16.5" customHeight="1" x14ac:dyDescent="0.25">
      <c r="A7" s="59" t="s">
        <v>2</v>
      </c>
      <c r="F7" s="111" t="s">
        <v>182</v>
      </c>
    </row>
    <row r="8" spans="1:11" s="59" customFormat="1" x14ac:dyDescent="0.25">
      <c r="A8" s="59" t="s">
        <v>3</v>
      </c>
      <c r="F8" s="239" t="s">
        <v>183</v>
      </c>
    </row>
    <row r="9" spans="1:11" s="59" customFormat="1" ht="7.5" customHeight="1" x14ac:dyDescent="0.25"/>
    <row r="10" spans="1:11" s="59" customFormat="1" x14ac:dyDescent="0.25">
      <c r="A10" s="372" t="s">
        <v>8</v>
      </c>
      <c r="B10" s="372"/>
      <c r="C10" s="372"/>
      <c r="D10" s="372"/>
      <c r="E10" s="372"/>
      <c r="F10" s="372"/>
      <c r="G10" s="372"/>
      <c r="H10" s="372"/>
      <c r="I10" s="372"/>
    </row>
    <row r="11" spans="1:11" s="59" customFormat="1" x14ac:dyDescent="0.25">
      <c r="A11" s="372" t="s">
        <v>9</v>
      </c>
      <c r="B11" s="372"/>
      <c r="C11" s="372"/>
      <c r="D11" s="372"/>
      <c r="E11" s="372"/>
      <c r="F11" s="372"/>
      <c r="G11" s="372"/>
      <c r="H11" s="372"/>
      <c r="I11" s="372"/>
    </row>
    <row r="12" spans="1:11" s="59" customFormat="1" x14ac:dyDescent="0.25">
      <c r="A12" s="372" t="s">
        <v>10</v>
      </c>
      <c r="B12" s="372"/>
      <c r="C12" s="372"/>
      <c r="D12" s="372"/>
      <c r="E12" s="372"/>
      <c r="F12" s="372"/>
      <c r="G12" s="372"/>
      <c r="H12" s="372"/>
      <c r="I12" s="372"/>
    </row>
    <row r="13" spans="1:11" s="59" customFormat="1" ht="6" customHeight="1" thickBot="1" x14ac:dyDescent="0.3">
      <c r="A13" s="60"/>
      <c r="B13" s="60"/>
      <c r="C13" s="60"/>
      <c r="D13" s="38"/>
      <c r="E13" s="58"/>
      <c r="F13" s="58"/>
      <c r="G13" s="58"/>
      <c r="H13" s="54"/>
      <c r="I13" s="54"/>
    </row>
    <row r="14" spans="1:11" s="59" customFormat="1" ht="15.75" thickBot="1" x14ac:dyDescent="0.3">
      <c r="A14" s="55" t="s">
        <v>381</v>
      </c>
      <c r="B14" s="56"/>
      <c r="C14" s="56"/>
      <c r="D14" s="61"/>
      <c r="E14" s="62"/>
      <c r="F14" s="62"/>
      <c r="G14" s="129">
        <f>'[1]Огарева 6'!$G$37</f>
        <v>268706.18610000005</v>
      </c>
      <c r="H14" s="54"/>
      <c r="I14" s="54"/>
    </row>
    <row r="15" spans="1:11" s="59" customFormat="1" ht="9" customHeight="1" x14ac:dyDescent="0.25"/>
    <row r="16" spans="1:11" s="66" customFormat="1" ht="38.25" x14ac:dyDescent="0.25">
      <c r="A16" s="64" t="s">
        <v>11</v>
      </c>
      <c r="B16" s="64" t="s">
        <v>12</v>
      </c>
      <c r="C16" s="64" t="s">
        <v>61</v>
      </c>
      <c r="D16" s="64" t="s">
        <v>432</v>
      </c>
      <c r="E16" s="64" t="s">
        <v>433</v>
      </c>
      <c r="F16" s="65" t="s">
        <v>434</v>
      </c>
      <c r="G16" s="64" t="s">
        <v>435</v>
      </c>
    </row>
    <row r="17" spans="1:9" s="152" customFormat="1" ht="14.25" x14ac:dyDescent="0.2">
      <c r="A17" s="67" t="s">
        <v>14</v>
      </c>
      <c r="B17" s="39" t="s">
        <v>379</v>
      </c>
      <c r="C17" s="120">
        <v>20.32</v>
      </c>
      <c r="D17" s="68">
        <v>966484.2</v>
      </c>
      <c r="E17" s="68">
        <v>964915.26</v>
      </c>
      <c r="F17" s="68">
        <f>D17</f>
        <v>966484.2</v>
      </c>
      <c r="G17" s="69">
        <f t="shared" ref="G17:G26" si="0">D17-E17</f>
        <v>1568.9399999999441</v>
      </c>
      <c r="H17" s="151">
        <f>C17</f>
        <v>20.32</v>
      </c>
    </row>
    <row r="18" spans="1:9" s="59" customFormat="1" hidden="1" outlineLevel="1" x14ac:dyDescent="0.25">
      <c r="A18" s="73" t="s">
        <v>16</v>
      </c>
      <c r="B18" s="34" t="s">
        <v>17</v>
      </c>
      <c r="C18" s="89">
        <v>3.46</v>
      </c>
      <c r="D18" s="75">
        <f>D17*I18</f>
        <v>164568.66791338581</v>
      </c>
      <c r="E18" s="75">
        <f>E17*I18</f>
        <v>164301.51572834645</v>
      </c>
      <c r="F18" s="75">
        <f>D18</f>
        <v>164568.66791338581</v>
      </c>
      <c r="G18" s="76">
        <f t="shared" si="0"/>
        <v>267.15218503936194</v>
      </c>
      <c r="H18" s="130">
        <f>C18</f>
        <v>3.46</v>
      </c>
      <c r="I18" s="59">
        <f>H18/H17</f>
        <v>0.17027559055118111</v>
      </c>
    </row>
    <row r="19" spans="1:9" s="59" customFormat="1" hidden="1" outlineLevel="1" x14ac:dyDescent="0.25">
      <c r="A19" s="73" t="s">
        <v>18</v>
      </c>
      <c r="B19" s="34" t="s">
        <v>19</v>
      </c>
      <c r="C19" s="89">
        <v>1.69</v>
      </c>
      <c r="D19" s="75">
        <f>D17*I19</f>
        <v>80381.806003936988</v>
      </c>
      <c r="E19" s="75">
        <f>E17*I19</f>
        <v>80251.31837598425</v>
      </c>
      <c r="F19" s="75">
        <f>D19</f>
        <v>80381.806003936988</v>
      </c>
      <c r="G19" s="76">
        <f t="shared" si="0"/>
        <v>130.48762795273797</v>
      </c>
      <c r="H19" s="130">
        <f>C19</f>
        <v>1.69</v>
      </c>
      <c r="I19" s="59">
        <f>H19/H17</f>
        <v>8.3169291338582668E-2</v>
      </c>
    </row>
    <row r="20" spans="1:9" s="59" customFormat="1" hidden="1" outlineLevel="1" x14ac:dyDescent="0.25">
      <c r="A20" s="73" t="s">
        <v>20</v>
      </c>
      <c r="B20" s="34" t="s">
        <v>21</v>
      </c>
      <c r="C20" s="89">
        <v>2.15</v>
      </c>
      <c r="D20" s="75">
        <f>D17*I20</f>
        <v>102260.87746062991</v>
      </c>
      <c r="E20" s="75">
        <f>E17*I20</f>
        <v>102094.87249015748</v>
      </c>
      <c r="F20" s="75">
        <f>D20</f>
        <v>102260.87746062991</v>
      </c>
      <c r="G20" s="76">
        <f t="shared" si="0"/>
        <v>166.00497047243698</v>
      </c>
      <c r="H20" s="130">
        <f>C20</f>
        <v>2.15</v>
      </c>
      <c r="I20" s="59">
        <f>H20/H17</f>
        <v>0.10580708661417322</v>
      </c>
    </row>
    <row r="21" spans="1:9" s="59" customFormat="1" hidden="1" outlineLevel="1" x14ac:dyDescent="0.25">
      <c r="A21" s="73" t="s">
        <v>22</v>
      </c>
      <c r="B21" s="34" t="s">
        <v>23</v>
      </c>
      <c r="C21" s="89">
        <v>3.04</v>
      </c>
      <c r="D21" s="75">
        <f>D17*I21</f>
        <v>144592.12440944882</v>
      </c>
      <c r="E21" s="75">
        <f>E17*I21</f>
        <v>144357.40110236223</v>
      </c>
      <c r="F21" s="75">
        <f>D21</f>
        <v>144592.12440944882</v>
      </c>
      <c r="G21" s="76">
        <f t="shared" si="0"/>
        <v>234.72330708659138</v>
      </c>
      <c r="H21" s="130">
        <f>C21</f>
        <v>3.04</v>
      </c>
      <c r="I21" s="59">
        <f>H21/H17</f>
        <v>0.14960629921259844</v>
      </c>
    </row>
    <row r="22" spans="1:9" s="37" customFormat="1" ht="14.25" collapsed="1" x14ac:dyDescent="0.2">
      <c r="A22" s="39" t="s">
        <v>25</v>
      </c>
      <c r="B22" s="78" t="s">
        <v>145</v>
      </c>
      <c r="C22" s="46">
        <v>125</v>
      </c>
      <c r="D22" s="69">
        <v>0</v>
      </c>
      <c r="E22" s="69">
        <v>416.9</v>
      </c>
      <c r="F22" s="68">
        <f t="shared" ref="F22:F31" si="1">D22</f>
        <v>0</v>
      </c>
      <c r="G22" s="69">
        <f t="shared" si="0"/>
        <v>-416.9</v>
      </c>
      <c r="H22" s="37">
        <f>32*130</f>
        <v>4160</v>
      </c>
      <c r="I22" s="37">
        <f>D22/H22</f>
        <v>0</v>
      </c>
    </row>
    <row r="23" spans="1:9" s="37" customFormat="1" ht="14.25" x14ac:dyDescent="0.2">
      <c r="A23" s="39" t="s">
        <v>27</v>
      </c>
      <c r="B23" s="125" t="s">
        <v>26</v>
      </c>
      <c r="C23" s="87">
        <v>4.3600000000000003</v>
      </c>
      <c r="D23" s="69">
        <v>207375.24</v>
      </c>
      <c r="E23" s="69">
        <v>207375.58</v>
      </c>
      <c r="F23" s="68">
        <f>D23</f>
        <v>207375.24</v>
      </c>
      <c r="G23" s="69">
        <f t="shared" si="0"/>
        <v>-0.33999999999650754</v>
      </c>
    </row>
    <row r="24" spans="1:9" s="37" customFormat="1" ht="14.25" x14ac:dyDescent="0.2">
      <c r="A24" s="39" t="s">
        <v>29</v>
      </c>
      <c r="B24" s="125" t="s">
        <v>97</v>
      </c>
      <c r="C24" s="357">
        <v>0</v>
      </c>
      <c r="D24" s="69">
        <v>0</v>
      </c>
      <c r="E24" s="69">
        <v>0</v>
      </c>
      <c r="F24" s="68">
        <f t="shared" si="1"/>
        <v>0</v>
      </c>
      <c r="G24" s="69">
        <f t="shared" si="0"/>
        <v>0</v>
      </c>
    </row>
    <row r="25" spans="1:9" s="37" customFormat="1" ht="14.25" x14ac:dyDescent="0.2">
      <c r="A25" s="39" t="s">
        <v>31</v>
      </c>
      <c r="B25" s="125" t="s">
        <v>80</v>
      </c>
      <c r="C25" s="87">
        <v>2.0099999999999998</v>
      </c>
      <c r="D25" s="69">
        <v>95602.2</v>
      </c>
      <c r="E25" s="69">
        <v>95618.04</v>
      </c>
      <c r="F25" s="68">
        <f>F42</f>
        <v>956.18039999999996</v>
      </c>
      <c r="G25" s="69">
        <f t="shared" si="0"/>
        <v>-15.839999999996508</v>
      </c>
    </row>
    <row r="26" spans="1:9" s="37" customFormat="1" ht="14.25" x14ac:dyDescent="0.2">
      <c r="A26" s="39" t="s">
        <v>33</v>
      </c>
      <c r="B26" s="119" t="s">
        <v>30</v>
      </c>
      <c r="C26" s="46">
        <v>2.65</v>
      </c>
      <c r="D26" s="69">
        <v>10503.72</v>
      </c>
      <c r="E26" s="69">
        <v>12102.87</v>
      </c>
      <c r="F26" s="68">
        <f>D26</f>
        <v>10503.72</v>
      </c>
      <c r="G26" s="69">
        <f t="shared" si="0"/>
        <v>-1599.1500000000015</v>
      </c>
    </row>
    <row r="27" spans="1:9" s="37" customFormat="1" ht="14.25" x14ac:dyDescent="0.2">
      <c r="A27" s="39" t="s">
        <v>35</v>
      </c>
      <c r="B27" s="119" t="s">
        <v>36</v>
      </c>
      <c r="C27" s="87"/>
      <c r="D27" s="69">
        <f>SUM(D28:D31)</f>
        <v>3065614.76</v>
      </c>
      <c r="E27" s="69">
        <f>SUM(E28:E31)</f>
        <v>3053485.9699999997</v>
      </c>
      <c r="F27" s="68">
        <f t="shared" si="1"/>
        <v>3065614.76</v>
      </c>
      <c r="G27" s="69">
        <f>SUM(G28:G31)</f>
        <v>12128.790000000066</v>
      </c>
    </row>
    <row r="28" spans="1:9" x14ac:dyDescent="0.25">
      <c r="A28" s="34" t="s">
        <v>37</v>
      </c>
      <c r="B28" s="34" t="s">
        <v>101</v>
      </c>
      <c r="C28" s="89">
        <v>7.36</v>
      </c>
      <c r="D28" s="76">
        <v>112185.86</v>
      </c>
      <c r="E28" s="76">
        <v>111029.51</v>
      </c>
      <c r="F28" s="75">
        <f>D28</f>
        <v>112185.86</v>
      </c>
      <c r="G28" s="76">
        <f>D28-E28</f>
        <v>1156.3500000000058</v>
      </c>
    </row>
    <row r="29" spans="1:9" x14ac:dyDescent="0.25">
      <c r="A29" s="34" t="s">
        <v>39</v>
      </c>
      <c r="B29" s="34" t="s">
        <v>84</v>
      </c>
      <c r="C29" s="89">
        <v>88.38</v>
      </c>
      <c r="D29" s="76">
        <v>631939.67000000004</v>
      </c>
      <c r="E29" s="76">
        <v>631026.82999999996</v>
      </c>
      <c r="F29" s="75">
        <f t="shared" si="1"/>
        <v>631939.67000000004</v>
      </c>
      <c r="G29" s="76">
        <f>D29-E29</f>
        <v>912.84000000008382</v>
      </c>
    </row>
    <row r="30" spans="1:9" x14ac:dyDescent="0.25">
      <c r="A30" s="34" t="s">
        <v>42</v>
      </c>
      <c r="B30" s="34" t="s">
        <v>40</v>
      </c>
      <c r="C30" s="128">
        <v>278.94</v>
      </c>
      <c r="D30" s="76">
        <v>698892.22</v>
      </c>
      <c r="E30" s="76">
        <v>690891.83</v>
      </c>
      <c r="F30" s="75">
        <f t="shared" si="1"/>
        <v>698892.22</v>
      </c>
      <c r="G30" s="76">
        <f>D30-E30</f>
        <v>8000.390000000014</v>
      </c>
    </row>
    <row r="31" spans="1:9" x14ac:dyDescent="0.25">
      <c r="A31" s="34" t="s">
        <v>41</v>
      </c>
      <c r="B31" s="34" t="s">
        <v>43</v>
      </c>
      <c r="C31" s="89">
        <v>3352.42</v>
      </c>
      <c r="D31" s="76">
        <v>1622597.01</v>
      </c>
      <c r="E31" s="76">
        <v>1620537.8</v>
      </c>
      <c r="F31" s="75">
        <f t="shared" si="1"/>
        <v>1622597.01</v>
      </c>
      <c r="G31" s="76">
        <f>D31-E31</f>
        <v>2059.2099999999627</v>
      </c>
    </row>
    <row r="32" spans="1:9" hidden="1" outlineLevel="1" x14ac:dyDescent="0.25">
      <c r="A32" s="240" t="s">
        <v>130</v>
      </c>
      <c r="B32" s="257" t="s">
        <v>131</v>
      </c>
      <c r="C32" s="298"/>
      <c r="D32" s="248">
        <v>1800</v>
      </c>
      <c r="E32" s="248">
        <v>1800</v>
      </c>
      <c r="F32" s="296">
        <v>0</v>
      </c>
      <c r="G32" s="248">
        <f>E32-D32</f>
        <v>0</v>
      </c>
    </row>
    <row r="33" spans="1:13" hidden="1" outlineLevel="1" x14ac:dyDescent="0.25">
      <c r="A33" s="174"/>
      <c r="B33" s="295"/>
      <c r="C33" s="376" t="s">
        <v>246</v>
      </c>
      <c r="D33" s="377"/>
      <c r="E33" s="377"/>
      <c r="F33" s="377"/>
      <c r="G33" s="82">
        <f>E32-(E32*15%)</f>
        <v>1530</v>
      </c>
    </row>
    <row r="34" spans="1:13" s="92" customFormat="1" ht="18" customHeight="1" collapsed="1" thickBot="1" x14ac:dyDescent="0.3">
      <c r="A34" s="373" t="s">
        <v>380</v>
      </c>
      <c r="B34" s="374"/>
      <c r="C34" s="374"/>
      <c r="D34" s="375"/>
      <c r="E34" s="375"/>
      <c r="F34" s="375"/>
      <c r="G34" s="91"/>
      <c r="H34" s="91"/>
      <c r="I34" s="91"/>
      <c r="J34" s="91"/>
    </row>
    <row r="35" spans="1:13" s="59" customFormat="1" ht="15.75" thickBot="1" x14ac:dyDescent="0.3">
      <c r="A35" s="387" t="s">
        <v>427</v>
      </c>
      <c r="B35" s="388"/>
      <c r="C35" s="388"/>
      <c r="D35" s="129">
        <v>11665.5</v>
      </c>
      <c r="E35" s="58"/>
      <c r="F35" s="58"/>
      <c r="G35" s="58"/>
      <c r="H35" s="54"/>
      <c r="I35" s="54"/>
    </row>
    <row r="36" spans="1:13" s="59" customFormat="1" ht="6" customHeight="1" thickBot="1" x14ac:dyDescent="0.3">
      <c r="A36" s="60"/>
      <c r="B36" s="60"/>
      <c r="C36" s="60"/>
      <c r="D36" s="38"/>
      <c r="E36" s="58"/>
      <c r="F36" s="58"/>
      <c r="G36" s="58"/>
      <c r="H36" s="54"/>
      <c r="I36" s="54"/>
    </row>
    <row r="37" spans="1:13" s="59" customFormat="1" ht="15.75" thickBot="1" x14ac:dyDescent="0.3">
      <c r="A37" s="55" t="s">
        <v>428</v>
      </c>
      <c r="B37" s="56"/>
      <c r="C37" s="56"/>
      <c r="D37" s="61"/>
      <c r="E37" s="62"/>
      <c r="F37" s="62"/>
      <c r="G37" s="129">
        <f>G14+E25-F25</f>
        <v>363368.04570000002</v>
      </c>
      <c r="H37" s="54"/>
      <c r="I37" s="54"/>
      <c r="M37" s="130"/>
    </row>
    <row r="38" spans="1:13" s="59" customFormat="1" x14ac:dyDescent="0.25">
      <c r="A38" s="60"/>
      <c r="B38" s="60"/>
      <c r="C38" s="60"/>
      <c r="D38" s="38"/>
      <c r="E38" s="58"/>
      <c r="F38" s="58"/>
      <c r="G38" s="38"/>
      <c r="H38" s="54"/>
      <c r="I38" s="54"/>
    </row>
    <row r="39" spans="1:13" ht="26.25" customHeight="1" x14ac:dyDescent="0.25">
      <c r="A39" s="371" t="s">
        <v>44</v>
      </c>
      <c r="B39" s="371"/>
      <c r="C39" s="371"/>
      <c r="D39" s="371"/>
      <c r="E39" s="371"/>
      <c r="F39" s="371"/>
      <c r="G39" s="371"/>
      <c r="H39" s="371"/>
      <c r="I39" s="371"/>
    </row>
    <row r="40" spans="1:13" ht="6" customHeight="1" x14ac:dyDescent="0.25"/>
    <row r="41" spans="1:13" s="156" customFormat="1" ht="28.5" customHeight="1" x14ac:dyDescent="0.25">
      <c r="A41" s="94" t="s">
        <v>11</v>
      </c>
      <c r="B41" s="416" t="s">
        <v>45</v>
      </c>
      <c r="C41" s="425"/>
      <c r="D41" s="94" t="s">
        <v>99</v>
      </c>
      <c r="E41" s="94" t="s">
        <v>98</v>
      </c>
      <c r="F41" s="416" t="s">
        <v>46</v>
      </c>
      <c r="G41" s="424"/>
    </row>
    <row r="42" spans="1:13" s="103" customFormat="1" ht="12.75" customHeight="1" x14ac:dyDescent="0.25">
      <c r="A42" s="98" t="s">
        <v>47</v>
      </c>
      <c r="B42" s="418" t="s">
        <v>75</v>
      </c>
      <c r="C42" s="430"/>
      <c r="D42" s="99"/>
      <c r="E42" s="99"/>
      <c r="F42" s="436">
        <f>SUM(F43:L45)</f>
        <v>956.18039999999996</v>
      </c>
      <c r="G42" s="424"/>
    </row>
    <row r="43" spans="1:13" s="103" customFormat="1" ht="12.75" customHeight="1" x14ac:dyDescent="0.25">
      <c r="A43" s="34" t="s">
        <v>16</v>
      </c>
      <c r="B43" s="472"/>
      <c r="C43" s="455"/>
      <c r="D43" s="176"/>
      <c r="E43" s="176"/>
      <c r="F43" s="463"/>
      <c r="G43" s="463"/>
    </row>
    <row r="44" spans="1:13" s="103" customFormat="1" ht="12.75" customHeight="1" x14ac:dyDescent="0.25">
      <c r="A44" s="34" t="s">
        <v>18</v>
      </c>
      <c r="B44" s="412"/>
      <c r="C44" s="428"/>
      <c r="D44" s="260"/>
      <c r="E44" s="260"/>
      <c r="F44" s="463"/>
      <c r="G44" s="463"/>
    </row>
    <row r="45" spans="1:13" ht="12.75" customHeight="1" x14ac:dyDescent="0.25">
      <c r="A45" s="34" t="s">
        <v>20</v>
      </c>
      <c r="B45" s="406" t="s">
        <v>108</v>
      </c>
      <c r="C45" s="431"/>
      <c r="D45" s="105"/>
      <c r="E45" s="105"/>
      <c r="F45" s="435">
        <f>E25*1%</f>
        <v>956.18039999999996</v>
      </c>
      <c r="G45" s="435"/>
    </row>
    <row r="46" spans="1:13" s="59" customFormat="1" ht="13.5" customHeight="1" x14ac:dyDescent="0.25">
      <c r="A46" s="153"/>
      <c r="B46" s="163"/>
      <c r="C46" s="163"/>
      <c r="D46" s="163"/>
      <c r="E46" s="163"/>
      <c r="F46" s="164"/>
      <c r="G46" s="164"/>
    </row>
    <row r="47" spans="1:13" s="59" customFormat="1" x14ac:dyDescent="0.25">
      <c r="A47" s="51" t="s">
        <v>372</v>
      </c>
      <c r="C47" s="59" t="s">
        <v>49</v>
      </c>
      <c r="F47" s="59" t="s">
        <v>60</v>
      </c>
    </row>
    <row r="48" spans="1:13" s="59" customFormat="1" x14ac:dyDescent="0.25">
      <c r="F48" s="111" t="s">
        <v>438</v>
      </c>
    </row>
    <row r="49" spans="1:7" s="59" customFormat="1" x14ac:dyDescent="0.25">
      <c r="A49" s="59" t="s">
        <v>50</v>
      </c>
    </row>
    <row r="50" spans="1:7" x14ac:dyDescent="0.25">
      <c r="A50" s="59"/>
      <c r="B50" s="59"/>
      <c r="C50" s="113" t="s">
        <v>51</v>
      </c>
      <c r="D50" s="59"/>
      <c r="E50" s="113"/>
      <c r="F50" s="113"/>
      <c r="G50" s="113"/>
    </row>
    <row r="51" spans="1:7" x14ac:dyDescent="0.25">
      <c r="A51" s="59"/>
      <c r="B51" s="59"/>
      <c r="C51" s="59"/>
      <c r="D51" s="59"/>
      <c r="E51" s="59"/>
      <c r="F51" s="59"/>
      <c r="G51" s="59"/>
    </row>
    <row r="52" spans="1:7" ht="15.75" x14ac:dyDescent="0.25">
      <c r="A52" s="59"/>
      <c r="B52" s="334"/>
      <c r="C52" s="59"/>
      <c r="D52" s="59"/>
      <c r="E52" s="59"/>
      <c r="F52" s="59"/>
      <c r="G52" s="59"/>
    </row>
  </sheetData>
  <mergeCells count="21">
    <mergeCell ref="F44:G44"/>
    <mergeCell ref="A34:F34"/>
    <mergeCell ref="B41:C41"/>
    <mergeCell ref="F42:G42"/>
    <mergeCell ref="A11:I11"/>
    <mergeCell ref="F45:G45"/>
    <mergeCell ref="B45:C45"/>
    <mergeCell ref="A39:I39"/>
    <mergeCell ref="A35:C35"/>
    <mergeCell ref="F41:G41"/>
    <mergeCell ref="A2:K2"/>
    <mergeCell ref="A12:I12"/>
    <mergeCell ref="B42:C42"/>
    <mergeCell ref="B44:C44"/>
    <mergeCell ref="C33:F33"/>
    <mergeCell ref="A1:I1"/>
    <mergeCell ref="A5:I5"/>
    <mergeCell ref="A10:I10"/>
    <mergeCell ref="A3:K3"/>
    <mergeCell ref="F43:G43"/>
    <mergeCell ref="B43:C43"/>
  </mergeCells>
  <phoneticPr fontId="14" type="noConversion"/>
  <pageMargins left="0" right="0" top="0" bottom="0" header="0.31496062992125984" footer="0.31496062992125984"/>
  <pageSetup paperSize="9" orientation="portrait" verticalDpi="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8D5AEA-2AEE-4264-B856-BF014A29F479}">
  <sheetPr>
    <tabColor rgb="FF7030A0"/>
  </sheetPr>
  <dimension ref="A1:M59"/>
  <sheetViews>
    <sheetView topLeftCell="A43" zoomScaleNormal="100" workbookViewId="0">
      <selection activeCell="A60" sqref="A60:IV61"/>
    </sheetView>
  </sheetViews>
  <sheetFormatPr defaultRowHeight="15" outlineLevelRow="1" outlineLevelCol="1" x14ac:dyDescent="0.25"/>
  <cols>
    <col min="1" max="1" width="6.28515625" style="35" customWidth="1"/>
    <col min="2" max="2" width="40.28515625" style="35" customWidth="1"/>
    <col min="3" max="3" width="13" style="35" customWidth="1"/>
    <col min="4" max="4" width="13.42578125" style="35" customWidth="1"/>
    <col min="5" max="5" width="12.7109375" style="35" customWidth="1"/>
    <col min="6" max="6" width="13.140625" style="35" customWidth="1"/>
    <col min="7" max="7" width="13.7109375" style="35" customWidth="1"/>
    <col min="8" max="8" width="10.85546875" style="35" hidden="1" customWidth="1" outlineLevel="1"/>
    <col min="9" max="9" width="13.42578125" style="35" hidden="1" customWidth="1" outlineLevel="1"/>
    <col min="10" max="12" width="9.140625" style="35" hidden="1" customWidth="1" outlineLevel="1"/>
    <col min="13" max="13" width="10.7109375" style="35" bestFit="1" customWidth="1" collapsed="1"/>
    <col min="14" max="16384" width="9.140625" style="35"/>
  </cols>
  <sheetData>
    <row r="1" spans="1:11" x14ac:dyDescent="0.25">
      <c r="A1" s="397" t="s">
        <v>0</v>
      </c>
      <c r="B1" s="397"/>
      <c r="C1" s="397"/>
      <c r="D1" s="397"/>
      <c r="E1" s="397"/>
      <c r="F1" s="397"/>
      <c r="G1" s="397"/>
      <c r="H1" s="397"/>
      <c r="I1" s="397"/>
    </row>
    <row r="2" spans="1:11" ht="15" customHeight="1" x14ac:dyDescent="0.25">
      <c r="A2" s="370" t="s">
        <v>152</v>
      </c>
      <c r="B2" s="370"/>
      <c r="C2" s="370"/>
      <c r="D2" s="370"/>
      <c r="E2" s="370"/>
      <c r="F2" s="370"/>
      <c r="G2" s="370"/>
      <c r="H2" s="370"/>
      <c r="I2" s="370"/>
      <c r="J2" s="370"/>
      <c r="K2" s="370"/>
    </row>
    <row r="3" spans="1:11" ht="12" customHeight="1" x14ac:dyDescent="0.25">
      <c r="A3" s="370" t="s">
        <v>426</v>
      </c>
      <c r="B3" s="370"/>
      <c r="C3" s="370"/>
      <c r="D3" s="370"/>
      <c r="E3" s="370"/>
      <c r="F3" s="370"/>
      <c r="G3" s="370"/>
      <c r="H3" s="370"/>
      <c r="I3" s="370"/>
      <c r="J3" s="370"/>
      <c r="K3" s="370"/>
    </row>
    <row r="4" spans="1:11" ht="6.75" customHeight="1" x14ac:dyDescent="0.25">
      <c r="A4" s="142"/>
      <c r="B4" s="142"/>
      <c r="C4" s="142"/>
      <c r="D4" s="142"/>
      <c r="E4" s="142"/>
      <c r="F4" s="142"/>
      <c r="G4" s="142"/>
      <c r="H4" s="142"/>
      <c r="I4" s="142"/>
    </row>
    <row r="5" spans="1:11" ht="12.75" customHeight="1" x14ac:dyDescent="0.25">
      <c r="A5" s="398" t="s">
        <v>1</v>
      </c>
      <c r="B5" s="397"/>
      <c r="C5" s="397"/>
      <c r="D5" s="397"/>
      <c r="E5" s="397"/>
      <c r="F5" s="397"/>
      <c r="G5" s="397"/>
      <c r="H5" s="397"/>
      <c r="I5" s="397"/>
    </row>
    <row r="6" spans="1:11" ht="7.5" customHeight="1" x14ac:dyDescent="0.25"/>
    <row r="7" spans="1:11" s="59" customFormat="1" ht="16.5" customHeight="1" x14ac:dyDescent="0.25">
      <c r="A7" s="59" t="s">
        <v>2</v>
      </c>
      <c r="F7" s="111" t="s">
        <v>184</v>
      </c>
    </row>
    <row r="8" spans="1:11" s="59" customFormat="1" x14ac:dyDescent="0.25">
      <c r="A8" s="59" t="s">
        <v>3</v>
      </c>
      <c r="F8" s="239" t="s">
        <v>185</v>
      </c>
      <c r="I8" s="180">
        <v>0</v>
      </c>
      <c r="J8" s="180">
        <v>8480.5</v>
      </c>
    </row>
    <row r="9" spans="1:11" s="59" customFormat="1" ht="9" customHeight="1" x14ac:dyDescent="0.25"/>
    <row r="10" spans="1:11" s="59" customFormat="1" x14ac:dyDescent="0.25">
      <c r="A10" s="372" t="s">
        <v>8</v>
      </c>
      <c r="B10" s="372"/>
      <c r="C10" s="372"/>
      <c r="D10" s="372"/>
      <c r="E10" s="372"/>
      <c r="F10" s="372"/>
      <c r="G10" s="372"/>
      <c r="H10" s="372"/>
      <c r="I10" s="372"/>
    </row>
    <row r="11" spans="1:11" s="59" customFormat="1" x14ac:dyDescent="0.25">
      <c r="A11" s="372" t="s">
        <v>9</v>
      </c>
      <c r="B11" s="372"/>
      <c r="C11" s="372"/>
      <c r="D11" s="372"/>
      <c r="E11" s="372"/>
      <c r="F11" s="372"/>
      <c r="G11" s="372"/>
      <c r="H11" s="372"/>
      <c r="I11" s="372"/>
    </row>
    <row r="12" spans="1:11" s="59" customFormat="1" x14ac:dyDescent="0.25">
      <c r="A12" s="372" t="s">
        <v>10</v>
      </c>
      <c r="B12" s="372"/>
      <c r="C12" s="372"/>
      <c r="D12" s="372"/>
      <c r="E12" s="372"/>
      <c r="F12" s="372"/>
      <c r="G12" s="372"/>
      <c r="H12" s="372"/>
      <c r="I12" s="372"/>
    </row>
    <row r="13" spans="1:11" s="59" customFormat="1" ht="6" customHeight="1" thickBot="1" x14ac:dyDescent="0.3">
      <c r="A13" s="60"/>
      <c r="B13" s="60"/>
      <c r="C13" s="60"/>
      <c r="D13" s="38"/>
      <c r="E13" s="58"/>
      <c r="F13" s="58"/>
      <c r="G13" s="58"/>
      <c r="H13" s="54"/>
      <c r="I13" s="54"/>
    </row>
    <row r="14" spans="1:11" s="59" customFormat="1" ht="15.75" thickBot="1" x14ac:dyDescent="0.3">
      <c r="A14" s="55" t="s">
        <v>381</v>
      </c>
      <c r="B14" s="56"/>
      <c r="C14" s="56"/>
      <c r="D14" s="61"/>
      <c r="E14" s="62"/>
      <c r="F14" s="62"/>
      <c r="G14" s="129">
        <f>'[1]Пролетарская 21'!$G$37</f>
        <v>-529882.89519999991</v>
      </c>
      <c r="H14" s="54"/>
      <c r="I14" s="54"/>
    </row>
    <row r="15" spans="1:11" s="59" customFormat="1" ht="9.75" customHeight="1" x14ac:dyDescent="0.25"/>
    <row r="16" spans="1:11" s="66" customFormat="1" ht="38.25" x14ac:dyDescent="0.25">
      <c r="A16" s="64" t="s">
        <v>11</v>
      </c>
      <c r="B16" s="64" t="s">
        <v>12</v>
      </c>
      <c r="C16" s="64" t="s">
        <v>61</v>
      </c>
      <c r="D16" s="64" t="s">
        <v>432</v>
      </c>
      <c r="E16" s="64" t="s">
        <v>433</v>
      </c>
      <c r="F16" s="65" t="s">
        <v>434</v>
      </c>
      <c r="G16" s="64" t="s">
        <v>435</v>
      </c>
    </row>
    <row r="17" spans="1:13" s="152" customFormat="1" x14ac:dyDescent="0.25">
      <c r="A17" s="67" t="s">
        <v>14</v>
      </c>
      <c r="B17" s="39" t="s">
        <v>379</v>
      </c>
      <c r="C17" s="120">
        <v>20.32</v>
      </c>
      <c r="D17" s="68">
        <v>2067884.4</v>
      </c>
      <c r="E17" s="68">
        <v>2013253.74</v>
      </c>
      <c r="F17" s="68">
        <f>D17</f>
        <v>2067884.4</v>
      </c>
      <c r="G17" s="69">
        <f>D17-E17</f>
        <v>54630.659999999916</v>
      </c>
      <c r="H17" s="130">
        <f>C17</f>
        <v>20.32</v>
      </c>
    </row>
    <row r="18" spans="1:13" s="59" customFormat="1" hidden="1" outlineLevel="1" x14ac:dyDescent="0.25">
      <c r="A18" s="73" t="s">
        <v>16</v>
      </c>
      <c r="B18" s="34" t="s">
        <v>17</v>
      </c>
      <c r="C18" s="89">
        <v>3.46</v>
      </c>
      <c r="D18" s="75">
        <f>D17*I18</f>
        <v>352110.23740157479</v>
      </c>
      <c r="E18" s="75">
        <f>E17*I18</f>
        <v>342807.96950787405</v>
      </c>
      <c r="F18" s="75">
        <f>D18</f>
        <v>352110.23740157479</v>
      </c>
      <c r="G18" s="76">
        <f>D18-E18</f>
        <v>9302.267893700744</v>
      </c>
      <c r="H18" s="130">
        <f>C18</f>
        <v>3.46</v>
      </c>
      <c r="I18" s="59">
        <f>H18/H17</f>
        <v>0.17027559055118111</v>
      </c>
    </row>
    <row r="19" spans="1:13" s="59" customFormat="1" hidden="1" outlineLevel="1" x14ac:dyDescent="0.25">
      <c r="A19" s="73" t="s">
        <v>18</v>
      </c>
      <c r="B19" s="34" t="s">
        <v>19</v>
      </c>
      <c r="C19" s="89">
        <v>1.69</v>
      </c>
      <c r="D19" s="75">
        <f>D17*I19</f>
        <v>171984.48011811022</v>
      </c>
      <c r="E19" s="75">
        <f>E17*I19</f>
        <v>167440.88684055116</v>
      </c>
      <c r="F19" s="75">
        <f>D19</f>
        <v>171984.48011811022</v>
      </c>
      <c r="G19" s="76">
        <f>D19-E19</f>
        <v>4543.5932775590627</v>
      </c>
      <c r="H19" s="130">
        <f>C19</f>
        <v>1.69</v>
      </c>
      <c r="I19" s="59">
        <f>H19/H17</f>
        <v>8.3169291338582668E-2</v>
      </c>
    </row>
    <row r="20" spans="1:13" s="59" customFormat="1" hidden="1" outlineLevel="1" x14ac:dyDescent="0.25">
      <c r="A20" s="73" t="s">
        <v>20</v>
      </c>
      <c r="B20" s="34" t="s">
        <v>21</v>
      </c>
      <c r="C20" s="89">
        <v>2.15</v>
      </c>
      <c r="D20" s="75">
        <f>D17*I20</f>
        <v>218796.82381889762</v>
      </c>
      <c r="E20" s="75">
        <f>E17*I20</f>
        <v>213016.51284448817</v>
      </c>
      <c r="F20" s="75">
        <f>D20</f>
        <v>218796.82381889762</v>
      </c>
      <c r="G20" s="76">
        <f>D20-E20</f>
        <v>5780.3109744094545</v>
      </c>
      <c r="H20" s="130">
        <f>C20</f>
        <v>2.15</v>
      </c>
      <c r="I20" s="59">
        <f>H20/H17</f>
        <v>0.10580708661417322</v>
      </c>
    </row>
    <row r="21" spans="1:13" s="59" customFormat="1" hidden="1" outlineLevel="1" x14ac:dyDescent="0.25">
      <c r="A21" s="73" t="s">
        <v>22</v>
      </c>
      <c r="B21" s="34" t="s">
        <v>23</v>
      </c>
      <c r="C21" s="89">
        <v>3.04</v>
      </c>
      <c r="D21" s="75">
        <f>D17*I21</f>
        <v>309368.53228346456</v>
      </c>
      <c r="E21" s="75">
        <f>E17*I21</f>
        <v>301195.44141732284</v>
      </c>
      <c r="F21" s="75">
        <f>D21</f>
        <v>309368.53228346456</v>
      </c>
      <c r="G21" s="76">
        <f>D21-E21</f>
        <v>8173.0908661417197</v>
      </c>
      <c r="H21" s="130">
        <f>C21</f>
        <v>3.04</v>
      </c>
      <c r="I21" s="59">
        <f>H21/H17</f>
        <v>0.14960629921259844</v>
      </c>
    </row>
    <row r="22" spans="1:13" s="37" customFormat="1" ht="14.25" collapsed="1" x14ac:dyDescent="0.2">
      <c r="A22" s="39" t="s">
        <v>25</v>
      </c>
      <c r="B22" s="78" t="s">
        <v>145</v>
      </c>
      <c r="C22" s="46">
        <v>120</v>
      </c>
      <c r="D22" s="69">
        <v>0</v>
      </c>
      <c r="E22" s="69">
        <v>593.12</v>
      </c>
      <c r="F22" s="68">
        <f t="shared" ref="F22:F31" si="0">D22</f>
        <v>0</v>
      </c>
      <c r="G22" s="69">
        <f t="shared" ref="G22:G31" si="1">D22-E22</f>
        <v>-593.12</v>
      </c>
      <c r="H22" s="37">
        <f>34*130</f>
        <v>4420</v>
      </c>
      <c r="I22" s="272">
        <f>D22/H22</f>
        <v>0</v>
      </c>
    </row>
    <row r="23" spans="1:13" s="37" customFormat="1" ht="14.25" x14ac:dyDescent="0.2">
      <c r="A23" s="39" t="s">
        <v>27</v>
      </c>
      <c r="B23" s="125" t="s">
        <v>26</v>
      </c>
      <c r="C23" s="87">
        <v>4.3600000000000003</v>
      </c>
      <c r="D23" s="69">
        <v>439968.68</v>
      </c>
      <c r="E23" s="69">
        <v>431859.68</v>
      </c>
      <c r="F23" s="68">
        <f>D23</f>
        <v>439968.68</v>
      </c>
      <c r="G23" s="69">
        <f t="shared" si="1"/>
        <v>8109</v>
      </c>
    </row>
    <row r="24" spans="1:13" s="37" customFormat="1" ht="14.25" x14ac:dyDescent="0.2">
      <c r="A24" s="39" t="s">
        <v>29</v>
      </c>
      <c r="B24" s="125" t="s">
        <v>97</v>
      </c>
      <c r="C24" s="357">
        <v>0</v>
      </c>
      <c r="D24" s="69">
        <v>0</v>
      </c>
      <c r="E24" s="69">
        <v>0</v>
      </c>
      <c r="F24" s="68">
        <f t="shared" si="0"/>
        <v>0</v>
      </c>
      <c r="G24" s="69">
        <f t="shared" si="1"/>
        <v>0</v>
      </c>
    </row>
    <row r="25" spans="1:13" s="37" customFormat="1" ht="14.25" x14ac:dyDescent="0.2">
      <c r="A25" s="39" t="s">
        <v>31</v>
      </c>
      <c r="B25" s="125" t="s">
        <v>80</v>
      </c>
      <c r="C25" s="87">
        <v>2.0099999999999998</v>
      </c>
      <c r="D25" s="69">
        <v>204550.92</v>
      </c>
      <c r="E25" s="69">
        <v>200890.21</v>
      </c>
      <c r="F25" s="68">
        <f>F41</f>
        <v>228922.94209999999</v>
      </c>
      <c r="G25" s="69">
        <f t="shared" si="1"/>
        <v>3660.710000000021</v>
      </c>
    </row>
    <row r="26" spans="1:13" s="37" customFormat="1" ht="14.25" x14ac:dyDescent="0.2">
      <c r="A26" s="39" t="s">
        <v>33</v>
      </c>
      <c r="B26" s="119" t="s">
        <v>34</v>
      </c>
      <c r="C26" s="43">
        <v>0</v>
      </c>
      <c r="D26" s="69">
        <v>0</v>
      </c>
      <c r="E26" s="69">
        <v>0</v>
      </c>
      <c r="F26" s="68">
        <f>D26</f>
        <v>0</v>
      </c>
      <c r="G26" s="69">
        <f t="shared" si="1"/>
        <v>0</v>
      </c>
    </row>
    <row r="27" spans="1:13" s="37" customFormat="1" ht="14.25" x14ac:dyDescent="0.2">
      <c r="A27" s="39" t="s">
        <v>35</v>
      </c>
      <c r="B27" s="119" t="s">
        <v>36</v>
      </c>
      <c r="C27" s="87"/>
      <c r="D27" s="69">
        <f>SUM(D28:D31)</f>
        <v>6199121.1200000001</v>
      </c>
      <c r="E27" s="69">
        <f>SUM(E28:E31)</f>
        <v>6094471.3399999999</v>
      </c>
      <c r="F27" s="68">
        <f t="shared" si="0"/>
        <v>6199121.1200000001</v>
      </c>
      <c r="G27" s="69">
        <f t="shared" si="1"/>
        <v>104649.78000000026</v>
      </c>
      <c r="M27" s="272"/>
    </row>
    <row r="28" spans="1:13" x14ac:dyDescent="0.25">
      <c r="A28" s="34" t="s">
        <v>37</v>
      </c>
      <c r="B28" s="34" t="s">
        <v>101</v>
      </c>
      <c r="C28" s="89">
        <v>7.36</v>
      </c>
      <c r="D28" s="76">
        <v>289966.02</v>
      </c>
      <c r="E28" s="76">
        <v>284148.06</v>
      </c>
      <c r="F28" s="75">
        <f>D28</f>
        <v>289966.02</v>
      </c>
      <c r="G28" s="76">
        <f t="shared" si="1"/>
        <v>5817.960000000021</v>
      </c>
    </row>
    <row r="29" spans="1:13" x14ac:dyDescent="0.25">
      <c r="A29" s="34" t="s">
        <v>39</v>
      </c>
      <c r="B29" s="34" t="s">
        <v>84</v>
      </c>
      <c r="C29" s="89">
        <v>88.38</v>
      </c>
      <c r="D29" s="76">
        <v>991460.5</v>
      </c>
      <c r="E29" s="76">
        <v>980628.35</v>
      </c>
      <c r="F29" s="75">
        <f t="shared" si="0"/>
        <v>991460.5</v>
      </c>
      <c r="G29" s="76">
        <f t="shared" si="1"/>
        <v>10832.150000000023</v>
      </c>
    </row>
    <row r="30" spans="1:13" x14ac:dyDescent="0.25">
      <c r="A30" s="34" t="s">
        <v>42</v>
      </c>
      <c r="B30" s="34" t="s">
        <v>40</v>
      </c>
      <c r="C30" s="128">
        <v>278.94</v>
      </c>
      <c r="D30" s="76">
        <v>1250825.98</v>
      </c>
      <c r="E30" s="76">
        <v>1235783.07</v>
      </c>
      <c r="F30" s="75">
        <f t="shared" si="0"/>
        <v>1250825.98</v>
      </c>
      <c r="G30" s="76">
        <f t="shared" si="1"/>
        <v>15042.909999999916</v>
      </c>
    </row>
    <row r="31" spans="1:13" x14ac:dyDescent="0.25">
      <c r="A31" s="34" t="s">
        <v>41</v>
      </c>
      <c r="B31" s="34" t="s">
        <v>43</v>
      </c>
      <c r="C31" s="89">
        <v>3352.42</v>
      </c>
      <c r="D31" s="76">
        <v>3666868.62</v>
      </c>
      <c r="E31" s="76">
        <v>3593911.86</v>
      </c>
      <c r="F31" s="75">
        <f t="shared" si="0"/>
        <v>3666868.62</v>
      </c>
      <c r="G31" s="76">
        <f t="shared" si="1"/>
        <v>72956.760000000242</v>
      </c>
    </row>
    <row r="32" spans="1:13" hidden="1" outlineLevel="1" x14ac:dyDescent="0.25">
      <c r="A32" s="240" t="s">
        <v>130</v>
      </c>
      <c r="B32" s="257" t="s">
        <v>131</v>
      </c>
      <c r="C32" s="235"/>
      <c r="D32" s="248">
        <v>1800</v>
      </c>
      <c r="E32" s="248">
        <v>1800</v>
      </c>
      <c r="F32" s="296">
        <v>0</v>
      </c>
      <c r="G32" s="248">
        <f>E32-D32</f>
        <v>0</v>
      </c>
    </row>
    <row r="33" spans="1:10" hidden="1" outlineLevel="1" x14ac:dyDescent="0.25">
      <c r="A33" s="174"/>
      <c r="B33" s="295"/>
      <c r="C33" s="376" t="s">
        <v>246</v>
      </c>
      <c r="D33" s="377"/>
      <c r="E33" s="377"/>
      <c r="F33" s="377"/>
      <c r="G33" s="82">
        <f>E32-(E32*15%)</f>
        <v>1530</v>
      </c>
    </row>
    <row r="34" spans="1:10" s="92" customFormat="1" ht="15" customHeight="1" collapsed="1" thickBot="1" x14ac:dyDescent="0.3">
      <c r="A34" s="373"/>
      <c r="B34" s="374"/>
      <c r="C34" s="374"/>
      <c r="D34" s="375"/>
      <c r="E34" s="375"/>
      <c r="F34" s="375"/>
      <c r="G34" s="91"/>
      <c r="H34" s="91"/>
      <c r="I34" s="91"/>
      <c r="J34" s="91"/>
    </row>
    <row r="35" spans="1:10" s="59" customFormat="1" ht="15.75" thickBot="1" x14ac:dyDescent="0.3">
      <c r="A35" s="387" t="s">
        <v>427</v>
      </c>
      <c r="B35" s="388"/>
      <c r="C35" s="388"/>
      <c r="D35" s="57">
        <v>170457.03</v>
      </c>
      <c r="E35" s="58"/>
      <c r="F35" s="58"/>
      <c r="G35" s="58"/>
      <c r="H35" s="54"/>
      <c r="I35" s="54"/>
    </row>
    <row r="36" spans="1:10" s="59" customFormat="1" ht="6" customHeight="1" thickBot="1" x14ac:dyDescent="0.3">
      <c r="A36" s="60"/>
      <c r="B36" s="60"/>
      <c r="C36" s="60"/>
      <c r="D36" s="38"/>
      <c r="E36" s="58"/>
      <c r="F36" s="58"/>
      <c r="G36" s="58"/>
      <c r="H36" s="54"/>
      <c r="I36" s="54"/>
    </row>
    <row r="37" spans="1:10" s="59" customFormat="1" ht="15.75" thickBot="1" x14ac:dyDescent="0.3">
      <c r="A37" s="55" t="s">
        <v>428</v>
      </c>
      <c r="B37" s="56"/>
      <c r="C37" s="56"/>
      <c r="D37" s="61"/>
      <c r="E37" s="62"/>
      <c r="F37" s="62"/>
      <c r="G37" s="129">
        <f>G14+E25-F25</f>
        <v>-557915.62729999993</v>
      </c>
      <c r="H37" s="54"/>
      <c r="I37" s="54"/>
    </row>
    <row r="38" spans="1:10" ht="25.5" customHeight="1" x14ac:dyDescent="0.25">
      <c r="A38" s="371" t="s">
        <v>44</v>
      </c>
      <c r="B38" s="371"/>
      <c r="C38" s="371"/>
      <c r="D38" s="371"/>
      <c r="E38" s="371"/>
      <c r="F38" s="371"/>
      <c r="G38" s="371"/>
      <c r="H38" s="371"/>
      <c r="I38" s="371"/>
    </row>
    <row r="39" spans="1:10" ht="5.25" customHeight="1" x14ac:dyDescent="0.25"/>
    <row r="40" spans="1:10" s="156" customFormat="1" ht="28.5" customHeight="1" x14ac:dyDescent="0.25">
      <c r="A40" s="94" t="s">
        <v>11</v>
      </c>
      <c r="B40" s="416" t="s">
        <v>45</v>
      </c>
      <c r="C40" s="425"/>
      <c r="D40" s="94" t="s">
        <v>99</v>
      </c>
      <c r="E40" s="94" t="s">
        <v>98</v>
      </c>
      <c r="F40" s="416" t="s">
        <v>46</v>
      </c>
      <c r="G40" s="424"/>
    </row>
    <row r="41" spans="1:10" s="103" customFormat="1" ht="12" customHeight="1" x14ac:dyDescent="0.25">
      <c r="A41" s="98" t="s">
        <v>47</v>
      </c>
      <c r="B41" s="418" t="s">
        <v>75</v>
      </c>
      <c r="C41" s="430"/>
      <c r="D41" s="99"/>
      <c r="E41" s="99"/>
      <c r="F41" s="436">
        <f>SUM(F42:G52)</f>
        <v>228922.94209999999</v>
      </c>
      <c r="G41" s="424"/>
    </row>
    <row r="42" spans="1:10" s="103" customFormat="1" ht="18.600000000000001" customHeight="1" x14ac:dyDescent="0.25">
      <c r="A42" s="34" t="s">
        <v>16</v>
      </c>
      <c r="B42" s="479" t="s">
        <v>465</v>
      </c>
      <c r="C42" s="480"/>
      <c r="D42" s="176" t="s">
        <v>100</v>
      </c>
      <c r="E42" s="176">
        <v>27</v>
      </c>
      <c r="F42" s="477">
        <v>55291.25</v>
      </c>
      <c r="G42" s="478"/>
    </row>
    <row r="43" spans="1:10" s="103" customFormat="1" ht="31.5" customHeight="1" x14ac:dyDescent="0.25">
      <c r="A43" s="34" t="s">
        <v>18</v>
      </c>
      <c r="B43" s="479" t="s">
        <v>466</v>
      </c>
      <c r="C43" s="480"/>
      <c r="D43" s="176" t="s">
        <v>137</v>
      </c>
      <c r="E43" s="176">
        <v>0.04</v>
      </c>
      <c r="F43" s="477">
        <v>67980.12</v>
      </c>
      <c r="G43" s="478"/>
    </row>
    <row r="44" spans="1:10" s="103" customFormat="1" ht="18.75" customHeight="1" x14ac:dyDescent="0.25">
      <c r="A44" s="34" t="s">
        <v>20</v>
      </c>
      <c r="B44" s="475" t="s">
        <v>467</v>
      </c>
      <c r="C44" s="476"/>
      <c r="D44" s="176" t="s">
        <v>100</v>
      </c>
      <c r="E44" s="176">
        <v>1</v>
      </c>
      <c r="F44" s="477">
        <v>16000</v>
      </c>
      <c r="G44" s="478"/>
    </row>
    <row r="45" spans="1:10" s="103" customFormat="1" ht="18" customHeight="1" x14ac:dyDescent="0.25">
      <c r="A45" s="34" t="s">
        <v>22</v>
      </c>
      <c r="B45" s="475" t="s">
        <v>468</v>
      </c>
      <c r="C45" s="476"/>
      <c r="D45" s="176" t="s">
        <v>137</v>
      </c>
      <c r="E45" s="176">
        <v>1.7000000000000001E-2</v>
      </c>
      <c r="F45" s="477">
        <v>10686.72</v>
      </c>
      <c r="G45" s="478"/>
    </row>
    <row r="46" spans="1:10" s="103" customFormat="1" ht="19.5" customHeight="1" x14ac:dyDescent="0.25">
      <c r="A46" s="34" t="s">
        <v>24</v>
      </c>
      <c r="B46" s="475" t="s">
        <v>414</v>
      </c>
      <c r="C46" s="476"/>
      <c r="D46" s="176" t="s">
        <v>100</v>
      </c>
      <c r="E46" s="176">
        <v>3</v>
      </c>
      <c r="F46" s="477">
        <v>23323.51</v>
      </c>
      <c r="G46" s="478"/>
    </row>
    <row r="47" spans="1:10" s="103" customFormat="1" ht="16.5" customHeight="1" x14ac:dyDescent="0.25">
      <c r="A47" s="34" t="s">
        <v>73</v>
      </c>
      <c r="B47" s="475" t="s">
        <v>469</v>
      </c>
      <c r="C47" s="476"/>
      <c r="D47" s="176" t="s">
        <v>137</v>
      </c>
      <c r="E47" s="176">
        <v>0.02</v>
      </c>
      <c r="F47" s="477">
        <v>13453.3</v>
      </c>
      <c r="G47" s="478"/>
    </row>
    <row r="48" spans="1:10" s="103" customFormat="1" ht="18.600000000000001" customHeight="1" x14ac:dyDescent="0.25">
      <c r="A48" s="34" t="s">
        <v>74</v>
      </c>
      <c r="B48" s="475" t="s">
        <v>470</v>
      </c>
      <c r="C48" s="476"/>
      <c r="D48" s="176" t="s">
        <v>137</v>
      </c>
      <c r="E48" s="176">
        <v>3.6499999999999998E-2</v>
      </c>
      <c r="F48" s="481">
        <v>14861.71</v>
      </c>
      <c r="G48" s="482"/>
    </row>
    <row r="49" spans="1:7" s="103" customFormat="1" ht="19.899999999999999" customHeight="1" x14ac:dyDescent="0.25">
      <c r="A49" s="34" t="s">
        <v>81</v>
      </c>
      <c r="B49" s="475" t="s">
        <v>471</v>
      </c>
      <c r="C49" s="476"/>
      <c r="D49" s="176" t="s">
        <v>100</v>
      </c>
      <c r="E49" s="176">
        <v>1</v>
      </c>
      <c r="F49" s="477">
        <v>10803.56</v>
      </c>
      <c r="G49" s="478"/>
    </row>
    <row r="50" spans="1:7" s="103" customFormat="1" ht="16.149999999999999" customHeight="1" x14ac:dyDescent="0.25">
      <c r="A50" s="34" t="s">
        <v>82</v>
      </c>
      <c r="B50" s="475" t="s">
        <v>494</v>
      </c>
      <c r="C50" s="476"/>
      <c r="D50" s="176" t="s">
        <v>100</v>
      </c>
      <c r="E50" s="176">
        <v>1</v>
      </c>
      <c r="F50" s="477">
        <v>7940.28</v>
      </c>
      <c r="G50" s="478"/>
    </row>
    <row r="51" spans="1:7" s="103" customFormat="1" ht="14.45" customHeight="1" x14ac:dyDescent="0.25">
      <c r="A51" s="34" t="s">
        <v>83</v>
      </c>
      <c r="B51" s="475" t="s">
        <v>618</v>
      </c>
      <c r="C51" s="476"/>
      <c r="D51" s="176" t="s">
        <v>458</v>
      </c>
      <c r="E51" s="176">
        <v>0.08</v>
      </c>
      <c r="F51" s="477">
        <v>6573.59</v>
      </c>
      <c r="G51" s="478"/>
    </row>
    <row r="52" spans="1:7" ht="14.25" customHeight="1" x14ac:dyDescent="0.25">
      <c r="A52" s="34" t="s">
        <v>86</v>
      </c>
      <c r="B52" s="406" t="s">
        <v>108</v>
      </c>
      <c r="C52" s="431"/>
      <c r="D52" s="105"/>
      <c r="E52" s="105"/>
      <c r="F52" s="473">
        <f>E25*1%</f>
        <v>2008.9021</v>
      </c>
      <c r="G52" s="474"/>
    </row>
    <row r="53" spans="1:7" x14ac:dyDescent="0.25">
      <c r="B53" s="139"/>
      <c r="C53" s="139"/>
      <c r="D53" s="139"/>
      <c r="E53" s="139"/>
    </row>
    <row r="54" spans="1:7" s="59" customFormat="1" x14ac:dyDescent="0.25">
      <c r="A54" s="51" t="s">
        <v>372</v>
      </c>
      <c r="C54" s="59" t="s">
        <v>49</v>
      </c>
      <c r="F54" s="59" t="s">
        <v>60</v>
      </c>
    </row>
    <row r="55" spans="1:7" s="59" customFormat="1" ht="13.5" customHeight="1" x14ac:dyDescent="0.25">
      <c r="F55" s="111" t="s">
        <v>438</v>
      </c>
    </row>
    <row r="56" spans="1:7" s="59" customFormat="1" x14ac:dyDescent="0.25">
      <c r="A56" s="59" t="s">
        <v>50</v>
      </c>
    </row>
    <row r="57" spans="1:7" s="59" customFormat="1" x14ac:dyDescent="0.25">
      <c r="C57" s="113" t="s">
        <v>51</v>
      </c>
      <c r="E57" s="113"/>
      <c r="F57" s="113"/>
      <c r="G57" s="113"/>
    </row>
    <row r="58" spans="1:7" s="59" customFormat="1" ht="15.75" x14ac:dyDescent="0.25">
      <c r="B58" s="353"/>
    </row>
    <row r="59" spans="1:7" s="59" customFormat="1" x14ac:dyDescent="0.25"/>
  </sheetData>
  <mergeCells count="37">
    <mergeCell ref="B51:C51"/>
    <mergeCell ref="F51:G51"/>
    <mergeCell ref="B50:C50"/>
    <mergeCell ref="F50:G50"/>
    <mergeCell ref="B44:C44"/>
    <mergeCell ref="B45:C45"/>
    <mergeCell ref="B46:C46"/>
    <mergeCell ref="A12:I12"/>
    <mergeCell ref="F43:G43"/>
    <mergeCell ref="F47:G47"/>
    <mergeCell ref="C33:F33"/>
    <mergeCell ref="F48:G48"/>
    <mergeCell ref="B43:C43"/>
    <mergeCell ref="B47:C47"/>
    <mergeCell ref="B48:C48"/>
    <mergeCell ref="F41:G41"/>
    <mergeCell ref="A34:F34"/>
    <mergeCell ref="F42:G42"/>
    <mergeCell ref="B42:C42"/>
    <mergeCell ref="A38:I38"/>
    <mergeCell ref="F46:G46"/>
    <mergeCell ref="A1:I1"/>
    <mergeCell ref="A5:I5"/>
    <mergeCell ref="A10:I10"/>
    <mergeCell ref="A3:K3"/>
    <mergeCell ref="A11:I11"/>
    <mergeCell ref="A2:K2"/>
    <mergeCell ref="F52:G52"/>
    <mergeCell ref="B52:C52"/>
    <mergeCell ref="B40:C40"/>
    <mergeCell ref="B41:C41"/>
    <mergeCell ref="F40:G40"/>
    <mergeCell ref="A35:C35"/>
    <mergeCell ref="B49:C49"/>
    <mergeCell ref="F49:G49"/>
    <mergeCell ref="F44:G44"/>
    <mergeCell ref="F45:G45"/>
  </mergeCells>
  <phoneticPr fontId="14" type="noConversion"/>
  <pageMargins left="0" right="0" top="0" bottom="0" header="0.31496062992125984" footer="0.31496062992125984"/>
  <pageSetup paperSize="9" scale="90" orientation="portrait" verticalDpi="2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9D24F9-4880-440C-ABA7-2363A77C57C7}">
  <sheetPr>
    <tabColor rgb="FF7030A0"/>
  </sheetPr>
  <dimension ref="A1:M57"/>
  <sheetViews>
    <sheetView topLeftCell="A31" zoomScaleNormal="100" workbookViewId="0">
      <selection activeCell="A59" sqref="A59:IV60"/>
    </sheetView>
  </sheetViews>
  <sheetFormatPr defaultRowHeight="15" outlineLevelRow="1" outlineLevelCol="1" x14ac:dyDescent="0.25"/>
  <cols>
    <col min="1" max="1" width="4.7109375" style="35" customWidth="1"/>
    <col min="2" max="2" width="40.5703125" style="35" customWidth="1"/>
    <col min="3" max="3" width="13.28515625" style="35" customWidth="1"/>
    <col min="4" max="5" width="13.140625" style="35" bestFit="1" customWidth="1"/>
    <col min="6" max="6" width="14" style="35" customWidth="1"/>
    <col min="7" max="7" width="13.5703125" style="35" customWidth="1"/>
    <col min="8" max="8" width="10.85546875" style="35" hidden="1" customWidth="1" outlineLevel="1"/>
    <col min="9" max="9" width="13.28515625" style="35" hidden="1" customWidth="1" outlineLevel="1"/>
    <col min="10" max="12" width="9.140625" style="35" hidden="1" customWidth="1" outlineLevel="1"/>
    <col min="13" max="13" width="10.140625" style="35" bestFit="1" customWidth="1" collapsed="1"/>
    <col min="14" max="16384" width="9.140625" style="35"/>
  </cols>
  <sheetData>
    <row r="1" spans="1:11" x14ac:dyDescent="0.25">
      <c r="A1" s="397" t="s">
        <v>0</v>
      </c>
      <c r="B1" s="397"/>
      <c r="C1" s="397"/>
      <c r="D1" s="397"/>
      <c r="E1" s="397"/>
      <c r="F1" s="397"/>
      <c r="G1" s="397"/>
      <c r="H1" s="397"/>
      <c r="I1" s="397"/>
    </row>
    <row r="2" spans="1:11" ht="15" customHeight="1" x14ac:dyDescent="0.25">
      <c r="A2" s="370" t="s">
        <v>152</v>
      </c>
      <c r="B2" s="370"/>
      <c r="C2" s="370"/>
      <c r="D2" s="370"/>
      <c r="E2" s="370"/>
      <c r="F2" s="370"/>
      <c r="G2" s="370"/>
      <c r="H2" s="370"/>
      <c r="I2" s="370"/>
      <c r="J2" s="370"/>
      <c r="K2" s="370"/>
    </row>
    <row r="3" spans="1:11" ht="13.5" customHeight="1" x14ac:dyDescent="0.25">
      <c r="A3" s="370" t="s">
        <v>426</v>
      </c>
      <c r="B3" s="370"/>
      <c r="C3" s="370"/>
      <c r="D3" s="370"/>
      <c r="E3" s="370"/>
      <c r="F3" s="370"/>
      <c r="G3" s="370"/>
      <c r="H3" s="370"/>
      <c r="I3" s="370"/>
      <c r="J3" s="370"/>
      <c r="K3" s="370"/>
    </row>
    <row r="4" spans="1:11" ht="7.5" customHeight="1" x14ac:dyDescent="0.25">
      <c r="A4" s="142"/>
      <c r="B4" s="142"/>
      <c r="C4" s="142"/>
      <c r="D4" s="142"/>
      <c r="E4" s="142"/>
      <c r="F4" s="142"/>
      <c r="G4" s="142"/>
      <c r="H4" s="142"/>
      <c r="I4" s="142"/>
    </row>
    <row r="5" spans="1:11" ht="15" customHeight="1" x14ac:dyDescent="0.25">
      <c r="A5" s="398" t="s">
        <v>1</v>
      </c>
      <c r="B5" s="397"/>
      <c r="C5" s="397"/>
      <c r="D5" s="397"/>
      <c r="E5" s="397"/>
      <c r="F5" s="397"/>
      <c r="G5" s="397"/>
      <c r="H5" s="397"/>
      <c r="I5" s="397"/>
    </row>
    <row r="6" spans="1:11" ht="6" customHeight="1" x14ac:dyDescent="0.25"/>
    <row r="7" spans="1:11" s="59" customFormat="1" ht="16.5" customHeight="1" x14ac:dyDescent="0.25">
      <c r="A7" s="59" t="s">
        <v>2</v>
      </c>
      <c r="F7" s="111" t="s">
        <v>186</v>
      </c>
    </row>
    <row r="8" spans="1:11" s="59" customFormat="1" x14ac:dyDescent="0.25">
      <c r="A8" s="59" t="s">
        <v>3</v>
      </c>
      <c r="F8" s="239" t="s">
        <v>187</v>
      </c>
    </row>
    <row r="9" spans="1:11" s="59" customFormat="1" ht="6" customHeight="1" x14ac:dyDescent="0.25"/>
    <row r="10" spans="1:11" s="59" customFormat="1" x14ac:dyDescent="0.25">
      <c r="A10" s="372" t="s">
        <v>8</v>
      </c>
      <c r="B10" s="372"/>
      <c r="C10" s="372"/>
      <c r="D10" s="372"/>
      <c r="E10" s="372"/>
      <c r="F10" s="372"/>
      <c r="G10" s="372"/>
      <c r="H10" s="372"/>
      <c r="I10" s="372"/>
    </row>
    <row r="11" spans="1:11" s="59" customFormat="1" x14ac:dyDescent="0.25">
      <c r="A11" s="372" t="s">
        <v>9</v>
      </c>
      <c r="B11" s="372"/>
      <c r="C11" s="372"/>
      <c r="D11" s="372"/>
      <c r="E11" s="372"/>
      <c r="F11" s="372"/>
      <c r="G11" s="372"/>
      <c r="H11" s="372"/>
      <c r="I11" s="372"/>
    </row>
    <row r="12" spans="1:11" s="59" customFormat="1" x14ac:dyDescent="0.25">
      <c r="A12" s="372" t="s">
        <v>10</v>
      </c>
      <c r="B12" s="372"/>
      <c r="C12" s="372"/>
      <c r="D12" s="372"/>
      <c r="E12" s="372"/>
      <c r="F12" s="372"/>
      <c r="G12" s="372"/>
      <c r="H12" s="372"/>
      <c r="I12" s="372"/>
    </row>
    <row r="13" spans="1:11" s="59" customFormat="1" ht="6" customHeight="1" thickBot="1" x14ac:dyDescent="0.3">
      <c r="A13" s="60"/>
      <c r="B13" s="60"/>
      <c r="C13" s="60"/>
      <c r="D13" s="38"/>
      <c r="E13" s="58"/>
      <c r="F13" s="58"/>
      <c r="G13" s="58"/>
      <c r="H13" s="54"/>
      <c r="I13" s="54"/>
    </row>
    <row r="14" spans="1:11" s="59" customFormat="1" ht="15.75" thickBot="1" x14ac:dyDescent="0.3">
      <c r="A14" s="55" t="s">
        <v>381</v>
      </c>
      <c r="B14" s="56"/>
      <c r="C14" s="56"/>
      <c r="D14" s="61"/>
      <c r="E14" s="62"/>
      <c r="F14" s="62"/>
      <c r="G14" s="129">
        <f>'[1]Пролетарская 41'!$G$37</f>
        <v>-56256.005899999996</v>
      </c>
      <c r="H14" s="54"/>
      <c r="I14" s="54"/>
    </row>
    <row r="15" spans="1:11" s="59" customFormat="1" ht="8.25" customHeight="1" x14ac:dyDescent="0.25"/>
    <row r="16" spans="1:11" s="66" customFormat="1" ht="38.25" x14ac:dyDescent="0.25">
      <c r="A16" s="64" t="s">
        <v>11</v>
      </c>
      <c r="B16" s="64" t="s">
        <v>12</v>
      </c>
      <c r="C16" s="64" t="s">
        <v>61</v>
      </c>
      <c r="D16" s="64" t="s">
        <v>432</v>
      </c>
      <c r="E16" s="64" t="s">
        <v>433</v>
      </c>
      <c r="F16" s="65" t="s">
        <v>434</v>
      </c>
      <c r="G16" s="64" t="s">
        <v>435</v>
      </c>
    </row>
    <row r="17" spans="1:13" s="152" customFormat="1" ht="14.25" x14ac:dyDescent="0.2">
      <c r="A17" s="67" t="s">
        <v>14</v>
      </c>
      <c r="B17" s="39" t="s">
        <v>379</v>
      </c>
      <c r="C17" s="120">
        <v>23.85</v>
      </c>
      <c r="D17" s="68">
        <v>1245430.68</v>
      </c>
      <c r="E17" s="68">
        <v>1220085.79</v>
      </c>
      <c r="F17" s="68">
        <f>D17</f>
        <v>1245430.68</v>
      </c>
      <c r="G17" s="69">
        <f>D17-E17</f>
        <v>25344.889999999898</v>
      </c>
      <c r="H17" s="151">
        <f>C17</f>
        <v>23.85</v>
      </c>
    </row>
    <row r="18" spans="1:13" s="59" customFormat="1" hidden="1" outlineLevel="1" x14ac:dyDescent="0.25">
      <c r="A18" s="73" t="s">
        <v>16</v>
      </c>
      <c r="B18" s="34" t="s">
        <v>17</v>
      </c>
      <c r="C18" s="89">
        <v>3.46</v>
      </c>
      <c r="D18" s="75">
        <f>D17*I18</f>
        <v>180678.83240251569</v>
      </c>
      <c r="E18" s="75">
        <f>E17*I18</f>
        <v>177001.96366457021</v>
      </c>
      <c r="F18" s="75">
        <f>D18</f>
        <v>180678.83240251569</v>
      </c>
      <c r="G18" s="76">
        <f>D18-E18</f>
        <v>3676.8687379454786</v>
      </c>
      <c r="H18" s="130">
        <f>C18</f>
        <v>3.46</v>
      </c>
      <c r="I18" s="59">
        <f>H18/H17</f>
        <v>0.14507337526205449</v>
      </c>
    </row>
    <row r="19" spans="1:13" s="59" customFormat="1" hidden="1" outlineLevel="1" x14ac:dyDescent="0.25">
      <c r="A19" s="73" t="s">
        <v>18</v>
      </c>
      <c r="B19" s="34" t="s">
        <v>19</v>
      </c>
      <c r="C19" s="89">
        <v>1.69</v>
      </c>
      <c r="D19" s="75">
        <f>D17*I19</f>
        <v>88250.643572327026</v>
      </c>
      <c r="E19" s="75">
        <f>E17*I19</f>
        <v>86454.716356394114</v>
      </c>
      <c r="F19" s="75">
        <f>D19</f>
        <v>88250.643572327026</v>
      </c>
      <c r="G19" s="76">
        <f>D19-E19</f>
        <v>1795.9272159329121</v>
      </c>
      <c r="H19" s="130">
        <f>C19</f>
        <v>1.69</v>
      </c>
      <c r="I19" s="59">
        <f>H19/H17</f>
        <v>7.0859538784067075E-2</v>
      </c>
    </row>
    <row r="20" spans="1:13" s="59" customFormat="1" hidden="1" outlineLevel="1" x14ac:dyDescent="0.25">
      <c r="A20" s="73" t="s">
        <v>20</v>
      </c>
      <c r="B20" s="34" t="s">
        <v>21</v>
      </c>
      <c r="C20" s="89">
        <v>2.15</v>
      </c>
      <c r="D20" s="75">
        <f>D17*I20</f>
        <v>112271.52880503143</v>
      </c>
      <c r="E20" s="75">
        <f>E17*I20</f>
        <v>109986.76932914046</v>
      </c>
      <c r="F20" s="75">
        <f>D20</f>
        <v>112271.52880503143</v>
      </c>
      <c r="G20" s="76">
        <f>D20-E20</f>
        <v>2284.759475890969</v>
      </c>
      <c r="H20" s="130">
        <f>C20</f>
        <v>2.15</v>
      </c>
      <c r="I20" s="59">
        <f>H20/H17</f>
        <v>9.0146750524109004E-2</v>
      </c>
    </row>
    <row r="21" spans="1:13" s="59" customFormat="1" hidden="1" outlineLevel="1" x14ac:dyDescent="0.25">
      <c r="A21" s="73" t="s">
        <v>22</v>
      </c>
      <c r="B21" s="34" t="s">
        <v>23</v>
      </c>
      <c r="C21" s="89">
        <v>3.04</v>
      </c>
      <c r="D21" s="75">
        <f>D17*I21</f>
        <v>158746.71979874212</v>
      </c>
      <c r="E21" s="75">
        <f>E17*I21</f>
        <v>155516.17616771488</v>
      </c>
      <c r="F21" s="75">
        <f>D21</f>
        <v>158746.71979874212</v>
      </c>
      <c r="G21" s="76">
        <f>D21-E21</f>
        <v>3230.5436310272489</v>
      </c>
      <c r="H21" s="130">
        <f>C21</f>
        <v>3.04</v>
      </c>
      <c r="I21" s="59">
        <f>H21/H17</f>
        <v>0.12746331236897274</v>
      </c>
    </row>
    <row r="22" spans="1:13" s="37" customFormat="1" ht="14.25" collapsed="1" x14ac:dyDescent="0.2">
      <c r="A22" s="39" t="s">
        <v>25</v>
      </c>
      <c r="B22" s="78" t="s">
        <v>145</v>
      </c>
      <c r="C22" s="46">
        <v>120</v>
      </c>
      <c r="D22" s="69">
        <v>0</v>
      </c>
      <c r="E22" s="69">
        <v>0.25</v>
      </c>
      <c r="F22" s="68">
        <f t="shared" ref="F22:F31" si="0">D22</f>
        <v>0</v>
      </c>
      <c r="G22" s="69">
        <f t="shared" ref="G22:G31" si="1">D22-E22</f>
        <v>-0.25</v>
      </c>
      <c r="H22" s="37">
        <f>72*130</f>
        <v>9360</v>
      </c>
      <c r="I22" s="37">
        <f>D22/H22</f>
        <v>0</v>
      </c>
    </row>
    <row r="23" spans="1:13" s="37" customFormat="1" ht="14.25" x14ac:dyDescent="0.2">
      <c r="A23" s="39" t="s">
        <v>27</v>
      </c>
      <c r="B23" s="125" t="s">
        <v>28</v>
      </c>
      <c r="C23" s="87">
        <v>0</v>
      </c>
      <c r="D23" s="69">
        <v>0</v>
      </c>
      <c r="E23" s="69">
        <v>0</v>
      </c>
      <c r="F23" s="68">
        <f>D23</f>
        <v>0</v>
      </c>
      <c r="G23" s="69">
        <f t="shared" si="1"/>
        <v>0</v>
      </c>
    </row>
    <row r="24" spans="1:13" s="37" customFormat="1" ht="14.25" x14ac:dyDescent="0.2">
      <c r="A24" s="39" t="s">
        <v>29</v>
      </c>
      <c r="B24" s="125" t="s">
        <v>97</v>
      </c>
      <c r="C24" s="357">
        <v>0</v>
      </c>
      <c r="D24" s="69">
        <v>0</v>
      </c>
      <c r="E24" s="69">
        <v>0</v>
      </c>
      <c r="F24" s="68">
        <f t="shared" si="0"/>
        <v>0</v>
      </c>
      <c r="G24" s="69">
        <f t="shared" si="1"/>
        <v>0</v>
      </c>
    </row>
    <row r="25" spans="1:13" s="37" customFormat="1" ht="14.25" x14ac:dyDescent="0.2">
      <c r="A25" s="39" t="s">
        <v>31</v>
      </c>
      <c r="B25" s="125" t="s">
        <v>80</v>
      </c>
      <c r="C25" s="87">
        <v>3.5</v>
      </c>
      <c r="D25" s="69">
        <v>182767.44</v>
      </c>
      <c r="E25" s="69">
        <v>179514.4</v>
      </c>
      <c r="F25" s="68">
        <f>F42</f>
        <v>63957.084000000003</v>
      </c>
      <c r="G25" s="69">
        <f t="shared" si="1"/>
        <v>3253.0400000000081</v>
      </c>
      <c r="M25" s="165"/>
    </row>
    <row r="26" spans="1:13" s="37" customFormat="1" ht="14.25" x14ac:dyDescent="0.2">
      <c r="A26" s="39" t="s">
        <v>33</v>
      </c>
      <c r="B26" s="119" t="s">
        <v>34</v>
      </c>
      <c r="C26" s="43">
        <v>0</v>
      </c>
      <c r="D26" s="69">
        <v>0</v>
      </c>
      <c r="E26" s="69">
        <v>0</v>
      </c>
      <c r="F26" s="68">
        <f>D26</f>
        <v>0</v>
      </c>
      <c r="G26" s="69">
        <f t="shared" si="1"/>
        <v>0</v>
      </c>
    </row>
    <row r="27" spans="1:13" s="37" customFormat="1" ht="14.25" x14ac:dyDescent="0.2">
      <c r="A27" s="39" t="s">
        <v>35</v>
      </c>
      <c r="B27" s="119" t="s">
        <v>36</v>
      </c>
      <c r="C27" s="87"/>
      <c r="D27" s="69">
        <f>SUM(D28:D31)</f>
        <v>3496352.95</v>
      </c>
      <c r="E27" s="69">
        <f>SUM(E28:E31)</f>
        <v>3403054.8</v>
      </c>
      <c r="F27" s="68">
        <f t="shared" si="0"/>
        <v>3496352.95</v>
      </c>
      <c r="G27" s="69">
        <f t="shared" si="1"/>
        <v>93298.150000000373</v>
      </c>
    </row>
    <row r="28" spans="1:13" x14ac:dyDescent="0.25">
      <c r="A28" s="34" t="s">
        <v>37</v>
      </c>
      <c r="B28" s="34" t="s">
        <v>101</v>
      </c>
      <c r="C28" s="89">
        <v>7.36</v>
      </c>
      <c r="D28" s="76">
        <v>38653.89</v>
      </c>
      <c r="E28" s="76">
        <v>38114.69</v>
      </c>
      <c r="F28" s="75">
        <f>D28</f>
        <v>38653.89</v>
      </c>
      <c r="G28" s="76">
        <f t="shared" si="1"/>
        <v>539.19999999999709</v>
      </c>
    </row>
    <row r="29" spans="1:13" x14ac:dyDescent="0.25">
      <c r="A29" s="34" t="s">
        <v>39</v>
      </c>
      <c r="B29" s="34" t="s">
        <v>84</v>
      </c>
      <c r="C29" s="89">
        <v>88.38</v>
      </c>
      <c r="D29" s="76">
        <v>634163.36</v>
      </c>
      <c r="E29" s="76">
        <v>618768.66</v>
      </c>
      <c r="F29" s="75">
        <f t="shared" si="0"/>
        <v>634163.36</v>
      </c>
      <c r="G29" s="76">
        <f t="shared" si="1"/>
        <v>15394.699999999953</v>
      </c>
    </row>
    <row r="30" spans="1:13" x14ac:dyDescent="0.25">
      <c r="A30" s="34" t="s">
        <v>42</v>
      </c>
      <c r="B30" s="34" t="s">
        <v>40</v>
      </c>
      <c r="C30" s="128">
        <v>278.94</v>
      </c>
      <c r="D30" s="76">
        <v>1101067.1399999999</v>
      </c>
      <c r="E30" s="76">
        <v>1073728.7</v>
      </c>
      <c r="F30" s="75">
        <f t="shared" si="0"/>
        <v>1101067.1399999999</v>
      </c>
      <c r="G30" s="76">
        <f t="shared" si="1"/>
        <v>27338.439999999944</v>
      </c>
    </row>
    <row r="31" spans="1:13" x14ac:dyDescent="0.25">
      <c r="A31" s="34" t="s">
        <v>41</v>
      </c>
      <c r="B31" s="34" t="s">
        <v>43</v>
      </c>
      <c r="C31" s="89">
        <v>3352.42</v>
      </c>
      <c r="D31" s="76">
        <v>1722468.56</v>
      </c>
      <c r="E31" s="76">
        <v>1672442.75</v>
      </c>
      <c r="F31" s="75">
        <f t="shared" si="0"/>
        <v>1722468.56</v>
      </c>
      <c r="G31" s="76">
        <f t="shared" si="1"/>
        <v>50025.810000000056</v>
      </c>
    </row>
    <row r="32" spans="1:13" hidden="1" outlineLevel="1" x14ac:dyDescent="0.25">
      <c r="A32" s="240" t="s">
        <v>130</v>
      </c>
      <c r="B32" s="257" t="s">
        <v>131</v>
      </c>
      <c r="C32" s="235"/>
      <c r="D32" s="248">
        <f>1000+1800</f>
        <v>2800</v>
      </c>
      <c r="E32" s="248">
        <f>1800</f>
        <v>1800</v>
      </c>
      <c r="F32" s="296">
        <v>0</v>
      </c>
      <c r="G32" s="248">
        <f>D32-E32</f>
        <v>1000</v>
      </c>
    </row>
    <row r="33" spans="1:10" hidden="1" outlineLevel="1" x14ac:dyDescent="0.25">
      <c r="A33" s="174"/>
      <c r="B33" s="295"/>
      <c r="C33" s="376" t="s">
        <v>246</v>
      </c>
      <c r="D33" s="377"/>
      <c r="E33" s="377"/>
      <c r="F33" s="377"/>
      <c r="G33" s="82">
        <f>E32-(E32*15%)</f>
        <v>1530</v>
      </c>
    </row>
    <row r="34" spans="1:10" s="92" customFormat="1" ht="13.15" customHeight="1" collapsed="1" thickBot="1" x14ac:dyDescent="0.3">
      <c r="A34" s="373"/>
      <c r="B34" s="374"/>
      <c r="C34" s="374"/>
      <c r="D34" s="375"/>
      <c r="E34" s="375"/>
      <c r="F34" s="375"/>
      <c r="G34" s="91"/>
      <c r="H34" s="91"/>
      <c r="I34" s="91"/>
      <c r="J34" s="91"/>
    </row>
    <row r="35" spans="1:10" s="59" customFormat="1" ht="15.75" thickBot="1" x14ac:dyDescent="0.3">
      <c r="A35" s="387" t="s">
        <v>427</v>
      </c>
      <c r="B35" s="388"/>
      <c r="C35" s="388"/>
      <c r="D35" s="57">
        <v>121895.83</v>
      </c>
      <c r="E35" s="58"/>
      <c r="F35" s="58"/>
      <c r="G35" s="58"/>
      <c r="H35" s="54"/>
      <c r="I35" s="54"/>
    </row>
    <row r="36" spans="1:10" s="59" customFormat="1" ht="6" customHeight="1" thickBot="1" x14ac:dyDescent="0.3">
      <c r="A36" s="60"/>
      <c r="B36" s="60"/>
      <c r="C36" s="60"/>
      <c r="D36" s="38"/>
      <c r="E36" s="58"/>
      <c r="F36" s="58"/>
      <c r="G36" s="58"/>
      <c r="H36" s="54"/>
      <c r="I36" s="54"/>
    </row>
    <row r="37" spans="1:10" s="59" customFormat="1" ht="15.75" thickBot="1" x14ac:dyDescent="0.3">
      <c r="A37" s="55" t="s">
        <v>428</v>
      </c>
      <c r="B37" s="56"/>
      <c r="C37" s="56"/>
      <c r="D37" s="61"/>
      <c r="E37" s="62"/>
      <c r="F37" s="62"/>
      <c r="G37" s="129">
        <f>G14+E25-F25</f>
        <v>59301.310100000002</v>
      </c>
      <c r="H37" s="54"/>
      <c r="I37" s="54"/>
    </row>
    <row r="38" spans="1:10" s="59" customFormat="1" x14ac:dyDescent="0.25">
      <c r="A38" s="60"/>
      <c r="B38" s="60"/>
      <c r="C38" s="60"/>
      <c r="D38" s="38"/>
      <c r="E38" s="58"/>
      <c r="F38" s="58"/>
      <c r="G38" s="38"/>
      <c r="H38" s="54"/>
      <c r="I38" s="54"/>
    </row>
    <row r="39" spans="1:10" ht="28.5" customHeight="1" x14ac:dyDescent="0.25">
      <c r="A39" s="485" t="s">
        <v>44</v>
      </c>
      <c r="B39" s="485"/>
      <c r="C39" s="485"/>
      <c r="D39" s="485"/>
      <c r="E39" s="485"/>
      <c r="F39" s="485"/>
      <c r="G39" s="485"/>
      <c r="H39" s="485"/>
      <c r="I39" s="485"/>
    </row>
    <row r="40" spans="1:10" ht="5.25" customHeight="1" x14ac:dyDescent="0.25"/>
    <row r="41" spans="1:10" s="156" customFormat="1" ht="28.5" customHeight="1" x14ac:dyDescent="0.25">
      <c r="A41" s="94" t="s">
        <v>11</v>
      </c>
      <c r="B41" s="416" t="s">
        <v>45</v>
      </c>
      <c r="C41" s="425"/>
      <c r="D41" s="94" t="s">
        <v>99</v>
      </c>
      <c r="E41" s="94" t="s">
        <v>98</v>
      </c>
      <c r="F41" s="416" t="s">
        <v>46</v>
      </c>
      <c r="G41" s="425"/>
    </row>
    <row r="42" spans="1:10" s="103" customFormat="1" ht="12.75" customHeight="1" x14ac:dyDescent="0.25">
      <c r="A42" s="98" t="s">
        <v>47</v>
      </c>
      <c r="B42" s="418" t="s">
        <v>75</v>
      </c>
      <c r="C42" s="430"/>
      <c r="D42" s="99"/>
      <c r="E42" s="99"/>
      <c r="F42" s="436">
        <f>SUM(F43:G49)</f>
        <v>63957.084000000003</v>
      </c>
      <c r="G42" s="424"/>
    </row>
    <row r="43" spans="1:10" ht="12.75" customHeight="1" x14ac:dyDescent="0.25">
      <c r="A43" s="34" t="s">
        <v>16</v>
      </c>
      <c r="B43" s="458" t="s">
        <v>472</v>
      </c>
      <c r="C43" s="459"/>
      <c r="D43" s="109" t="s">
        <v>137</v>
      </c>
      <c r="E43" s="346">
        <v>2.75E-2</v>
      </c>
      <c r="F43" s="483">
        <v>9355.08</v>
      </c>
      <c r="G43" s="484"/>
    </row>
    <row r="44" spans="1:10" ht="12.75" customHeight="1" x14ac:dyDescent="0.25">
      <c r="A44" s="34" t="s">
        <v>18</v>
      </c>
      <c r="B44" s="406" t="s">
        <v>473</v>
      </c>
      <c r="C44" s="431"/>
      <c r="D44" s="105" t="s">
        <v>100</v>
      </c>
      <c r="E44" s="347">
        <v>1</v>
      </c>
      <c r="F44" s="466">
        <v>12065.52</v>
      </c>
      <c r="G44" s="467"/>
    </row>
    <row r="45" spans="1:10" ht="12.75" customHeight="1" x14ac:dyDescent="0.25">
      <c r="A45" s="34" t="s">
        <v>20</v>
      </c>
      <c r="B45" s="406" t="s">
        <v>418</v>
      </c>
      <c r="C45" s="431"/>
      <c r="D45" s="105" t="s">
        <v>100</v>
      </c>
      <c r="E45" s="347">
        <v>1</v>
      </c>
      <c r="F45" s="466">
        <v>12246.92</v>
      </c>
      <c r="G45" s="467"/>
    </row>
    <row r="46" spans="1:10" ht="12.75" customHeight="1" x14ac:dyDescent="0.25">
      <c r="A46" s="34" t="s">
        <v>22</v>
      </c>
      <c r="B46" s="406" t="s">
        <v>474</v>
      </c>
      <c r="C46" s="431"/>
      <c r="D46" s="105" t="s">
        <v>137</v>
      </c>
      <c r="E46" s="347">
        <v>8.5000000000000006E-2</v>
      </c>
      <c r="F46" s="466">
        <v>18198.22</v>
      </c>
      <c r="G46" s="467"/>
    </row>
    <row r="47" spans="1:10" ht="12.75" customHeight="1" x14ac:dyDescent="0.25">
      <c r="A47" s="34" t="s">
        <v>24</v>
      </c>
      <c r="B47" s="406" t="s">
        <v>475</v>
      </c>
      <c r="C47" s="431"/>
      <c r="D47" s="105" t="s">
        <v>137</v>
      </c>
      <c r="E47" s="347">
        <v>0.03</v>
      </c>
      <c r="F47" s="466">
        <v>10296.200000000001</v>
      </c>
      <c r="G47" s="467"/>
    </row>
    <row r="48" spans="1:10" ht="12.75" customHeight="1" x14ac:dyDescent="0.25">
      <c r="A48" s="34" t="s">
        <v>73</v>
      </c>
      <c r="B48" s="412"/>
      <c r="C48" s="428"/>
      <c r="D48" s="258"/>
      <c r="E48" s="262"/>
      <c r="F48" s="463"/>
      <c r="G48" s="463"/>
    </row>
    <row r="49" spans="1:7" ht="13.5" customHeight="1" x14ac:dyDescent="0.25">
      <c r="A49" s="34" t="s">
        <v>74</v>
      </c>
      <c r="B49" s="458" t="s">
        <v>108</v>
      </c>
      <c r="C49" s="459"/>
      <c r="D49" s="109"/>
      <c r="E49" s="109"/>
      <c r="F49" s="466">
        <f>E25*1%</f>
        <v>1795.144</v>
      </c>
      <c r="G49" s="467"/>
    </row>
    <row r="50" spans="1:7" ht="13.5" customHeight="1" x14ac:dyDescent="0.25">
      <c r="A50" s="153"/>
      <c r="B50" s="84"/>
      <c r="C50" s="84"/>
      <c r="D50" s="84"/>
      <c r="E50" s="84"/>
      <c r="F50" s="164"/>
      <c r="G50" s="164"/>
    </row>
    <row r="51" spans="1:7" s="59" customFormat="1" x14ac:dyDescent="0.25"/>
    <row r="52" spans="1:7" s="59" customFormat="1" ht="15" customHeight="1" x14ac:dyDescent="0.25">
      <c r="A52" s="51" t="s">
        <v>372</v>
      </c>
      <c r="C52" s="59" t="s">
        <v>49</v>
      </c>
      <c r="F52" s="59" t="s">
        <v>60</v>
      </c>
    </row>
    <row r="53" spans="1:7" s="59" customFormat="1" ht="13.5" customHeight="1" x14ac:dyDescent="0.25">
      <c r="F53" s="111" t="s">
        <v>383</v>
      </c>
    </row>
    <row r="54" spans="1:7" s="59" customFormat="1" x14ac:dyDescent="0.25">
      <c r="A54" s="59" t="s">
        <v>50</v>
      </c>
    </row>
    <row r="55" spans="1:7" s="59" customFormat="1" ht="11.25" customHeight="1" x14ac:dyDescent="0.25">
      <c r="C55" s="113" t="s">
        <v>51</v>
      </c>
      <c r="E55" s="113"/>
      <c r="F55" s="113"/>
      <c r="G55" s="113"/>
    </row>
    <row r="56" spans="1:7" s="59" customFormat="1" x14ac:dyDescent="0.25"/>
    <row r="57" spans="1:7" s="59" customFormat="1" x14ac:dyDescent="0.25"/>
  </sheetData>
  <mergeCells count="29">
    <mergeCell ref="F49:G49"/>
    <mergeCell ref="B49:C49"/>
    <mergeCell ref="F48:G48"/>
    <mergeCell ref="B43:C43"/>
    <mergeCell ref="B48:C48"/>
    <mergeCell ref="B47:C47"/>
    <mergeCell ref="F47:G47"/>
    <mergeCell ref="B45:C45"/>
    <mergeCell ref="B46:C46"/>
    <mergeCell ref="F46:G46"/>
    <mergeCell ref="A1:I1"/>
    <mergeCell ref="A5:I5"/>
    <mergeCell ref="A10:I10"/>
    <mergeCell ref="A3:K3"/>
    <mergeCell ref="A11:I11"/>
    <mergeCell ref="A12:I12"/>
    <mergeCell ref="C33:F33"/>
    <mergeCell ref="A2:K2"/>
    <mergeCell ref="F41:G41"/>
    <mergeCell ref="A34:F34"/>
    <mergeCell ref="B42:C42"/>
    <mergeCell ref="A39:I39"/>
    <mergeCell ref="B41:C41"/>
    <mergeCell ref="F44:G44"/>
    <mergeCell ref="A35:C35"/>
    <mergeCell ref="F43:G43"/>
    <mergeCell ref="F42:G42"/>
    <mergeCell ref="B44:C44"/>
    <mergeCell ref="F45:G45"/>
  </mergeCells>
  <phoneticPr fontId="14" type="noConversion"/>
  <pageMargins left="0" right="0" top="0" bottom="0" header="0.31496062992125984" footer="0.31496062992125984"/>
  <pageSetup paperSize="9" scale="89" orientation="portrait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47A73E-B97E-48AA-8010-FDA1AEE62156}">
  <sheetPr>
    <tabColor rgb="FF7030A0"/>
  </sheetPr>
  <dimension ref="A1:N54"/>
  <sheetViews>
    <sheetView topLeftCell="A31" zoomScaleNormal="100" zoomScaleSheetLayoutView="100" workbookViewId="0">
      <selection activeCell="A56" sqref="A56:IV57"/>
    </sheetView>
  </sheetViews>
  <sheetFormatPr defaultRowHeight="15" outlineLevelRow="1" outlineLevelCol="1" x14ac:dyDescent="0.25"/>
  <cols>
    <col min="1" max="1" width="4.7109375" style="35" customWidth="1"/>
    <col min="2" max="2" width="45.5703125" style="35" customWidth="1"/>
    <col min="3" max="3" width="12.85546875" style="35" customWidth="1"/>
    <col min="4" max="4" width="13.140625" style="35" bestFit="1" customWidth="1"/>
    <col min="5" max="5" width="12.7109375" style="35" customWidth="1"/>
    <col min="6" max="6" width="15.28515625" style="35" customWidth="1"/>
    <col min="7" max="7" width="13.7109375" style="35" customWidth="1"/>
    <col min="8" max="8" width="10.85546875" style="35" hidden="1" customWidth="1" outlineLevel="1"/>
    <col min="9" max="9" width="13.42578125" style="35" hidden="1" customWidth="1" outlineLevel="1"/>
    <col min="10" max="12" width="9.140625" style="35" hidden="1" customWidth="1" outlineLevel="1"/>
    <col min="13" max="13" width="9.140625" style="35" collapsed="1"/>
    <col min="14" max="14" width="9.7109375" style="35" bestFit="1" customWidth="1"/>
    <col min="15" max="16384" width="9.140625" style="35"/>
  </cols>
  <sheetData>
    <row r="1" spans="1:11" x14ac:dyDescent="0.25">
      <c r="A1" s="397" t="s">
        <v>0</v>
      </c>
      <c r="B1" s="397"/>
      <c r="C1" s="397"/>
      <c r="D1" s="397"/>
      <c r="E1" s="397"/>
      <c r="F1" s="397"/>
      <c r="G1" s="397"/>
      <c r="H1" s="397"/>
      <c r="I1" s="397"/>
    </row>
    <row r="2" spans="1:11" ht="15" customHeight="1" x14ac:dyDescent="0.25">
      <c r="A2" s="370" t="s">
        <v>152</v>
      </c>
      <c r="B2" s="370"/>
      <c r="C2" s="370"/>
      <c r="D2" s="370"/>
      <c r="E2" s="370"/>
      <c r="F2" s="370"/>
      <c r="G2" s="370"/>
      <c r="H2" s="370"/>
      <c r="I2" s="370"/>
      <c r="J2" s="370"/>
      <c r="K2" s="370"/>
    </row>
    <row r="3" spans="1:11" ht="14.25" customHeight="1" x14ac:dyDescent="0.25">
      <c r="A3" s="370" t="s">
        <v>426</v>
      </c>
      <c r="B3" s="370"/>
      <c r="C3" s="370"/>
      <c r="D3" s="370"/>
      <c r="E3" s="370"/>
      <c r="F3" s="370"/>
      <c r="G3" s="370"/>
      <c r="H3" s="370"/>
      <c r="I3" s="370"/>
      <c r="J3" s="370"/>
      <c r="K3" s="370"/>
    </row>
    <row r="4" spans="1:11" ht="4.5" customHeight="1" x14ac:dyDescent="0.25">
      <c r="A4" s="142"/>
      <c r="B4" s="142"/>
      <c r="C4" s="142"/>
      <c r="D4" s="142"/>
      <c r="E4" s="142"/>
      <c r="F4" s="142"/>
      <c r="G4" s="142"/>
      <c r="H4" s="142"/>
      <c r="I4" s="142"/>
    </row>
    <row r="5" spans="1:11" ht="13.5" customHeight="1" x14ac:dyDescent="0.25">
      <c r="A5" s="398" t="s">
        <v>1</v>
      </c>
      <c r="B5" s="397"/>
      <c r="C5" s="397"/>
      <c r="D5" s="397"/>
      <c r="E5" s="397"/>
      <c r="F5" s="397"/>
      <c r="G5" s="397"/>
      <c r="H5" s="397"/>
      <c r="I5" s="397"/>
    </row>
    <row r="6" spans="1:11" ht="4.5" customHeight="1" x14ac:dyDescent="0.25"/>
    <row r="7" spans="1:11" s="59" customFormat="1" ht="16.5" customHeight="1" x14ac:dyDescent="0.25">
      <c r="A7" s="59" t="s">
        <v>2</v>
      </c>
      <c r="F7" s="111" t="s">
        <v>188</v>
      </c>
    </row>
    <row r="8" spans="1:11" s="59" customFormat="1" x14ac:dyDescent="0.25">
      <c r="A8" s="59" t="s">
        <v>3</v>
      </c>
      <c r="F8" s="239" t="s">
        <v>189</v>
      </c>
      <c r="I8" s="180">
        <v>0</v>
      </c>
      <c r="J8" s="59">
        <v>5370.6</v>
      </c>
    </row>
    <row r="9" spans="1:11" s="59" customFormat="1" ht="6.75" customHeight="1" x14ac:dyDescent="0.25"/>
    <row r="10" spans="1:11" s="59" customFormat="1" x14ac:dyDescent="0.25">
      <c r="A10" s="372" t="s">
        <v>8</v>
      </c>
      <c r="B10" s="372"/>
      <c r="C10" s="372"/>
      <c r="D10" s="372"/>
      <c r="E10" s="372"/>
      <c r="F10" s="372"/>
      <c r="G10" s="372"/>
      <c r="H10" s="372"/>
      <c r="I10" s="372"/>
    </row>
    <row r="11" spans="1:11" s="59" customFormat="1" x14ac:dyDescent="0.25">
      <c r="A11" s="372" t="s">
        <v>9</v>
      </c>
      <c r="B11" s="372"/>
      <c r="C11" s="372"/>
      <c r="D11" s="372"/>
      <c r="E11" s="372"/>
      <c r="F11" s="372"/>
      <c r="G11" s="372"/>
      <c r="H11" s="372"/>
      <c r="I11" s="372"/>
    </row>
    <row r="12" spans="1:11" s="59" customFormat="1" x14ac:dyDescent="0.25">
      <c r="A12" s="372" t="s">
        <v>10</v>
      </c>
      <c r="B12" s="372"/>
      <c r="C12" s="372"/>
      <c r="D12" s="372"/>
      <c r="E12" s="372"/>
      <c r="F12" s="372"/>
      <c r="G12" s="372"/>
      <c r="H12" s="372"/>
      <c r="I12" s="372"/>
    </row>
    <row r="13" spans="1:11" s="59" customFormat="1" ht="6" customHeight="1" thickBot="1" x14ac:dyDescent="0.3">
      <c r="A13" s="60"/>
      <c r="B13" s="60"/>
      <c r="C13" s="60"/>
      <c r="D13" s="38"/>
      <c r="E13" s="58"/>
      <c r="F13" s="58"/>
      <c r="G13" s="58"/>
      <c r="H13" s="54"/>
      <c r="I13" s="54"/>
    </row>
    <row r="14" spans="1:11" s="59" customFormat="1" ht="15.75" thickBot="1" x14ac:dyDescent="0.3">
      <c r="A14" s="55" t="s">
        <v>381</v>
      </c>
      <c r="B14" s="56"/>
      <c r="C14" s="56"/>
      <c r="D14" s="61"/>
      <c r="E14" s="62"/>
      <c r="F14" s="62"/>
      <c r="G14" s="129">
        <f>'[1]Пролетарская 44'!$G$37</f>
        <v>340031.5515</v>
      </c>
      <c r="H14" s="54"/>
      <c r="I14" s="54"/>
    </row>
    <row r="15" spans="1:11" s="59" customFormat="1" ht="7.5" customHeight="1" x14ac:dyDescent="0.25"/>
    <row r="16" spans="1:11" s="66" customFormat="1" ht="38.25" x14ac:dyDescent="0.25">
      <c r="A16" s="64" t="s">
        <v>11</v>
      </c>
      <c r="B16" s="64" t="s">
        <v>12</v>
      </c>
      <c r="C16" s="64" t="s">
        <v>61</v>
      </c>
      <c r="D16" s="64" t="s">
        <v>432</v>
      </c>
      <c r="E16" s="64" t="s">
        <v>433</v>
      </c>
      <c r="F16" s="65" t="s">
        <v>434</v>
      </c>
      <c r="G16" s="64" t="s">
        <v>435</v>
      </c>
    </row>
    <row r="17" spans="1:14" s="59" customFormat="1" x14ac:dyDescent="0.25">
      <c r="A17" s="67" t="s">
        <v>14</v>
      </c>
      <c r="B17" s="39" t="s">
        <v>379</v>
      </c>
      <c r="C17" s="120">
        <v>20.32</v>
      </c>
      <c r="D17" s="68">
        <v>1309567.05</v>
      </c>
      <c r="E17" s="68">
        <v>1286986.6399999999</v>
      </c>
      <c r="F17" s="68">
        <f t="shared" ref="F17:F24" si="0">D17</f>
        <v>1309567.05</v>
      </c>
      <c r="G17" s="69">
        <f>D17-E17</f>
        <v>22580.410000000149</v>
      </c>
      <c r="H17" s="130">
        <f>C17</f>
        <v>20.32</v>
      </c>
    </row>
    <row r="18" spans="1:14" s="59" customFormat="1" hidden="1" outlineLevel="1" x14ac:dyDescent="0.25">
      <c r="A18" s="73" t="s">
        <v>16</v>
      </c>
      <c r="B18" s="34" t="s">
        <v>17</v>
      </c>
      <c r="C18" s="89">
        <v>3.46</v>
      </c>
      <c r="D18" s="75">
        <f>D17*I18</f>
        <v>222987.30280511812</v>
      </c>
      <c r="E18" s="75">
        <f>E17*I18</f>
        <v>219142.41015748031</v>
      </c>
      <c r="F18" s="75">
        <f t="shared" si="0"/>
        <v>222987.30280511812</v>
      </c>
      <c r="G18" s="76">
        <f>D18-E18</f>
        <v>3844.892647637811</v>
      </c>
      <c r="H18" s="130">
        <f>C18</f>
        <v>3.46</v>
      </c>
      <c r="I18" s="59">
        <f>H18/H17</f>
        <v>0.17027559055118111</v>
      </c>
    </row>
    <row r="19" spans="1:14" s="59" customFormat="1" hidden="1" outlineLevel="1" x14ac:dyDescent="0.25">
      <c r="A19" s="73" t="s">
        <v>18</v>
      </c>
      <c r="B19" s="34" t="s">
        <v>19</v>
      </c>
      <c r="C19" s="89">
        <v>1.69</v>
      </c>
      <c r="D19" s="75">
        <f>D17*I19</f>
        <v>108915.76350885826</v>
      </c>
      <c r="E19" s="75">
        <f>E17*I19</f>
        <v>107037.7668110236</v>
      </c>
      <c r="F19" s="75">
        <f t="shared" si="0"/>
        <v>108915.76350885826</v>
      </c>
      <c r="G19" s="76">
        <f>D19-E19</f>
        <v>1877.9966978346638</v>
      </c>
      <c r="H19" s="130">
        <f>C19</f>
        <v>1.69</v>
      </c>
      <c r="I19" s="59">
        <f>H19/H17</f>
        <v>8.3169291338582668E-2</v>
      </c>
    </row>
    <row r="20" spans="1:14" s="59" customFormat="1" hidden="1" outlineLevel="1" x14ac:dyDescent="0.25">
      <c r="A20" s="73" t="s">
        <v>20</v>
      </c>
      <c r="B20" s="34" t="s">
        <v>21</v>
      </c>
      <c r="C20" s="89">
        <v>2.15</v>
      </c>
      <c r="D20" s="75">
        <f>D17*I20</f>
        <v>138561.47428641733</v>
      </c>
      <c r="E20" s="75">
        <f>E17*I20</f>
        <v>136172.30688976377</v>
      </c>
      <c r="F20" s="75">
        <f t="shared" si="0"/>
        <v>138561.47428641733</v>
      </c>
      <c r="G20" s="76">
        <f>D20-E20</f>
        <v>2389.16739665356</v>
      </c>
      <c r="H20" s="130">
        <f>C20</f>
        <v>2.15</v>
      </c>
      <c r="I20" s="59">
        <f>H20/H17</f>
        <v>0.10580708661417322</v>
      </c>
    </row>
    <row r="21" spans="1:14" s="59" customFormat="1" hidden="1" outlineLevel="1" x14ac:dyDescent="0.25">
      <c r="A21" s="73" t="s">
        <v>22</v>
      </c>
      <c r="B21" s="34" t="s">
        <v>23</v>
      </c>
      <c r="C21" s="89">
        <v>3.04</v>
      </c>
      <c r="D21" s="75">
        <f>D17*I21</f>
        <v>195919.47992125986</v>
      </c>
      <c r="E21" s="75">
        <f>E17*I21</f>
        <v>192541.3083464567</v>
      </c>
      <c r="F21" s="75">
        <f t="shared" si="0"/>
        <v>195919.47992125986</v>
      </c>
      <c r="G21" s="76">
        <f>D21-E21</f>
        <v>3378.1715748031565</v>
      </c>
      <c r="H21" s="130">
        <f>C21</f>
        <v>3.04</v>
      </c>
      <c r="I21" s="59">
        <f>H21/H17</f>
        <v>0.14960629921259844</v>
      </c>
    </row>
    <row r="22" spans="1:14" collapsed="1" x14ac:dyDescent="0.25">
      <c r="A22" s="39" t="s">
        <v>25</v>
      </c>
      <c r="B22" s="78" t="s">
        <v>145</v>
      </c>
      <c r="C22" s="46">
        <v>130</v>
      </c>
      <c r="D22" s="69">
        <v>0</v>
      </c>
      <c r="E22" s="69">
        <v>92.36</v>
      </c>
      <c r="F22" s="69">
        <f t="shared" si="0"/>
        <v>0</v>
      </c>
      <c r="G22" s="69">
        <f t="shared" ref="G22:G32" si="1">D22-E22</f>
        <v>-92.36</v>
      </c>
      <c r="H22" s="35">
        <f>101*130</f>
        <v>13130</v>
      </c>
      <c r="I22" s="274">
        <f>D22/H22</f>
        <v>0</v>
      </c>
    </row>
    <row r="23" spans="1:14" x14ac:dyDescent="0.25">
      <c r="A23" s="39" t="s">
        <v>27</v>
      </c>
      <c r="B23" s="125" t="s">
        <v>26</v>
      </c>
      <c r="C23" s="87">
        <v>4.3600000000000003</v>
      </c>
      <c r="D23" s="69">
        <v>280990.08000000002</v>
      </c>
      <c r="E23" s="69">
        <v>276221.49</v>
      </c>
      <c r="F23" s="69">
        <f t="shared" si="0"/>
        <v>280990.08000000002</v>
      </c>
      <c r="G23" s="69">
        <f t="shared" si="1"/>
        <v>4768.5900000000256</v>
      </c>
    </row>
    <row r="24" spans="1:14" x14ac:dyDescent="0.25">
      <c r="A24" s="39" t="s">
        <v>29</v>
      </c>
      <c r="B24" s="125" t="s">
        <v>97</v>
      </c>
      <c r="C24" s="357">
        <v>0</v>
      </c>
      <c r="D24" s="69">
        <v>0</v>
      </c>
      <c r="E24" s="69">
        <v>0</v>
      </c>
      <c r="F24" s="69">
        <f t="shared" si="0"/>
        <v>0</v>
      </c>
      <c r="G24" s="69">
        <f t="shared" si="1"/>
        <v>0</v>
      </c>
    </row>
    <row r="25" spans="1:14" x14ac:dyDescent="0.25">
      <c r="A25" s="39" t="s">
        <v>31</v>
      </c>
      <c r="B25" s="125" t="s">
        <v>80</v>
      </c>
      <c r="C25" s="87">
        <v>2.0099999999999998</v>
      </c>
      <c r="D25" s="69">
        <v>129539.19</v>
      </c>
      <c r="E25" s="69">
        <v>127353.86</v>
      </c>
      <c r="F25" s="79">
        <f>F42</f>
        <v>112965.49859999999</v>
      </c>
      <c r="G25" s="69">
        <f t="shared" si="1"/>
        <v>2185.3300000000017</v>
      </c>
      <c r="M25" s="144"/>
      <c r="N25" s="144"/>
    </row>
    <row r="26" spans="1:14" x14ac:dyDescent="0.25">
      <c r="A26" s="39" t="s">
        <v>33</v>
      </c>
      <c r="B26" s="119" t="s">
        <v>30</v>
      </c>
      <c r="C26" s="46">
        <v>2.65</v>
      </c>
      <c r="D26" s="69">
        <v>59182.06</v>
      </c>
      <c r="E26" s="69">
        <v>56255.89</v>
      </c>
      <c r="F26" s="79">
        <f>D26</f>
        <v>59182.06</v>
      </c>
      <c r="G26" s="69">
        <f t="shared" si="1"/>
        <v>2926.1699999999983</v>
      </c>
    </row>
    <row r="27" spans="1:14" x14ac:dyDescent="0.25">
      <c r="A27" s="39" t="s">
        <v>35</v>
      </c>
      <c r="B27" s="119" t="s">
        <v>36</v>
      </c>
      <c r="C27" s="87"/>
      <c r="D27" s="69">
        <f>SUM(D28:D31)</f>
        <v>4097907.99</v>
      </c>
      <c r="E27" s="69">
        <f>SUM(E28:E31)</f>
        <v>4023208.27</v>
      </c>
      <c r="F27" s="69">
        <f>SUM(F28:F31)</f>
        <v>4097907.99</v>
      </c>
      <c r="G27" s="69">
        <f t="shared" si="1"/>
        <v>74699.720000000205</v>
      </c>
    </row>
    <row r="28" spans="1:14" x14ac:dyDescent="0.25">
      <c r="A28" s="34" t="s">
        <v>37</v>
      </c>
      <c r="B28" s="34" t="s">
        <v>101</v>
      </c>
      <c r="C28" s="89">
        <v>7.36</v>
      </c>
      <c r="D28" s="76">
        <v>93114.29</v>
      </c>
      <c r="E28" s="76">
        <v>90687.48</v>
      </c>
      <c r="F28" s="76">
        <f>D28</f>
        <v>93114.29</v>
      </c>
      <c r="G28" s="76">
        <f t="shared" si="1"/>
        <v>2426.8099999999977</v>
      </c>
    </row>
    <row r="29" spans="1:14" x14ac:dyDescent="0.25">
      <c r="A29" s="34" t="s">
        <v>39</v>
      </c>
      <c r="B29" s="34" t="s">
        <v>84</v>
      </c>
      <c r="C29" s="89">
        <v>88.38</v>
      </c>
      <c r="D29" s="76">
        <v>646752.91</v>
      </c>
      <c r="E29" s="76">
        <v>637263.64</v>
      </c>
      <c r="F29" s="76">
        <f>D29</f>
        <v>646752.91</v>
      </c>
      <c r="G29" s="76">
        <f t="shared" si="1"/>
        <v>9489.2700000000186</v>
      </c>
    </row>
    <row r="30" spans="1:14" x14ac:dyDescent="0.25">
      <c r="A30" s="34" t="s">
        <v>42</v>
      </c>
      <c r="B30" s="34" t="s">
        <v>40</v>
      </c>
      <c r="C30" s="128">
        <v>278.94</v>
      </c>
      <c r="D30" s="76">
        <v>1049212.44</v>
      </c>
      <c r="E30" s="76">
        <v>1030172.67</v>
      </c>
      <c r="F30" s="76">
        <f>D30</f>
        <v>1049212.44</v>
      </c>
      <c r="G30" s="76">
        <f t="shared" si="1"/>
        <v>19039.769999999902</v>
      </c>
    </row>
    <row r="31" spans="1:14" s="92" customFormat="1" x14ac:dyDescent="0.25">
      <c r="A31" s="34" t="s">
        <v>41</v>
      </c>
      <c r="B31" s="34" t="s">
        <v>43</v>
      </c>
      <c r="C31" s="89">
        <v>3352.42</v>
      </c>
      <c r="D31" s="76">
        <v>2308828.35</v>
      </c>
      <c r="E31" s="76">
        <v>2265084.48</v>
      </c>
      <c r="F31" s="76">
        <f>D31</f>
        <v>2308828.35</v>
      </c>
      <c r="G31" s="76">
        <f t="shared" si="1"/>
        <v>43743.870000000112</v>
      </c>
      <c r="H31" s="91"/>
      <c r="I31" s="91"/>
      <c r="J31" s="91"/>
    </row>
    <row r="32" spans="1:14" s="92" customFormat="1" hidden="1" outlineLevel="1" x14ac:dyDescent="0.25">
      <c r="A32" s="174" t="s">
        <v>130</v>
      </c>
      <c r="B32" s="257" t="s">
        <v>133</v>
      </c>
      <c r="C32" s="298"/>
      <c r="D32" s="248">
        <f>1000+1800</f>
        <v>2800</v>
      </c>
      <c r="E32" s="248">
        <v>1800</v>
      </c>
      <c r="F32" s="296"/>
      <c r="G32" s="248">
        <f t="shared" si="1"/>
        <v>1000</v>
      </c>
      <c r="H32" s="91"/>
      <c r="I32" s="91"/>
      <c r="J32" s="91"/>
    </row>
    <row r="33" spans="1:10" s="92" customFormat="1" hidden="1" outlineLevel="1" x14ac:dyDescent="0.25">
      <c r="A33" s="174"/>
      <c r="B33" s="295"/>
      <c r="C33" s="376" t="s">
        <v>246</v>
      </c>
      <c r="D33" s="377"/>
      <c r="E33" s="377"/>
      <c r="F33" s="377"/>
      <c r="G33" s="82">
        <f>E32-(E32*15%)</f>
        <v>1530</v>
      </c>
      <c r="H33" s="91"/>
      <c r="I33" s="91"/>
      <c r="J33" s="91"/>
    </row>
    <row r="34" spans="1:10" s="92" customFormat="1" ht="15.75" customHeight="1" collapsed="1" thickBot="1" x14ac:dyDescent="0.3">
      <c r="A34" s="373"/>
      <c r="B34" s="374"/>
      <c r="C34" s="374"/>
      <c r="D34" s="375"/>
      <c r="E34" s="375"/>
      <c r="F34" s="375"/>
      <c r="G34" s="155"/>
      <c r="H34" s="91"/>
      <c r="I34" s="91"/>
      <c r="J34" s="91"/>
    </row>
    <row r="35" spans="1:10" s="59" customFormat="1" ht="15.75" thickBot="1" x14ac:dyDescent="0.3">
      <c r="A35" s="387" t="s">
        <v>427</v>
      </c>
      <c r="B35" s="388"/>
      <c r="C35" s="388"/>
      <c r="D35" s="57">
        <v>107067.86</v>
      </c>
      <c r="E35" s="58"/>
      <c r="F35" s="58"/>
      <c r="G35" s="58"/>
      <c r="H35" s="54"/>
      <c r="I35" s="54"/>
    </row>
    <row r="36" spans="1:10" s="59" customFormat="1" ht="6" customHeight="1" thickBot="1" x14ac:dyDescent="0.3">
      <c r="A36" s="60"/>
      <c r="B36" s="60"/>
      <c r="C36" s="60"/>
      <c r="D36" s="38"/>
      <c r="E36" s="58"/>
      <c r="F36" s="58"/>
      <c r="G36" s="58"/>
      <c r="H36" s="54"/>
      <c r="I36" s="54"/>
    </row>
    <row r="37" spans="1:10" s="59" customFormat="1" ht="15.75" thickBot="1" x14ac:dyDescent="0.3">
      <c r="A37" s="55" t="s">
        <v>428</v>
      </c>
      <c r="B37" s="56"/>
      <c r="C37" s="56"/>
      <c r="D37" s="61"/>
      <c r="E37" s="62"/>
      <c r="F37" s="62"/>
      <c r="G37" s="129">
        <f>G14+E25-F25</f>
        <v>354419.9129</v>
      </c>
      <c r="H37" s="54"/>
      <c r="I37" s="54"/>
    </row>
    <row r="38" spans="1:10" s="59" customFormat="1" x14ac:dyDescent="0.25">
      <c r="A38" s="60"/>
      <c r="B38" s="60"/>
      <c r="C38" s="60"/>
      <c r="D38" s="38"/>
      <c r="E38" s="58"/>
      <c r="F38" s="58"/>
      <c r="G38" s="38"/>
      <c r="H38" s="54"/>
      <c r="I38" s="54"/>
    </row>
    <row r="39" spans="1:10" ht="25.5" customHeight="1" x14ac:dyDescent="0.25">
      <c r="A39" s="485" t="s">
        <v>44</v>
      </c>
      <c r="B39" s="485"/>
      <c r="C39" s="485"/>
      <c r="D39" s="485"/>
      <c r="E39" s="485"/>
      <c r="F39" s="485"/>
      <c r="G39" s="485"/>
      <c r="H39" s="485"/>
      <c r="I39" s="485"/>
    </row>
    <row r="40" spans="1:10" ht="4.5" customHeight="1" x14ac:dyDescent="0.25"/>
    <row r="41" spans="1:10" s="156" customFormat="1" ht="28.5" customHeight="1" x14ac:dyDescent="0.25">
      <c r="A41" s="94" t="s">
        <v>11</v>
      </c>
      <c r="B41" s="416" t="s">
        <v>45</v>
      </c>
      <c r="C41" s="425"/>
      <c r="D41" s="94" t="s">
        <v>99</v>
      </c>
      <c r="E41" s="94" t="s">
        <v>98</v>
      </c>
      <c r="F41" s="416" t="s">
        <v>46</v>
      </c>
      <c r="G41" s="425"/>
    </row>
    <row r="42" spans="1:10" s="103" customFormat="1" ht="12.75" customHeight="1" x14ac:dyDescent="0.25">
      <c r="A42" s="98" t="s">
        <v>47</v>
      </c>
      <c r="B42" s="418" t="s">
        <v>75</v>
      </c>
      <c r="C42" s="430"/>
      <c r="D42" s="99"/>
      <c r="E42" s="99"/>
      <c r="F42" s="436">
        <f>SUM(F43:L47)</f>
        <v>112965.49859999999</v>
      </c>
      <c r="G42" s="424"/>
    </row>
    <row r="43" spans="1:10" ht="27.75" customHeight="1" x14ac:dyDescent="0.25">
      <c r="A43" s="34" t="s">
        <v>16</v>
      </c>
      <c r="B43" s="406" t="s">
        <v>476</v>
      </c>
      <c r="C43" s="431"/>
      <c r="D43" s="105" t="s">
        <v>137</v>
      </c>
      <c r="E43" s="347">
        <v>7.0000000000000007E-2</v>
      </c>
      <c r="F43" s="466">
        <v>14580.21</v>
      </c>
      <c r="G43" s="467"/>
    </row>
    <row r="44" spans="1:10" ht="12.75" customHeight="1" x14ac:dyDescent="0.25">
      <c r="A44" s="34" t="s">
        <v>18</v>
      </c>
      <c r="B44" s="406" t="s">
        <v>477</v>
      </c>
      <c r="C44" s="431"/>
      <c r="D44" s="105" t="s">
        <v>541</v>
      </c>
      <c r="E44" s="105">
        <v>18.510000000000002</v>
      </c>
      <c r="F44" s="435">
        <v>97111.75</v>
      </c>
      <c r="G44" s="435"/>
    </row>
    <row r="45" spans="1:10" ht="12.75" customHeight="1" x14ac:dyDescent="0.25">
      <c r="A45" s="34" t="s">
        <v>20</v>
      </c>
      <c r="B45" s="406"/>
      <c r="C45" s="431"/>
      <c r="D45" s="105"/>
      <c r="E45" s="105"/>
      <c r="F45" s="466"/>
      <c r="G45" s="467"/>
    </row>
    <row r="46" spans="1:10" ht="12.75" customHeight="1" x14ac:dyDescent="0.25">
      <c r="A46" s="34" t="s">
        <v>22</v>
      </c>
      <c r="B46" s="406"/>
      <c r="C46" s="431"/>
      <c r="D46" s="105"/>
      <c r="E46" s="107"/>
      <c r="F46" s="466"/>
      <c r="G46" s="467"/>
    </row>
    <row r="47" spans="1:10" x14ac:dyDescent="0.25">
      <c r="A47" s="34" t="s">
        <v>24</v>
      </c>
      <c r="B47" s="133" t="s">
        <v>108</v>
      </c>
      <c r="C47" s="134"/>
      <c r="D47" s="105"/>
      <c r="E47" s="105"/>
      <c r="F47" s="435">
        <f>E25*1%</f>
        <v>1273.5386000000001</v>
      </c>
      <c r="G47" s="435"/>
    </row>
    <row r="48" spans="1:10" s="59" customFormat="1" ht="13.5" customHeight="1" x14ac:dyDescent="0.25"/>
    <row r="49" spans="1:7" s="59" customFormat="1" x14ac:dyDescent="0.25">
      <c r="A49" s="51" t="s">
        <v>372</v>
      </c>
      <c r="C49" s="59" t="s">
        <v>49</v>
      </c>
      <c r="F49" s="59" t="s">
        <v>60</v>
      </c>
    </row>
    <row r="50" spans="1:7" s="59" customFormat="1" ht="12" customHeight="1" x14ac:dyDescent="0.25">
      <c r="F50" s="111" t="s">
        <v>438</v>
      </c>
    </row>
    <row r="51" spans="1:7" s="59" customFormat="1" x14ac:dyDescent="0.25">
      <c r="A51" s="59" t="s">
        <v>50</v>
      </c>
    </row>
    <row r="52" spans="1:7" s="59" customFormat="1" x14ac:dyDescent="0.25">
      <c r="C52" s="113" t="s">
        <v>51</v>
      </c>
      <c r="E52" s="113"/>
      <c r="F52" s="113"/>
      <c r="G52" s="113"/>
    </row>
    <row r="53" spans="1:7" x14ac:dyDescent="0.25">
      <c r="A53" s="59"/>
      <c r="B53" s="59"/>
      <c r="C53" s="59"/>
      <c r="D53" s="59"/>
      <c r="E53" s="59"/>
      <c r="F53" s="59"/>
      <c r="G53" s="59"/>
    </row>
    <row r="54" spans="1:7" x14ac:dyDescent="0.25">
      <c r="A54" s="59"/>
      <c r="B54" s="59"/>
      <c r="C54" s="59"/>
      <c r="D54" s="59"/>
      <c r="E54" s="59"/>
      <c r="F54" s="59"/>
      <c r="G54" s="59"/>
    </row>
  </sheetData>
  <mergeCells count="24">
    <mergeCell ref="A12:I12"/>
    <mergeCell ref="A35:C35"/>
    <mergeCell ref="A11:I11"/>
    <mergeCell ref="A1:I1"/>
    <mergeCell ref="A5:I5"/>
    <mergeCell ref="A10:I10"/>
    <mergeCell ref="A3:K3"/>
    <mergeCell ref="A34:F34"/>
    <mergeCell ref="A2:K2"/>
    <mergeCell ref="C33:F33"/>
    <mergeCell ref="F47:G47"/>
    <mergeCell ref="F43:G43"/>
    <mergeCell ref="F41:G41"/>
    <mergeCell ref="F42:G42"/>
    <mergeCell ref="F46:G46"/>
    <mergeCell ref="F44:G44"/>
    <mergeCell ref="A39:I39"/>
    <mergeCell ref="B41:C41"/>
    <mergeCell ref="B42:C42"/>
    <mergeCell ref="B43:C43"/>
    <mergeCell ref="B44:C44"/>
    <mergeCell ref="B46:C46"/>
    <mergeCell ref="B45:C45"/>
    <mergeCell ref="F45:G45"/>
  </mergeCells>
  <phoneticPr fontId="14" type="noConversion"/>
  <pageMargins left="0" right="0" top="0" bottom="0" header="0.31496062992125984" footer="0.31496062992125984"/>
  <pageSetup paperSize="9" scale="84" orientation="portrait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891268-C77A-426F-BC00-DA42A2927CE1}">
  <sheetPr>
    <tabColor rgb="FF7030A0"/>
  </sheetPr>
  <dimension ref="A1:M51"/>
  <sheetViews>
    <sheetView topLeftCell="A31" zoomScaleNormal="100" workbookViewId="0">
      <selection activeCell="A52" sqref="A52:IV53"/>
    </sheetView>
  </sheetViews>
  <sheetFormatPr defaultRowHeight="15" outlineLevelRow="1" outlineLevelCol="1" x14ac:dyDescent="0.25"/>
  <cols>
    <col min="1" max="1" width="4.7109375" style="35" customWidth="1"/>
    <col min="2" max="2" width="47.28515625" style="35" customWidth="1"/>
    <col min="3" max="3" width="12.85546875" style="35" customWidth="1"/>
    <col min="4" max="4" width="13.5703125" style="35" customWidth="1"/>
    <col min="5" max="5" width="15.5703125" style="35" customWidth="1"/>
    <col min="6" max="6" width="14.5703125" style="35" customWidth="1"/>
    <col min="7" max="7" width="13.28515625" style="35" customWidth="1"/>
    <col min="8" max="8" width="10.85546875" style="35" hidden="1" customWidth="1" outlineLevel="1"/>
    <col min="9" max="9" width="13.42578125" style="35" hidden="1" customWidth="1" outlineLevel="1"/>
    <col min="10" max="12" width="9.140625" style="35" hidden="1" customWidth="1" outlineLevel="1"/>
    <col min="13" max="13" width="9.140625" style="35" collapsed="1"/>
    <col min="14" max="16384" width="9.140625" style="35"/>
  </cols>
  <sheetData>
    <row r="1" spans="1:11" x14ac:dyDescent="0.25">
      <c r="A1" s="397" t="s">
        <v>0</v>
      </c>
      <c r="B1" s="397"/>
      <c r="C1" s="397"/>
      <c r="D1" s="397"/>
      <c r="E1" s="397"/>
      <c r="F1" s="397"/>
      <c r="G1" s="397"/>
      <c r="H1" s="397"/>
      <c r="I1" s="397"/>
    </row>
    <row r="2" spans="1:11" ht="15" customHeight="1" x14ac:dyDescent="0.25">
      <c r="A2" s="370" t="s">
        <v>152</v>
      </c>
      <c r="B2" s="370"/>
      <c r="C2" s="370"/>
      <c r="D2" s="370"/>
      <c r="E2" s="370"/>
      <c r="F2" s="370"/>
      <c r="G2" s="370"/>
      <c r="H2" s="370"/>
      <c r="I2" s="370"/>
      <c r="J2" s="370"/>
      <c r="K2" s="370"/>
    </row>
    <row r="3" spans="1:11" ht="13.5" customHeight="1" x14ac:dyDescent="0.25">
      <c r="A3" s="370" t="s">
        <v>426</v>
      </c>
      <c r="B3" s="370"/>
      <c r="C3" s="370"/>
      <c r="D3" s="370"/>
      <c r="E3" s="370"/>
      <c r="F3" s="370"/>
      <c r="G3" s="370"/>
      <c r="H3" s="370"/>
      <c r="I3" s="370"/>
      <c r="J3" s="370"/>
      <c r="K3" s="370"/>
    </row>
    <row r="4" spans="1:11" ht="6.75" customHeight="1" x14ac:dyDescent="0.25">
      <c r="A4" s="142"/>
      <c r="B4" s="142"/>
      <c r="C4" s="142"/>
      <c r="D4" s="142"/>
      <c r="E4" s="142"/>
      <c r="F4" s="142"/>
      <c r="G4" s="142"/>
      <c r="H4" s="142"/>
      <c r="I4" s="142"/>
    </row>
    <row r="5" spans="1:11" ht="15" customHeight="1" x14ac:dyDescent="0.25">
      <c r="A5" s="398" t="s">
        <v>1</v>
      </c>
      <c r="B5" s="397"/>
      <c r="C5" s="397"/>
      <c r="D5" s="397"/>
      <c r="E5" s="397"/>
      <c r="F5" s="397"/>
      <c r="G5" s="397"/>
      <c r="H5" s="397"/>
      <c r="I5" s="397"/>
    </row>
    <row r="6" spans="1:11" ht="6.75" customHeight="1" x14ac:dyDescent="0.25"/>
    <row r="7" spans="1:11" s="59" customFormat="1" ht="16.5" customHeight="1" x14ac:dyDescent="0.25">
      <c r="A7" s="59" t="s">
        <v>2</v>
      </c>
      <c r="F7" s="111" t="s">
        <v>190</v>
      </c>
    </row>
    <row r="8" spans="1:11" s="59" customFormat="1" x14ac:dyDescent="0.25">
      <c r="A8" s="59" t="s">
        <v>3</v>
      </c>
      <c r="F8" s="239" t="s">
        <v>191</v>
      </c>
    </row>
    <row r="9" spans="1:11" s="59" customFormat="1" ht="6" customHeight="1" x14ac:dyDescent="0.25"/>
    <row r="10" spans="1:11" s="59" customFormat="1" x14ac:dyDescent="0.25">
      <c r="A10" s="372" t="s">
        <v>8</v>
      </c>
      <c r="B10" s="372"/>
      <c r="C10" s="372"/>
      <c r="D10" s="372"/>
      <c r="E10" s="372"/>
      <c r="F10" s="372"/>
      <c r="G10" s="372"/>
      <c r="H10" s="372"/>
      <c r="I10" s="372"/>
    </row>
    <row r="11" spans="1:11" s="59" customFormat="1" x14ac:dyDescent="0.25">
      <c r="A11" s="372" t="s">
        <v>9</v>
      </c>
      <c r="B11" s="372"/>
      <c r="C11" s="372"/>
      <c r="D11" s="372"/>
      <c r="E11" s="372"/>
      <c r="F11" s="372"/>
      <c r="G11" s="372"/>
      <c r="H11" s="372"/>
      <c r="I11" s="372"/>
    </row>
    <row r="12" spans="1:11" s="59" customFormat="1" x14ac:dyDescent="0.25">
      <c r="A12" s="372" t="s">
        <v>10</v>
      </c>
      <c r="B12" s="372"/>
      <c r="C12" s="372"/>
      <c r="D12" s="372"/>
      <c r="E12" s="372"/>
      <c r="F12" s="372"/>
      <c r="G12" s="372"/>
      <c r="H12" s="372"/>
      <c r="I12" s="372"/>
    </row>
    <row r="13" spans="1:11" s="59" customFormat="1" ht="6" customHeight="1" thickBot="1" x14ac:dyDescent="0.3">
      <c r="A13" s="60"/>
      <c r="B13" s="60"/>
      <c r="C13" s="60"/>
      <c r="D13" s="38"/>
      <c r="E13" s="58"/>
      <c r="F13" s="58"/>
      <c r="G13" s="58"/>
      <c r="H13" s="54"/>
      <c r="I13" s="54"/>
    </row>
    <row r="14" spans="1:11" s="59" customFormat="1" ht="15.75" thickBot="1" x14ac:dyDescent="0.3">
      <c r="A14" s="55" t="s">
        <v>381</v>
      </c>
      <c r="B14" s="56"/>
      <c r="C14" s="56"/>
      <c r="D14" s="61"/>
      <c r="E14" s="62"/>
      <c r="F14" s="62"/>
      <c r="G14" s="129">
        <f>'[1]Пролетарская 90'!$G$35</f>
        <v>235838.31619999994</v>
      </c>
      <c r="H14" s="54"/>
      <c r="I14" s="54"/>
    </row>
    <row r="15" spans="1:11" s="59" customFormat="1" ht="6.75" customHeight="1" x14ac:dyDescent="0.25"/>
    <row r="16" spans="1:11" s="66" customFormat="1" ht="38.25" x14ac:dyDescent="0.25">
      <c r="A16" s="64"/>
      <c r="B16" s="64" t="s">
        <v>12</v>
      </c>
      <c r="C16" s="64" t="s">
        <v>61</v>
      </c>
      <c r="D16" s="64" t="s">
        <v>432</v>
      </c>
      <c r="E16" s="64" t="s">
        <v>433</v>
      </c>
      <c r="F16" s="65" t="s">
        <v>434</v>
      </c>
      <c r="G16" s="64" t="s">
        <v>435</v>
      </c>
    </row>
    <row r="17" spans="1:9" s="59" customFormat="1" x14ac:dyDescent="0.25">
      <c r="A17" s="67" t="s">
        <v>14</v>
      </c>
      <c r="B17" s="39" t="s">
        <v>379</v>
      </c>
      <c r="C17" s="120">
        <v>23.85</v>
      </c>
      <c r="D17" s="68">
        <v>315387.31</v>
      </c>
      <c r="E17" s="68">
        <v>302299.07</v>
      </c>
      <c r="F17" s="68">
        <f>D17</f>
        <v>315387.31</v>
      </c>
      <c r="G17" s="69">
        <f>D17-E17</f>
        <v>13088.239999999991</v>
      </c>
      <c r="H17" s="130">
        <f>C17</f>
        <v>23.85</v>
      </c>
    </row>
    <row r="18" spans="1:9" s="59" customFormat="1" hidden="1" outlineLevel="1" x14ac:dyDescent="0.25">
      <c r="A18" s="73" t="s">
        <v>16</v>
      </c>
      <c r="B18" s="34" t="s">
        <v>17</v>
      </c>
      <c r="C18" s="89">
        <v>3.46</v>
      </c>
      <c r="D18" s="75">
        <f>D17*I18</f>
        <v>45754.301576519909</v>
      </c>
      <c r="E18" s="75">
        <f>E17*I18</f>
        <v>43855.546423480082</v>
      </c>
      <c r="F18" s="75">
        <f>D18</f>
        <v>45754.301576519909</v>
      </c>
      <c r="G18" s="76">
        <f>D18-E18</f>
        <v>1898.7551530398268</v>
      </c>
      <c r="H18" s="130">
        <f>C18</f>
        <v>3.46</v>
      </c>
      <c r="I18" s="59">
        <f>H18/H17</f>
        <v>0.14507337526205449</v>
      </c>
    </row>
    <row r="19" spans="1:9" s="59" customFormat="1" hidden="1" outlineLevel="1" x14ac:dyDescent="0.25">
      <c r="A19" s="73" t="s">
        <v>18</v>
      </c>
      <c r="B19" s="34" t="s">
        <v>19</v>
      </c>
      <c r="C19" s="89">
        <v>1.69</v>
      </c>
      <c r="D19" s="75">
        <f>D17*I19</f>
        <v>22348.199324947585</v>
      </c>
      <c r="E19" s="75">
        <f>E17*I19</f>
        <v>21420.772675052409</v>
      </c>
      <c r="F19" s="75">
        <f>D19</f>
        <v>22348.199324947585</v>
      </c>
      <c r="G19" s="76">
        <f>D19-E19</f>
        <v>927.42664989517652</v>
      </c>
      <c r="H19" s="130">
        <f>C19</f>
        <v>1.69</v>
      </c>
      <c r="I19" s="59">
        <f>H19/H17</f>
        <v>7.0859538784067075E-2</v>
      </c>
    </row>
    <row r="20" spans="1:9" s="59" customFormat="1" hidden="1" outlineLevel="1" x14ac:dyDescent="0.25">
      <c r="A20" s="73" t="s">
        <v>20</v>
      </c>
      <c r="B20" s="34" t="s">
        <v>21</v>
      </c>
      <c r="C20" s="89">
        <v>2.15</v>
      </c>
      <c r="D20" s="75">
        <f>D17*I20</f>
        <v>28431.141153039829</v>
      </c>
      <c r="E20" s="75">
        <f>E17*I20</f>
        <v>27251.278846960166</v>
      </c>
      <c r="F20" s="75">
        <f>D20</f>
        <v>28431.141153039829</v>
      </c>
      <c r="G20" s="76">
        <f>D20-E20</f>
        <v>1179.8623060796635</v>
      </c>
      <c r="H20" s="130">
        <f>C20</f>
        <v>2.15</v>
      </c>
      <c r="I20" s="59">
        <f>H20/H17</f>
        <v>9.0146750524109004E-2</v>
      </c>
    </row>
    <row r="21" spans="1:9" s="59" customFormat="1" hidden="1" outlineLevel="1" x14ac:dyDescent="0.25">
      <c r="A21" s="73" t="s">
        <v>22</v>
      </c>
      <c r="B21" s="34" t="s">
        <v>23</v>
      </c>
      <c r="C21" s="89">
        <v>3.04</v>
      </c>
      <c r="D21" s="75">
        <f>D17*I21</f>
        <v>40200.311211740038</v>
      </c>
      <c r="E21" s="75">
        <f>E17*I21</f>
        <v>38532.040788259954</v>
      </c>
      <c r="F21" s="75">
        <f>D21</f>
        <v>40200.311211740038</v>
      </c>
      <c r="G21" s="76">
        <f>D21-E21</f>
        <v>1668.270423480084</v>
      </c>
      <c r="H21" s="130">
        <f>C21</f>
        <v>3.04</v>
      </c>
      <c r="I21" s="59">
        <f>H21/H17</f>
        <v>0.12746331236897274</v>
      </c>
    </row>
    <row r="22" spans="1:9" collapsed="1" x14ac:dyDescent="0.25">
      <c r="A22" s="39" t="s">
        <v>25</v>
      </c>
      <c r="B22" s="78" t="s">
        <v>145</v>
      </c>
      <c r="C22" s="87">
        <v>0</v>
      </c>
      <c r="D22" s="69">
        <v>0</v>
      </c>
      <c r="E22" s="69">
        <v>0</v>
      </c>
      <c r="F22" s="69">
        <v>0</v>
      </c>
      <c r="G22" s="69">
        <f t="shared" ref="G22:G32" si="0">D22-E22</f>
        <v>0</v>
      </c>
      <c r="H22" s="35">
        <f>71*130</f>
        <v>9230</v>
      </c>
      <c r="I22" s="274">
        <f>D22/H22</f>
        <v>0</v>
      </c>
    </row>
    <row r="23" spans="1:9" x14ac:dyDescent="0.25">
      <c r="A23" s="39" t="s">
        <v>27</v>
      </c>
      <c r="B23" s="125" t="s">
        <v>28</v>
      </c>
      <c r="C23" s="87">
        <v>0</v>
      </c>
      <c r="D23" s="69">
        <v>0</v>
      </c>
      <c r="E23" s="69">
        <v>0</v>
      </c>
      <c r="F23" s="69">
        <f>D23</f>
        <v>0</v>
      </c>
      <c r="G23" s="69">
        <f t="shared" si="0"/>
        <v>0</v>
      </c>
    </row>
    <row r="24" spans="1:9" x14ac:dyDescent="0.25">
      <c r="A24" s="39" t="s">
        <v>29</v>
      </c>
      <c r="B24" s="125" t="s">
        <v>97</v>
      </c>
      <c r="C24" s="357">
        <v>0</v>
      </c>
      <c r="D24" s="69">
        <v>0</v>
      </c>
      <c r="E24" s="69">
        <v>0</v>
      </c>
      <c r="F24" s="69">
        <f>D24</f>
        <v>0</v>
      </c>
      <c r="G24" s="69">
        <f t="shared" si="0"/>
        <v>0</v>
      </c>
    </row>
    <row r="25" spans="1:9" x14ac:dyDescent="0.25">
      <c r="A25" s="39" t="s">
        <v>31</v>
      </c>
      <c r="B25" s="125" t="s">
        <v>80</v>
      </c>
      <c r="C25" s="87">
        <v>2.36</v>
      </c>
      <c r="D25" s="69">
        <v>31401.24</v>
      </c>
      <c r="E25" s="69">
        <v>30124.1</v>
      </c>
      <c r="F25" s="79">
        <f>F40</f>
        <v>301.24099999999999</v>
      </c>
      <c r="G25" s="69">
        <f t="shared" si="0"/>
        <v>1277.1400000000031</v>
      </c>
    </row>
    <row r="26" spans="1:9" x14ac:dyDescent="0.25">
      <c r="A26" s="39" t="s">
        <v>33</v>
      </c>
      <c r="B26" s="119" t="s">
        <v>34</v>
      </c>
      <c r="C26" s="43">
        <v>0</v>
      </c>
      <c r="D26" s="69">
        <v>0</v>
      </c>
      <c r="E26" s="69">
        <v>0</v>
      </c>
      <c r="F26" s="79">
        <v>0</v>
      </c>
      <c r="G26" s="69">
        <f t="shared" si="0"/>
        <v>0</v>
      </c>
    </row>
    <row r="27" spans="1:9" x14ac:dyDescent="0.25">
      <c r="A27" s="39" t="s">
        <v>35</v>
      </c>
      <c r="B27" s="119" t="s">
        <v>36</v>
      </c>
      <c r="C27" s="87"/>
      <c r="D27" s="69">
        <f>SUM(D28:D31)</f>
        <v>806306.28</v>
      </c>
      <c r="E27" s="69">
        <f>SUM(E28:E31)</f>
        <v>761560.41</v>
      </c>
      <c r="F27" s="69">
        <f>SUM(F28:F31)</f>
        <v>806306.28</v>
      </c>
      <c r="G27" s="69">
        <f t="shared" si="0"/>
        <v>44745.869999999995</v>
      </c>
    </row>
    <row r="28" spans="1:9" x14ac:dyDescent="0.25">
      <c r="A28" s="34" t="s">
        <v>37</v>
      </c>
      <c r="B28" s="34" t="s">
        <v>101</v>
      </c>
      <c r="C28" s="89">
        <v>7.36</v>
      </c>
      <c r="D28" s="76">
        <v>21484.5</v>
      </c>
      <c r="E28" s="76">
        <v>20590.97</v>
      </c>
      <c r="F28" s="76">
        <f>D28</f>
        <v>21484.5</v>
      </c>
      <c r="G28" s="76">
        <f t="shared" si="0"/>
        <v>893.52999999999884</v>
      </c>
    </row>
    <row r="29" spans="1:9" x14ac:dyDescent="0.25">
      <c r="A29" s="34" t="s">
        <v>39</v>
      </c>
      <c r="B29" s="34" t="s">
        <v>84</v>
      </c>
      <c r="C29" s="89">
        <v>88.38</v>
      </c>
      <c r="D29" s="76">
        <v>86327.78</v>
      </c>
      <c r="E29" s="76">
        <v>79476.25</v>
      </c>
      <c r="F29" s="76">
        <f>D29</f>
        <v>86327.78</v>
      </c>
      <c r="G29" s="76">
        <f t="shared" si="0"/>
        <v>6851.5299999999988</v>
      </c>
    </row>
    <row r="30" spans="1:9" x14ac:dyDescent="0.25">
      <c r="A30" s="34" t="s">
        <v>42</v>
      </c>
      <c r="B30" s="34" t="s">
        <v>40</v>
      </c>
      <c r="C30" s="128">
        <v>278.94</v>
      </c>
      <c r="D30" s="76">
        <v>121804.92</v>
      </c>
      <c r="E30" s="76">
        <v>108577.04</v>
      </c>
      <c r="F30" s="76">
        <f>D30</f>
        <v>121804.92</v>
      </c>
      <c r="G30" s="76">
        <f t="shared" si="0"/>
        <v>13227.880000000005</v>
      </c>
    </row>
    <row r="31" spans="1:9" ht="15.75" thickBot="1" x14ac:dyDescent="0.3">
      <c r="A31" s="34" t="s">
        <v>41</v>
      </c>
      <c r="B31" s="34" t="s">
        <v>43</v>
      </c>
      <c r="C31" s="89">
        <v>3352.42</v>
      </c>
      <c r="D31" s="76">
        <v>576689.07999999996</v>
      </c>
      <c r="E31" s="76">
        <v>552916.15</v>
      </c>
      <c r="F31" s="76">
        <f>D31</f>
        <v>576689.07999999996</v>
      </c>
      <c r="G31" s="76">
        <f t="shared" si="0"/>
        <v>23772.929999999935</v>
      </c>
      <c r="H31" s="91"/>
      <c r="I31" s="91"/>
    </row>
    <row r="32" spans="1:9" ht="15.75" hidden="1" outlineLevel="1" thickBot="1" x14ac:dyDescent="0.3">
      <c r="A32" s="174" t="s">
        <v>130</v>
      </c>
      <c r="B32" s="257" t="s">
        <v>133</v>
      </c>
      <c r="C32" s="298"/>
      <c r="D32" s="248">
        <v>0</v>
      </c>
      <c r="E32" s="248">
        <v>0</v>
      </c>
      <c r="F32" s="296"/>
      <c r="G32" s="248">
        <f t="shared" si="0"/>
        <v>0</v>
      </c>
      <c r="H32" s="91"/>
      <c r="I32" s="91"/>
    </row>
    <row r="33" spans="1:10" s="92" customFormat="1" ht="14.25" collapsed="1" thickBot="1" x14ac:dyDescent="0.3">
      <c r="A33" s="387" t="s">
        <v>427</v>
      </c>
      <c r="B33" s="388"/>
      <c r="C33" s="388"/>
      <c r="D33" s="57">
        <v>59111.25</v>
      </c>
      <c r="E33" s="58"/>
      <c r="F33" s="58"/>
      <c r="G33" s="58"/>
      <c r="H33" s="54"/>
      <c r="I33" s="54"/>
      <c r="J33" s="91"/>
    </row>
    <row r="34" spans="1:10" s="59" customFormat="1" ht="15.75" customHeight="1" thickBot="1" x14ac:dyDescent="0.3">
      <c r="A34" s="373"/>
      <c r="B34" s="374"/>
      <c r="C34" s="374"/>
      <c r="D34" s="375"/>
      <c r="E34" s="375"/>
      <c r="F34" s="375"/>
      <c r="G34" s="58"/>
      <c r="H34" s="54"/>
      <c r="I34" s="54"/>
    </row>
    <row r="35" spans="1:10" s="59" customFormat="1" ht="15.75" thickBot="1" x14ac:dyDescent="0.3">
      <c r="A35" s="55" t="s">
        <v>428</v>
      </c>
      <c r="B35" s="56"/>
      <c r="C35" s="56"/>
      <c r="D35" s="61"/>
      <c r="E35" s="62"/>
      <c r="F35" s="62"/>
      <c r="G35" s="129">
        <f>G14+E25-F25</f>
        <v>265661.17519999994</v>
      </c>
      <c r="H35" s="54"/>
      <c r="I35" s="54"/>
    </row>
    <row r="36" spans="1:10" s="59" customFormat="1" x14ac:dyDescent="0.25">
      <c r="A36" s="60"/>
      <c r="B36" s="60"/>
      <c r="C36" s="60"/>
      <c r="D36" s="38"/>
      <c r="E36" s="58"/>
      <c r="F36" s="58"/>
      <c r="G36" s="38"/>
      <c r="H36" s="54"/>
      <c r="I36" s="54"/>
    </row>
    <row r="37" spans="1:10" s="59" customFormat="1" ht="35.25" customHeight="1" x14ac:dyDescent="0.25">
      <c r="A37" s="485" t="s">
        <v>44</v>
      </c>
      <c r="B37" s="485"/>
      <c r="C37" s="485"/>
      <c r="D37" s="485"/>
      <c r="E37" s="485"/>
      <c r="F37" s="485"/>
      <c r="G37" s="485"/>
      <c r="H37" s="485"/>
      <c r="I37" s="485"/>
    </row>
    <row r="38" spans="1:10" ht="27" customHeight="1" x14ac:dyDescent="0.25"/>
    <row r="39" spans="1:10" ht="28.5" x14ac:dyDescent="0.25">
      <c r="A39" s="94" t="s">
        <v>11</v>
      </c>
      <c r="B39" s="416" t="s">
        <v>45</v>
      </c>
      <c r="C39" s="425"/>
      <c r="D39" s="94" t="s">
        <v>99</v>
      </c>
      <c r="E39" s="94" t="s">
        <v>98</v>
      </c>
      <c r="F39" s="416" t="s">
        <v>46</v>
      </c>
      <c r="G39" s="425"/>
      <c r="H39" s="156"/>
      <c r="I39" s="156"/>
    </row>
    <row r="40" spans="1:10" s="156" customFormat="1" x14ac:dyDescent="0.25">
      <c r="A40" s="98" t="s">
        <v>47</v>
      </c>
      <c r="B40" s="418" t="s">
        <v>75</v>
      </c>
      <c r="C40" s="430"/>
      <c r="D40" s="99"/>
      <c r="E40" s="99"/>
      <c r="F40" s="436">
        <f>SUM(F41:L43)</f>
        <v>301.24099999999999</v>
      </c>
      <c r="G40" s="424"/>
      <c r="H40" s="103"/>
      <c r="I40" s="103"/>
    </row>
    <row r="41" spans="1:10" s="103" customFormat="1" ht="12.75" customHeight="1" x14ac:dyDescent="0.25">
      <c r="A41" s="34" t="s">
        <v>16</v>
      </c>
      <c r="B41" s="412"/>
      <c r="C41" s="428"/>
      <c r="D41" s="258"/>
      <c r="E41" s="263"/>
      <c r="F41" s="429"/>
      <c r="G41" s="429"/>
      <c r="H41" s="35"/>
      <c r="I41" s="35"/>
    </row>
    <row r="42" spans="1:10" s="103" customFormat="1" ht="12.75" customHeight="1" x14ac:dyDescent="0.25">
      <c r="A42" s="34" t="s">
        <v>18</v>
      </c>
      <c r="B42" s="472"/>
      <c r="C42" s="455"/>
      <c r="D42" s="258"/>
      <c r="E42" s="263"/>
      <c r="F42" s="429"/>
      <c r="G42" s="429"/>
      <c r="H42" s="35"/>
      <c r="I42" s="35"/>
    </row>
    <row r="43" spans="1:10" s="59" customFormat="1" x14ac:dyDescent="0.25">
      <c r="A43" s="34" t="s">
        <v>20</v>
      </c>
      <c r="B43" s="133" t="s">
        <v>108</v>
      </c>
      <c r="C43" s="134"/>
      <c r="D43" s="105"/>
      <c r="E43" s="105"/>
      <c r="F43" s="435">
        <f>E25*1%</f>
        <v>301.24099999999999</v>
      </c>
      <c r="G43" s="435"/>
      <c r="H43" s="35"/>
      <c r="I43" s="35"/>
    </row>
    <row r="44" spans="1:10" s="59" customFormat="1" ht="13.5" customHeight="1" x14ac:dyDescent="0.25"/>
    <row r="45" spans="1:10" s="59" customFormat="1" ht="13.5" customHeight="1" x14ac:dyDescent="0.25"/>
    <row r="46" spans="1:10" s="59" customFormat="1" ht="13.5" customHeight="1" x14ac:dyDescent="0.25">
      <c r="A46" s="51" t="s">
        <v>372</v>
      </c>
      <c r="C46" s="59" t="s">
        <v>49</v>
      </c>
      <c r="F46" s="59" t="s">
        <v>60</v>
      </c>
    </row>
    <row r="47" spans="1:10" s="59" customFormat="1" ht="13.5" customHeight="1" x14ac:dyDescent="0.25">
      <c r="F47" s="111" t="s">
        <v>438</v>
      </c>
    </row>
    <row r="48" spans="1:10" s="59" customFormat="1" x14ac:dyDescent="0.25">
      <c r="A48" s="59" t="s">
        <v>50</v>
      </c>
    </row>
    <row r="49" spans="1:7" s="59" customFormat="1" x14ac:dyDescent="0.25">
      <c r="C49" s="113" t="s">
        <v>51</v>
      </c>
      <c r="E49" s="113"/>
      <c r="F49" s="113"/>
      <c r="G49" s="113"/>
    </row>
    <row r="50" spans="1:7" s="59" customFormat="1" x14ac:dyDescent="0.25"/>
    <row r="51" spans="1:7" s="59" customFormat="1" x14ac:dyDescent="0.25">
      <c r="A51" s="35"/>
      <c r="B51" s="35"/>
      <c r="C51" s="35"/>
      <c r="D51" s="35"/>
      <c r="E51" s="35"/>
      <c r="F51" s="35"/>
      <c r="G51" s="35"/>
    </row>
  </sheetData>
  <mergeCells count="19">
    <mergeCell ref="A1:I1"/>
    <mergeCell ref="A5:I5"/>
    <mergeCell ref="A10:I10"/>
    <mergeCell ref="A3:K3"/>
    <mergeCell ref="A11:I11"/>
    <mergeCell ref="A2:K2"/>
    <mergeCell ref="F41:G41"/>
    <mergeCell ref="F43:G43"/>
    <mergeCell ref="F40:G40"/>
    <mergeCell ref="B41:C41"/>
    <mergeCell ref="F42:G42"/>
    <mergeCell ref="B42:C42"/>
    <mergeCell ref="B39:C39"/>
    <mergeCell ref="F39:G39"/>
    <mergeCell ref="A33:C33"/>
    <mergeCell ref="A12:I12"/>
    <mergeCell ref="A34:F34"/>
    <mergeCell ref="B40:C40"/>
    <mergeCell ref="A37:I37"/>
  </mergeCells>
  <phoneticPr fontId="14" type="noConversion"/>
  <pageMargins left="0" right="0" top="0" bottom="0" header="0.31496062992125984" footer="0.31496062992125984"/>
  <pageSetup paperSize="9" scale="98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07B48C-65F5-4442-B39C-1FD2F7FA888C}">
  <sheetPr>
    <tabColor rgb="FF7030A0"/>
  </sheetPr>
  <dimension ref="A1:M51"/>
  <sheetViews>
    <sheetView topLeftCell="A28" zoomScale="96" zoomScaleNormal="96" workbookViewId="0">
      <selection activeCell="A52" sqref="A52:IV53"/>
    </sheetView>
  </sheetViews>
  <sheetFormatPr defaultRowHeight="15" outlineLevelRow="1" outlineLevelCol="1" x14ac:dyDescent="0.25"/>
  <cols>
    <col min="1" max="1" width="5.28515625" style="35" customWidth="1"/>
    <col min="2" max="2" width="43.140625" style="35" customWidth="1"/>
    <col min="3" max="3" width="13.28515625" style="144" customWidth="1"/>
    <col min="4" max="4" width="13.85546875" style="144" customWidth="1"/>
    <col min="5" max="5" width="13.7109375" style="144" customWidth="1"/>
    <col min="6" max="6" width="14.5703125" style="144" customWidth="1"/>
    <col min="7" max="7" width="15" style="144" customWidth="1"/>
    <col min="8" max="8" width="10.85546875" style="35" hidden="1" customWidth="1" outlineLevel="1"/>
    <col min="9" max="9" width="13.42578125" style="35" hidden="1" customWidth="1" outlineLevel="1"/>
    <col min="10" max="11" width="9.140625" style="35" hidden="1" customWidth="1" outlineLevel="1"/>
    <col min="12" max="12" width="9.140625" style="35" hidden="1" customWidth="1" outlineLevel="1" collapsed="1"/>
    <col min="13" max="13" width="10" style="35" bestFit="1" customWidth="1" collapsed="1"/>
    <col min="14" max="16384" width="9.140625" style="35"/>
  </cols>
  <sheetData>
    <row r="1" spans="1:11" x14ac:dyDescent="0.25">
      <c r="A1" s="397" t="s">
        <v>0</v>
      </c>
      <c r="B1" s="397"/>
      <c r="C1" s="397"/>
      <c r="D1" s="397"/>
      <c r="E1" s="397"/>
      <c r="F1" s="397"/>
      <c r="G1" s="397"/>
      <c r="H1" s="397"/>
      <c r="I1" s="397"/>
    </row>
    <row r="2" spans="1:11" ht="15" customHeight="1" x14ac:dyDescent="0.25">
      <c r="A2" s="370" t="s">
        <v>152</v>
      </c>
      <c r="B2" s="370"/>
      <c r="C2" s="370"/>
      <c r="D2" s="370"/>
      <c r="E2" s="370"/>
      <c r="F2" s="370"/>
      <c r="G2" s="370"/>
      <c r="H2" s="370"/>
      <c r="I2" s="370"/>
      <c r="J2" s="370"/>
      <c r="K2" s="370"/>
    </row>
    <row r="3" spans="1:11" ht="15.75" customHeight="1" x14ac:dyDescent="0.25">
      <c r="A3" s="370" t="s">
        <v>426</v>
      </c>
      <c r="B3" s="370"/>
      <c r="C3" s="370"/>
      <c r="D3" s="370"/>
      <c r="E3" s="370"/>
      <c r="F3" s="370"/>
      <c r="G3" s="370"/>
      <c r="H3" s="370"/>
      <c r="I3" s="370"/>
      <c r="J3" s="370"/>
      <c r="K3" s="370"/>
    </row>
    <row r="4" spans="1:11" ht="3" customHeight="1" x14ac:dyDescent="0.25">
      <c r="A4" s="142"/>
      <c r="B4" s="142"/>
      <c r="C4" s="143"/>
      <c r="D4" s="143"/>
      <c r="E4" s="143"/>
      <c r="F4" s="143"/>
      <c r="G4" s="143"/>
      <c r="H4" s="142"/>
      <c r="I4" s="142"/>
    </row>
    <row r="5" spans="1:11" ht="15.75" customHeight="1" x14ac:dyDescent="0.25">
      <c r="A5" s="398" t="s">
        <v>1</v>
      </c>
      <c r="B5" s="397"/>
      <c r="C5" s="397"/>
      <c r="D5" s="397"/>
      <c r="E5" s="397"/>
      <c r="F5" s="397"/>
      <c r="G5" s="397"/>
      <c r="H5" s="397"/>
      <c r="I5" s="397"/>
    </row>
    <row r="6" spans="1:11" ht="3" customHeight="1" x14ac:dyDescent="0.25"/>
    <row r="7" spans="1:11" s="59" customFormat="1" ht="16.5" customHeight="1" x14ac:dyDescent="0.25">
      <c r="A7" s="59" t="s">
        <v>2</v>
      </c>
      <c r="C7" s="130"/>
      <c r="D7" s="130"/>
      <c r="E7" s="130"/>
      <c r="F7" s="145" t="s">
        <v>155</v>
      </c>
      <c r="G7" s="130"/>
    </row>
    <row r="8" spans="1:11" s="59" customFormat="1" x14ac:dyDescent="0.25">
      <c r="A8" s="59" t="s">
        <v>3</v>
      </c>
      <c r="C8" s="130"/>
      <c r="D8" s="130"/>
      <c r="E8" s="130"/>
      <c r="F8" s="145" t="s">
        <v>156</v>
      </c>
      <c r="G8" s="130"/>
    </row>
    <row r="9" spans="1:11" s="59" customFormat="1" ht="4.5" customHeight="1" x14ac:dyDescent="0.25">
      <c r="C9" s="130"/>
      <c r="D9" s="130"/>
      <c r="E9" s="130"/>
      <c r="F9" s="130"/>
      <c r="G9" s="130"/>
    </row>
    <row r="10" spans="1:11" s="59" customFormat="1" x14ac:dyDescent="0.25">
      <c r="A10" s="372" t="s">
        <v>8</v>
      </c>
      <c r="B10" s="372"/>
      <c r="C10" s="372"/>
      <c r="D10" s="372"/>
      <c r="E10" s="372"/>
      <c r="F10" s="372"/>
      <c r="G10" s="372"/>
      <c r="H10" s="372"/>
      <c r="I10" s="372"/>
    </row>
    <row r="11" spans="1:11" s="59" customFormat="1" x14ac:dyDescent="0.25">
      <c r="A11" s="372" t="s">
        <v>9</v>
      </c>
      <c r="B11" s="372"/>
      <c r="C11" s="372"/>
      <c r="D11" s="372"/>
      <c r="E11" s="372"/>
      <c r="F11" s="372"/>
      <c r="G11" s="372"/>
      <c r="H11" s="372"/>
      <c r="I11" s="372"/>
    </row>
    <row r="12" spans="1:11" s="59" customFormat="1" x14ac:dyDescent="0.25">
      <c r="A12" s="372" t="s">
        <v>10</v>
      </c>
      <c r="B12" s="372"/>
      <c r="C12" s="372"/>
      <c r="D12" s="372"/>
      <c r="E12" s="372"/>
      <c r="F12" s="372"/>
      <c r="G12" s="372"/>
      <c r="H12" s="372"/>
      <c r="I12" s="372"/>
    </row>
    <row r="13" spans="1:11" s="59" customFormat="1" ht="6" customHeight="1" thickBot="1" x14ac:dyDescent="0.3">
      <c r="A13" s="60"/>
      <c r="B13" s="60"/>
      <c r="C13" s="148"/>
      <c r="D13" s="147"/>
      <c r="E13" s="147"/>
      <c r="F13" s="147"/>
      <c r="G13" s="147"/>
      <c r="H13" s="54"/>
      <c r="I13" s="54"/>
    </row>
    <row r="14" spans="1:11" s="59" customFormat="1" ht="15.75" thickBot="1" x14ac:dyDescent="0.3">
      <c r="A14" s="55" t="s">
        <v>381</v>
      </c>
      <c r="B14" s="56"/>
      <c r="C14" s="149"/>
      <c r="D14" s="150"/>
      <c r="E14" s="150"/>
      <c r="F14" s="150"/>
      <c r="G14" s="289">
        <f>'[1]В.Восстания 1'!$G$35</f>
        <v>-22968.956800000004</v>
      </c>
      <c r="H14" s="54"/>
      <c r="I14" s="54"/>
    </row>
    <row r="15" spans="1:11" s="59" customFormat="1" ht="8.25" customHeight="1" x14ac:dyDescent="0.25">
      <c r="C15" s="130"/>
      <c r="D15" s="130"/>
      <c r="E15" s="130"/>
      <c r="F15" s="130"/>
      <c r="G15" s="130"/>
    </row>
    <row r="16" spans="1:11" s="66" customFormat="1" ht="38.25" x14ac:dyDescent="0.25">
      <c r="A16" s="64" t="s">
        <v>11</v>
      </c>
      <c r="B16" s="64" t="s">
        <v>12</v>
      </c>
      <c r="C16" s="64" t="s">
        <v>61</v>
      </c>
      <c r="D16" s="64" t="s">
        <v>432</v>
      </c>
      <c r="E16" s="64" t="s">
        <v>433</v>
      </c>
      <c r="F16" s="65" t="s">
        <v>434</v>
      </c>
      <c r="G16" s="64" t="s">
        <v>435</v>
      </c>
    </row>
    <row r="17" spans="1:9" s="152" customFormat="1" ht="14.25" x14ac:dyDescent="0.2">
      <c r="A17" s="67" t="s">
        <v>14</v>
      </c>
      <c r="B17" s="119" t="s">
        <v>379</v>
      </c>
      <c r="C17" s="120">
        <v>20.32</v>
      </c>
      <c r="D17" s="68">
        <v>560685.48</v>
      </c>
      <c r="E17" s="68">
        <v>570842.18000000005</v>
      </c>
      <c r="F17" s="68">
        <f t="shared" ref="F17:F24" si="0">D17</f>
        <v>560685.48</v>
      </c>
      <c r="G17" s="69">
        <f>D17-E17</f>
        <v>-10156.70000000007</v>
      </c>
      <c r="H17" s="151">
        <f>C17</f>
        <v>20.32</v>
      </c>
    </row>
    <row r="18" spans="1:9" s="59" customFormat="1" hidden="1" outlineLevel="1" x14ac:dyDescent="0.25">
      <c r="A18" s="73" t="s">
        <v>16</v>
      </c>
      <c r="B18" s="124" t="s">
        <v>17</v>
      </c>
      <c r="C18" s="89">
        <v>3.46</v>
      </c>
      <c r="D18" s="75">
        <f>D17*I18</f>
        <v>95471.051220472436</v>
      </c>
      <c r="E18" s="75">
        <f>E17*I18</f>
        <v>97200.48931102363</v>
      </c>
      <c r="F18" s="75">
        <f t="shared" si="0"/>
        <v>95471.051220472436</v>
      </c>
      <c r="G18" s="76">
        <f t="shared" ref="G18:G30" si="1">D18-E18</f>
        <v>-1729.4380905511935</v>
      </c>
      <c r="H18" s="130">
        <f>C18</f>
        <v>3.46</v>
      </c>
      <c r="I18" s="59">
        <f>H18/H17</f>
        <v>0.17027559055118111</v>
      </c>
    </row>
    <row r="19" spans="1:9" s="59" customFormat="1" hidden="1" outlineLevel="1" x14ac:dyDescent="0.25">
      <c r="A19" s="73" t="s">
        <v>18</v>
      </c>
      <c r="B19" s="124" t="s">
        <v>19</v>
      </c>
      <c r="C19" s="89">
        <v>1.69</v>
      </c>
      <c r="D19" s="75">
        <f>D17*I19</f>
        <v>46631.814035433061</v>
      </c>
      <c r="E19" s="75">
        <f>E17*I19</f>
        <v>47476.539576771655</v>
      </c>
      <c r="F19" s="75">
        <f t="shared" si="0"/>
        <v>46631.814035433061</v>
      </c>
      <c r="G19" s="76">
        <f t="shared" si="1"/>
        <v>-844.72554133859376</v>
      </c>
      <c r="H19" s="130">
        <f>C19</f>
        <v>1.69</v>
      </c>
      <c r="I19" s="59">
        <f>H19/H17</f>
        <v>8.3169291338582668E-2</v>
      </c>
    </row>
    <row r="20" spans="1:9" s="59" customFormat="1" hidden="1" outlineLevel="1" x14ac:dyDescent="0.25">
      <c r="A20" s="73" t="s">
        <v>20</v>
      </c>
      <c r="B20" s="124" t="s">
        <v>21</v>
      </c>
      <c r="C20" s="89">
        <v>2.15</v>
      </c>
      <c r="D20" s="75">
        <f>D17*I20</f>
        <v>59324.497145669287</v>
      </c>
      <c r="E20" s="75">
        <f>E17*I20</f>
        <v>60399.147982283466</v>
      </c>
      <c r="F20" s="75">
        <f t="shared" si="0"/>
        <v>59324.497145669287</v>
      </c>
      <c r="G20" s="76">
        <f t="shared" si="1"/>
        <v>-1074.6508366141788</v>
      </c>
      <c r="H20" s="130">
        <f>C20</f>
        <v>2.15</v>
      </c>
      <c r="I20" s="59">
        <f>H20/H17</f>
        <v>0.10580708661417322</v>
      </c>
    </row>
    <row r="21" spans="1:9" s="59" customFormat="1" hidden="1" outlineLevel="1" x14ac:dyDescent="0.25">
      <c r="A21" s="73" t="s">
        <v>22</v>
      </c>
      <c r="B21" s="124" t="s">
        <v>23</v>
      </c>
      <c r="C21" s="89">
        <v>3.04</v>
      </c>
      <c r="D21" s="75">
        <f>D17*I21</f>
        <v>83882.079685039367</v>
      </c>
      <c r="E21" s="75">
        <f>E17*I21</f>
        <v>85401.585984251986</v>
      </c>
      <c r="F21" s="75">
        <f t="shared" si="0"/>
        <v>83882.079685039367</v>
      </c>
      <c r="G21" s="76">
        <f>D21-E21</f>
        <v>-1519.5062992126186</v>
      </c>
      <c r="H21" s="130">
        <f>C21</f>
        <v>3.04</v>
      </c>
      <c r="I21" s="59">
        <f>H21/H17</f>
        <v>0.14960629921259844</v>
      </c>
    </row>
    <row r="22" spans="1:9" s="59" customFormat="1" collapsed="1" x14ac:dyDescent="0.25">
      <c r="A22" s="125" t="s">
        <v>25</v>
      </c>
      <c r="B22" s="125" t="s">
        <v>26</v>
      </c>
      <c r="C22" s="126">
        <v>4.3600000000000003</v>
      </c>
      <c r="D22" s="68">
        <v>120304.32000000001</v>
      </c>
      <c r="E22" s="68">
        <v>123561.71</v>
      </c>
      <c r="F22" s="68">
        <f>D22</f>
        <v>120304.32000000001</v>
      </c>
      <c r="G22" s="69">
        <f>D22-E22</f>
        <v>-3257.3899999999994</v>
      </c>
      <c r="H22" s="130"/>
    </row>
    <row r="23" spans="1:9" s="59" customFormat="1" x14ac:dyDescent="0.25">
      <c r="A23" s="125" t="s">
        <v>27</v>
      </c>
      <c r="B23" s="125" t="s">
        <v>154</v>
      </c>
      <c r="C23" s="357">
        <v>110</v>
      </c>
      <c r="D23" s="68">
        <v>0</v>
      </c>
      <c r="E23" s="68">
        <v>1671.94</v>
      </c>
      <c r="F23" s="68">
        <f t="shared" si="0"/>
        <v>0</v>
      </c>
      <c r="G23" s="69">
        <f>D23-E23</f>
        <v>-1671.94</v>
      </c>
      <c r="H23" s="130"/>
    </row>
    <row r="24" spans="1:9" s="37" customFormat="1" ht="14.25" x14ac:dyDescent="0.2">
      <c r="A24" s="125" t="s">
        <v>29</v>
      </c>
      <c r="B24" s="125" t="s">
        <v>97</v>
      </c>
      <c r="C24" s="357">
        <v>0</v>
      </c>
      <c r="D24" s="79">
        <v>0</v>
      </c>
      <c r="E24" s="79">
        <v>0</v>
      </c>
      <c r="F24" s="79">
        <f t="shared" si="0"/>
        <v>0</v>
      </c>
      <c r="G24" s="69">
        <f t="shared" si="1"/>
        <v>0</v>
      </c>
    </row>
    <row r="25" spans="1:9" s="37" customFormat="1" ht="14.25" x14ac:dyDescent="0.2">
      <c r="A25" s="125" t="s">
        <v>31</v>
      </c>
      <c r="B25" s="125" t="s">
        <v>80</v>
      </c>
      <c r="C25" s="126">
        <v>2.0099999999999998</v>
      </c>
      <c r="D25" s="79">
        <v>55461.96</v>
      </c>
      <c r="E25" s="79">
        <v>57185.77</v>
      </c>
      <c r="F25" s="79">
        <f>F40</f>
        <v>20082.367700000003</v>
      </c>
      <c r="G25" s="69">
        <f t="shared" si="1"/>
        <v>-1723.8099999999977</v>
      </c>
    </row>
    <row r="26" spans="1:9" s="37" customFormat="1" ht="14.25" x14ac:dyDescent="0.2">
      <c r="A26" s="119" t="s">
        <v>33</v>
      </c>
      <c r="B26" s="119" t="s">
        <v>36</v>
      </c>
      <c r="C26" s="120"/>
      <c r="D26" s="69">
        <f>SUM(D27:D30)</f>
        <v>1966060.49</v>
      </c>
      <c r="E26" s="69">
        <f>SUM(E27:E30)</f>
        <v>1888445.41</v>
      </c>
      <c r="F26" s="69">
        <f>SUM(F27:F30)</f>
        <v>1966060.49</v>
      </c>
      <c r="G26" s="69">
        <f t="shared" si="1"/>
        <v>77615.080000000075</v>
      </c>
    </row>
    <row r="27" spans="1:9" x14ac:dyDescent="0.25">
      <c r="A27" s="277" t="s">
        <v>146</v>
      </c>
      <c r="B27" s="34" t="s">
        <v>101</v>
      </c>
      <c r="C27" s="89">
        <v>7.36</v>
      </c>
      <c r="D27" s="76">
        <v>141859.39000000001</v>
      </c>
      <c r="E27" s="76">
        <v>144924.29999999999</v>
      </c>
      <c r="F27" s="76">
        <f>D27</f>
        <v>141859.39000000001</v>
      </c>
      <c r="G27" s="76">
        <f t="shared" si="1"/>
        <v>-3064.9099999999744</v>
      </c>
    </row>
    <row r="28" spans="1:9" x14ac:dyDescent="0.25">
      <c r="A28" s="34" t="s">
        <v>147</v>
      </c>
      <c r="B28" s="34" t="s">
        <v>84</v>
      </c>
      <c r="C28" s="89">
        <v>88.38</v>
      </c>
      <c r="D28" s="76">
        <v>350340.4</v>
      </c>
      <c r="E28" s="76">
        <v>375957.08</v>
      </c>
      <c r="F28" s="76">
        <f>D28</f>
        <v>350340.4</v>
      </c>
      <c r="G28" s="76">
        <f t="shared" si="1"/>
        <v>-25616.679999999993</v>
      </c>
    </row>
    <row r="29" spans="1:9" x14ac:dyDescent="0.25">
      <c r="A29" s="34" t="s">
        <v>148</v>
      </c>
      <c r="B29" s="124" t="s">
        <v>135</v>
      </c>
      <c r="C29" s="128">
        <v>278.94</v>
      </c>
      <c r="D29" s="76">
        <v>388458.54</v>
      </c>
      <c r="E29" s="76">
        <v>303339.62</v>
      </c>
      <c r="F29" s="76">
        <f>D29</f>
        <v>388458.54</v>
      </c>
      <c r="G29" s="76">
        <f t="shared" si="1"/>
        <v>85118.919999999984</v>
      </c>
    </row>
    <row r="30" spans="1:9" x14ac:dyDescent="0.25">
      <c r="A30" s="34" t="s">
        <v>149</v>
      </c>
      <c r="B30" s="124" t="s">
        <v>43</v>
      </c>
      <c r="C30" s="89">
        <v>3352.42</v>
      </c>
      <c r="D30" s="76">
        <v>1085402.1599999999</v>
      </c>
      <c r="E30" s="76">
        <v>1064224.4099999999</v>
      </c>
      <c r="F30" s="76">
        <f>D30</f>
        <v>1085402.1599999999</v>
      </c>
      <c r="G30" s="76">
        <f t="shared" si="1"/>
        <v>21177.75</v>
      </c>
    </row>
    <row r="31" spans="1:9" ht="5.25" customHeight="1" x14ac:dyDescent="0.25">
      <c r="A31" s="153"/>
      <c r="B31" s="153"/>
      <c r="C31" s="154"/>
      <c r="D31" s="155"/>
      <c r="E31" s="155"/>
      <c r="F31" s="155"/>
      <c r="G31" s="155"/>
    </row>
    <row r="32" spans="1:9" ht="17.25" customHeight="1" thickBot="1" x14ac:dyDescent="0.3">
      <c r="A32" s="373"/>
      <c r="B32" s="374"/>
      <c r="C32" s="374"/>
      <c r="D32" s="375"/>
      <c r="E32" s="375"/>
      <c r="F32" s="375"/>
      <c r="G32" s="155"/>
    </row>
    <row r="33" spans="1:13" s="59" customFormat="1" ht="15.75" thickBot="1" x14ac:dyDescent="0.3">
      <c r="A33" s="387" t="s">
        <v>427</v>
      </c>
      <c r="B33" s="388"/>
      <c r="C33" s="388"/>
      <c r="D33" s="57">
        <v>60805.24</v>
      </c>
      <c r="E33" s="147"/>
      <c r="F33" s="147"/>
      <c r="G33" s="147"/>
      <c r="H33" s="54"/>
      <c r="I33" s="54"/>
    </row>
    <row r="34" spans="1:13" s="59" customFormat="1" ht="6" customHeight="1" thickBot="1" x14ac:dyDescent="0.3">
      <c r="A34" s="60"/>
      <c r="B34" s="60"/>
      <c r="C34" s="148"/>
      <c r="D34" s="147"/>
      <c r="E34" s="147"/>
      <c r="F34" s="147"/>
      <c r="G34" s="147"/>
      <c r="H34" s="54"/>
      <c r="I34" s="54"/>
    </row>
    <row r="35" spans="1:13" s="59" customFormat="1" ht="15.75" thickBot="1" x14ac:dyDescent="0.3">
      <c r="A35" s="55" t="s">
        <v>428</v>
      </c>
      <c r="B35" s="56"/>
      <c r="C35" s="149"/>
      <c r="D35" s="150"/>
      <c r="E35" s="150"/>
      <c r="F35" s="150"/>
      <c r="G35" s="146">
        <f>G14+E25-F25</f>
        <v>14134.445499999987</v>
      </c>
      <c r="H35" s="54"/>
      <c r="I35" s="54"/>
      <c r="M35" s="130"/>
    </row>
    <row r="36" spans="1:13" s="59" customFormat="1" x14ac:dyDescent="0.25">
      <c r="A36" s="60"/>
      <c r="B36" s="60"/>
      <c r="C36" s="148"/>
      <c r="D36" s="147"/>
      <c r="E36" s="147"/>
      <c r="F36" s="147"/>
      <c r="G36" s="147"/>
      <c r="H36" s="54"/>
      <c r="I36" s="54"/>
    </row>
    <row r="37" spans="1:13" ht="28.5" customHeight="1" x14ac:dyDescent="0.25">
      <c r="A37" s="371" t="s">
        <v>44</v>
      </c>
      <c r="B37" s="371"/>
      <c r="C37" s="371"/>
      <c r="D37" s="371"/>
      <c r="E37" s="371"/>
      <c r="F37" s="371"/>
      <c r="G37" s="371"/>
      <c r="H37" s="371"/>
      <c r="I37" s="371"/>
    </row>
    <row r="38" spans="1:13" ht="6.75" customHeight="1" x14ac:dyDescent="0.25"/>
    <row r="39" spans="1:13" s="156" customFormat="1" ht="28.5" customHeight="1" x14ac:dyDescent="0.25">
      <c r="A39" s="94" t="s">
        <v>11</v>
      </c>
      <c r="B39" s="416" t="s">
        <v>45</v>
      </c>
      <c r="C39" s="417"/>
      <c r="D39" s="94" t="s">
        <v>99</v>
      </c>
      <c r="E39" s="94" t="s">
        <v>98</v>
      </c>
      <c r="F39" s="399" t="s">
        <v>46</v>
      </c>
      <c r="G39" s="400"/>
    </row>
    <row r="40" spans="1:13" s="103" customFormat="1" ht="12.75" customHeight="1" x14ac:dyDescent="0.25">
      <c r="A40" s="98" t="s">
        <v>47</v>
      </c>
      <c r="B40" s="418" t="s">
        <v>75</v>
      </c>
      <c r="C40" s="419"/>
      <c r="D40" s="157"/>
      <c r="E40" s="157"/>
      <c r="F40" s="408">
        <f>SUM(F41:G45)</f>
        <v>20082.367700000003</v>
      </c>
      <c r="G40" s="409"/>
    </row>
    <row r="41" spans="1:13" s="103" customFormat="1" ht="30.75" customHeight="1" x14ac:dyDescent="0.25">
      <c r="A41" s="34" t="s">
        <v>16</v>
      </c>
      <c r="B41" s="378" t="s">
        <v>408</v>
      </c>
      <c r="C41" s="405"/>
      <c r="D41" s="136" t="s">
        <v>100</v>
      </c>
      <c r="E41" s="136">
        <v>1</v>
      </c>
      <c r="F41" s="403">
        <v>11736</v>
      </c>
      <c r="G41" s="404"/>
    </row>
    <row r="42" spans="1:13" s="103" customFormat="1" ht="17.25" customHeight="1" x14ac:dyDescent="0.25">
      <c r="A42" s="34" t="s">
        <v>18</v>
      </c>
      <c r="B42" s="406" t="s">
        <v>436</v>
      </c>
      <c r="C42" s="407"/>
      <c r="D42" s="136" t="s">
        <v>100</v>
      </c>
      <c r="E42" s="136">
        <v>1</v>
      </c>
      <c r="F42" s="403">
        <v>7774.51</v>
      </c>
      <c r="G42" s="404"/>
    </row>
    <row r="43" spans="1:13" s="103" customFormat="1" ht="12.75" customHeight="1" x14ac:dyDescent="0.25">
      <c r="A43" s="34" t="s">
        <v>20</v>
      </c>
      <c r="B43" s="414"/>
      <c r="C43" s="415"/>
      <c r="D43" s="271"/>
      <c r="E43" s="271"/>
      <c r="F43" s="410"/>
      <c r="G43" s="411"/>
    </row>
    <row r="44" spans="1:13" s="103" customFormat="1" ht="12.75" customHeight="1" x14ac:dyDescent="0.25">
      <c r="A44" s="34" t="s">
        <v>22</v>
      </c>
      <c r="B44" s="412"/>
      <c r="C44" s="413"/>
      <c r="D44" s="271"/>
      <c r="E44" s="333"/>
      <c r="F44" s="410"/>
      <c r="G44" s="411"/>
    </row>
    <row r="45" spans="1:13" s="103" customFormat="1" ht="12.75" customHeight="1" x14ac:dyDescent="0.25">
      <c r="A45" s="34" t="s">
        <v>24</v>
      </c>
      <c r="B45" s="401" t="s">
        <v>108</v>
      </c>
      <c r="C45" s="402"/>
      <c r="D45" s="158"/>
      <c r="E45" s="158"/>
      <c r="F45" s="403">
        <f>E25*1%</f>
        <v>571.85770000000002</v>
      </c>
      <c r="G45" s="404"/>
    </row>
    <row r="46" spans="1:13" s="59" customFormat="1" x14ac:dyDescent="0.25">
      <c r="C46" s="130"/>
      <c r="D46" s="130"/>
      <c r="E46" s="130"/>
      <c r="F46" s="130"/>
      <c r="G46" s="130"/>
    </row>
    <row r="47" spans="1:13" s="59" customFormat="1" x14ac:dyDescent="0.25">
      <c r="A47" s="51" t="s">
        <v>372</v>
      </c>
      <c r="C47" s="130" t="s">
        <v>49</v>
      </c>
      <c r="D47" s="130"/>
      <c r="E47" s="130"/>
      <c r="F47" s="130" t="s">
        <v>60</v>
      </c>
      <c r="G47" s="130"/>
    </row>
    <row r="48" spans="1:13" s="59" customFormat="1" x14ac:dyDescent="0.25">
      <c r="C48" s="130"/>
      <c r="D48" s="130"/>
      <c r="E48" s="130"/>
      <c r="F48" s="145" t="s">
        <v>429</v>
      </c>
      <c r="G48" s="130"/>
    </row>
    <row r="49" spans="1:7" s="59" customFormat="1" x14ac:dyDescent="0.25">
      <c r="A49" s="59" t="s">
        <v>50</v>
      </c>
      <c r="C49" s="130"/>
      <c r="D49" s="130"/>
      <c r="E49" s="130"/>
      <c r="F49" s="130"/>
      <c r="G49" s="130"/>
    </row>
    <row r="50" spans="1:7" s="59" customFormat="1" ht="11.25" customHeight="1" x14ac:dyDescent="0.25">
      <c r="C50" s="159" t="s">
        <v>51</v>
      </c>
      <c r="D50" s="130"/>
      <c r="E50" s="159"/>
      <c r="F50" s="159"/>
      <c r="G50" s="159"/>
    </row>
    <row r="51" spans="1:7" s="59" customFormat="1" x14ac:dyDescent="0.25">
      <c r="C51" s="130"/>
      <c r="D51" s="130"/>
      <c r="E51" s="130"/>
      <c r="F51" s="130"/>
      <c r="G51" s="130"/>
    </row>
  </sheetData>
  <mergeCells count="24">
    <mergeCell ref="F40:G40"/>
    <mergeCell ref="F44:G44"/>
    <mergeCell ref="B44:C44"/>
    <mergeCell ref="F43:G43"/>
    <mergeCell ref="B43:C43"/>
    <mergeCell ref="A12:I12"/>
    <mergeCell ref="A32:F32"/>
    <mergeCell ref="A33:C33"/>
    <mergeCell ref="B39:C39"/>
    <mergeCell ref="B40:C40"/>
    <mergeCell ref="B45:C45"/>
    <mergeCell ref="F45:G45"/>
    <mergeCell ref="F41:G41"/>
    <mergeCell ref="F42:G42"/>
    <mergeCell ref="B41:C41"/>
    <mergeCell ref="B42:C42"/>
    <mergeCell ref="A1:I1"/>
    <mergeCell ref="A5:I5"/>
    <mergeCell ref="A10:I10"/>
    <mergeCell ref="A3:K3"/>
    <mergeCell ref="F39:G39"/>
    <mergeCell ref="A11:I11"/>
    <mergeCell ref="A2:K2"/>
    <mergeCell ref="A37:I37"/>
  </mergeCells>
  <phoneticPr fontId="14" type="noConversion"/>
  <pageMargins left="0" right="0" top="0" bottom="0" header="0.31496062992125984" footer="0.31496062992125984"/>
  <pageSetup paperSize="9" orientation="landscape" horizontalDpi="180" verticalDpi="18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84B8F5-787B-428F-9038-394197799571}">
  <sheetPr>
    <tabColor rgb="FF7030A0"/>
  </sheetPr>
  <dimension ref="A1:M56"/>
  <sheetViews>
    <sheetView topLeftCell="A34" zoomScaleNormal="100" workbookViewId="0">
      <selection activeCell="A57" sqref="A57:IV58"/>
    </sheetView>
  </sheetViews>
  <sheetFormatPr defaultRowHeight="15" outlineLevelRow="1" outlineLevelCol="1" x14ac:dyDescent="0.25"/>
  <cols>
    <col min="1" max="1" width="4.7109375" style="35" customWidth="1"/>
    <col min="2" max="2" width="49.28515625" style="35" customWidth="1"/>
    <col min="3" max="3" width="12.85546875" style="35" customWidth="1"/>
    <col min="4" max="4" width="13.140625" style="35" bestFit="1" customWidth="1"/>
    <col min="5" max="5" width="13.140625" style="35" customWidth="1"/>
    <col min="6" max="6" width="13.85546875" style="35" customWidth="1"/>
    <col min="7" max="7" width="13.5703125" style="35" customWidth="1"/>
    <col min="8" max="8" width="10.85546875" style="35" hidden="1" customWidth="1" outlineLevel="1"/>
    <col min="9" max="9" width="13.42578125" style="35" hidden="1" customWidth="1" outlineLevel="1"/>
    <col min="10" max="12" width="9.140625" style="35" hidden="1" customWidth="1" outlineLevel="1"/>
    <col min="13" max="13" width="9.140625" style="35" collapsed="1"/>
    <col min="14" max="16384" width="9.140625" style="35"/>
  </cols>
  <sheetData>
    <row r="1" spans="1:11" x14ac:dyDescent="0.25">
      <c r="A1" s="397" t="s">
        <v>0</v>
      </c>
      <c r="B1" s="397"/>
      <c r="C1" s="397"/>
      <c r="D1" s="397"/>
      <c r="E1" s="397"/>
      <c r="F1" s="397"/>
      <c r="G1" s="397"/>
      <c r="H1" s="397"/>
      <c r="I1" s="397"/>
    </row>
    <row r="2" spans="1:11" ht="15" customHeight="1" x14ac:dyDescent="0.25">
      <c r="A2" s="370" t="s">
        <v>152</v>
      </c>
      <c r="B2" s="370"/>
      <c r="C2" s="370"/>
      <c r="D2" s="370"/>
      <c r="E2" s="370"/>
      <c r="F2" s="370"/>
      <c r="G2" s="370"/>
      <c r="H2" s="370"/>
      <c r="I2" s="370"/>
      <c r="J2" s="370"/>
      <c r="K2" s="370"/>
    </row>
    <row r="3" spans="1:11" ht="15" customHeight="1" x14ac:dyDescent="0.25">
      <c r="A3" s="370" t="s">
        <v>426</v>
      </c>
      <c r="B3" s="370"/>
      <c r="C3" s="370"/>
      <c r="D3" s="370"/>
      <c r="E3" s="370"/>
      <c r="F3" s="370"/>
      <c r="G3" s="370"/>
      <c r="H3" s="370"/>
      <c r="I3" s="370"/>
      <c r="J3" s="370"/>
      <c r="K3" s="370"/>
    </row>
    <row r="4" spans="1:11" ht="8.25" customHeight="1" x14ac:dyDescent="0.25">
      <c r="A4" s="142"/>
      <c r="B4" s="142"/>
      <c r="C4" s="142"/>
      <c r="D4" s="142"/>
      <c r="E4" s="142"/>
      <c r="F4" s="142"/>
      <c r="G4" s="142"/>
      <c r="H4" s="142"/>
      <c r="I4" s="142"/>
    </row>
    <row r="5" spans="1:11" ht="16.5" customHeight="1" x14ac:dyDescent="0.25">
      <c r="A5" s="398" t="s">
        <v>1</v>
      </c>
      <c r="B5" s="397"/>
      <c r="C5" s="397"/>
      <c r="D5" s="397"/>
      <c r="E5" s="397"/>
      <c r="F5" s="397"/>
      <c r="G5" s="397"/>
      <c r="H5" s="397"/>
      <c r="I5" s="397"/>
    </row>
    <row r="6" spans="1:11" ht="7.5" customHeight="1" x14ac:dyDescent="0.25"/>
    <row r="7" spans="1:11" s="59" customFormat="1" ht="16.5" customHeight="1" x14ac:dyDescent="0.25">
      <c r="A7" s="59" t="s">
        <v>2</v>
      </c>
      <c r="F7" s="111" t="s">
        <v>192</v>
      </c>
    </row>
    <row r="8" spans="1:11" s="59" customFormat="1" x14ac:dyDescent="0.25">
      <c r="A8" s="59" t="s">
        <v>3</v>
      </c>
      <c r="F8" s="239" t="s">
        <v>193</v>
      </c>
      <c r="I8" s="180">
        <v>179.2</v>
      </c>
      <c r="J8" s="247">
        <v>3244.6</v>
      </c>
      <c r="K8" s="180">
        <f>I8+J8</f>
        <v>3423.7999999999997</v>
      </c>
    </row>
    <row r="9" spans="1:11" s="59" customFormat="1" ht="21.75" customHeight="1" x14ac:dyDescent="0.25">
      <c r="B9" s="51" t="s">
        <v>244</v>
      </c>
      <c r="C9" s="115"/>
      <c r="D9" s="51"/>
      <c r="E9" s="285"/>
      <c r="F9" s="285" t="s">
        <v>424</v>
      </c>
    </row>
    <row r="10" spans="1:11" s="59" customFormat="1" x14ac:dyDescent="0.25">
      <c r="A10" s="372" t="s">
        <v>8</v>
      </c>
      <c r="B10" s="372"/>
      <c r="C10" s="372"/>
      <c r="D10" s="372"/>
      <c r="E10" s="372"/>
      <c r="F10" s="372"/>
      <c r="G10" s="372"/>
      <c r="H10" s="372"/>
      <c r="I10" s="372"/>
    </row>
    <row r="11" spans="1:11" s="59" customFormat="1" x14ac:dyDescent="0.25">
      <c r="A11" s="372" t="s">
        <v>9</v>
      </c>
      <c r="B11" s="372"/>
      <c r="C11" s="372"/>
      <c r="D11" s="372"/>
      <c r="E11" s="372"/>
      <c r="F11" s="372"/>
      <c r="G11" s="372"/>
      <c r="H11" s="372"/>
      <c r="I11" s="372"/>
    </row>
    <row r="12" spans="1:11" s="59" customFormat="1" x14ac:dyDescent="0.25">
      <c r="A12" s="372" t="s">
        <v>10</v>
      </c>
      <c r="B12" s="372"/>
      <c r="C12" s="372"/>
      <c r="D12" s="372"/>
      <c r="E12" s="372"/>
      <c r="F12" s="372"/>
      <c r="G12" s="372"/>
      <c r="H12" s="372"/>
      <c r="I12" s="372"/>
    </row>
    <row r="13" spans="1:11" s="59" customFormat="1" ht="6" customHeight="1" thickBot="1" x14ac:dyDescent="0.3">
      <c r="A13" s="60"/>
      <c r="B13" s="60"/>
      <c r="C13" s="60"/>
      <c r="D13" s="38"/>
      <c r="E13" s="58"/>
      <c r="F13" s="58"/>
      <c r="G13" s="58"/>
      <c r="H13" s="54"/>
      <c r="I13" s="54"/>
    </row>
    <row r="14" spans="1:11" s="59" customFormat="1" ht="15.75" thickBot="1" x14ac:dyDescent="0.3">
      <c r="A14" s="55" t="s">
        <v>381</v>
      </c>
      <c r="B14" s="56"/>
      <c r="C14" s="56"/>
      <c r="D14" s="61"/>
      <c r="E14" s="62"/>
      <c r="F14" s="62"/>
      <c r="G14" s="129">
        <f>'[1]Пухова 1'!$G$36</f>
        <v>-217603.75579999998</v>
      </c>
      <c r="H14" s="54"/>
      <c r="I14" s="54"/>
    </row>
    <row r="15" spans="1:11" s="59" customFormat="1" ht="8.25" customHeight="1" x14ac:dyDescent="0.25"/>
    <row r="16" spans="1:11" s="66" customFormat="1" ht="38.25" x14ac:dyDescent="0.25">
      <c r="A16" s="64" t="s">
        <v>11</v>
      </c>
      <c r="B16" s="64" t="s">
        <v>12</v>
      </c>
      <c r="C16" s="64" t="s">
        <v>61</v>
      </c>
      <c r="D16" s="64" t="s">
        <v>432</v>
      </c>
      <c r="E16" s="64" t="s">
        <v>433</v>
      </c>
      <c r="F16" s="65" t="s">
        <v>434</v>
      </c>
      <c r="G16" s="64" t="s">
        <v>435</v>
      </c>
    </row>
    <row r="17" spans="1:9" s="59" customFormat="1" x14ac:dyDescent="0.25">
      <c r="A17" s="67" t="s">
        <v>14</v>
      </c>
      <c r="B17" s="39" t="s">
        <v>379</v>
      </c>
      <c r="C17" s="120">
        <v>23.01</v>
      </c>
      <c r="D17" s="68">
        <v>895899.72</v>
      </c>
      <c r="E17" s="68">
        <v>875551.65</v>
      </c>
      <c r="F17" s="68">
        <f t="shared" ref="F17:F24" si="0">D17</f>
        <v>895899.72</v>
      </c>
      <c r="G17" s="69">
        <f>D17-E17</f>
        <v>20348.069999999949</v>
      </c>
      <c r="H17" s="130">
        <f>C17</f>
        <v>23.01</v>
      </c>
    </row>
    <row r="18" spans="1:9" s="59" customFormat="1" hidden="1" outlineLevel="1" x14ac:dyDescent="0.25">
      <c r="A18" s="73" t="s">
        <v>16</v>
      </c>
      <c r="B18" s="34" t="s">
        <v>17</v>
      </c>
      <c r="C18" s="89">
        <v>3.46</v>
      </c>
      <c r="D18" s="75">
        <f>D17*I18</f>
        <v>134715.90748370273</v>
      </c>
      <c r="E18" s="75">
        <f>E17*I18</f>
        <v>131656.18031290744</v>
      </c>
      <c r="F18" s="75">
        <f t="shared" si="0"/>
        <v>134715.90748370273</v>
      </c>
      <c r="G18" s="76">
        <f>D18-E18</f>
        <v>3059.7271707952896</v>
      </c>
      <c r="H18" s="130">
        <f>C18</f>
        <v>3.46</v>
      </c>
      <c r="I18" s="59">
        <f>H18/H17</f>
        <v>0.15036940460669274</v>
      </c>
    </row>
    <row r="19" spans="1:9" s="59" customFormat="1" hidden="1" outlineLevel="1" x14ac:dyDescent="0.25">
      <c r="A19" s="73" t="s">
        <v>18</v>
      </c>
      <c r="B19" s="34" t="s">
        <v>19</v>
      </c>
      <c r="C19" s="89">
        <v>1.69</v>
      </c>
      <c r="D19" s="75">
        <f>D17*I19</f>
        <v>65800.544406779649</v>
      </c>
      <c r="E19" s="75">
        <f>E17*I19</f>
        <v>64306.0533898305</v>
      </c>
      <c r="F19" s="75">
        <f t="shared" si="0"/>
        <v>65800.544406779649</v>
      </c>
      <c r="G19" s="76">
        <f>D19-E19</f>
        <v>1494.4910169491486</v>
      </c>
      <c r="H19" s="130">
        <f>C19</f>
        <v>1.69</v>
      </c>
      <c r="I19" s="59">
        <f>H19/H17</f>
        <v>7.3446327683615809E-2</v>
      </c>
    </row>
    <row r="20" spans="1:9" s="59" customFormat="1" hidden="1" outlineLevel="1" x14ac:dyDescent="0.25">
      <c r="A20" s="73" t="s">
        <v>20</v>
      </c>
      <c r="B20" s="34" t="s">
        <v>21</v>
      </c>
      <c r="C20" s="89">
        <v>1.69</v>
      </c>
      <c r="D20" s="75">
        <f>D17*I20</f>
        <v>65800.544406779649</v>
      </c>
      <c r="E20" s="75">
        <f>E17*I20</f>
        <v>64306.0533898305</v>
      </c>
      <c r="F20" s="75">
        <f t="shared" si="0"/>
        <v>65800.544406779649</v>
      </c>
      <c r="G20" s="76">
        <f>D20-E20</f>
        <v>1494.4910169491486</v>
      </c>
      <c r="H20" s="130">
        <f>C20</f>
        <v>1.69</v>
      </c>
      <c r="I20" s="59">
        <f>H20/H17</f>
        <v>7.3446327683615809E-2</v>
      </c>
    </row>
    <row r="21" spans="1:9" s="59" customFormat="1" hidden="1" outlineLevel="1" x14ac:dyDescent="0.25">
      <c r="A21" s="73" t="s">
        <v>22</v>
      </c>
      <c r="B21" s="34" t="s">
        <v>23</v>
      </c>
      <c r="C21" s="89">
        <v>3.04</v>
      </c>
      <c r="D21" s="75">
        <f>D17*I21</f>
        <v>118363.10946544979</v>
      </c>
      <c r="E21" s="75">
        <f>E17*I21</f>
        <v>115674.79426336374</v>
      </c>
      <c r="F21" s="75">
        <f t="shared" si="0"/>
        <v>118363.10946544979</v>
      </c>
      <c r="G21" s="76">
        <f>D21-E21</f>
        <v>2688.3152020860434</v>
      </c>
      <c r="H21" s="130">
        <f>C21</f>
        <v>3.04</v>
      </c>
      <c r="I21" s="59">
        <f>H21/H17</f>
        <v>0.13211647109952193</v>
      </c>
    </row>
    <row r="22" spans="1:9" ht="26.25" collapsed="1" x14ac:dyDescent="0.25">
      <c r="A22" s="39" t="s">
        <v>25</v>
      </c>
      <c r="B22" s="125" t="s">
        <v>194</v>
      </c>
      <c r="C22" s="46">
        <v>120</v>
      </c>
      <c r="D22" s="69">
        <v>0</v>
      </c>
      <c r="E22" s="69">
        <v>106.68</v>
      </c>
      <c r="F22" s="69">
        <f>D22</f>
        <v>0</v>
      </c>
      <c r="G22" s="69">
        <f t="shared" ref="G22:G33" si="1">D22-E22</f>
        <v>-106.68</v>
      </c>
    </row>
    <row r="23" spans="1:9" x14ac:dyDescent="0.25">
      <c r="A23" s="39" t="s">
        <v>27</v>
      </c>
      <c r="B23" s="125" t="s">
        <v>28</v>
      </c>
      <c r="C23" s="87">
        <v>0</v>
      </c>
      <c r="D23" s="69">
        <v>0</v>
      </c>
      <c r="E23" s="69">
        <v>0</v>
      </c>
      <c r="F23" s="69">
        <f t="shared" si="0"/>
        <v>0</v>
      </c>
      <c r="G23" s="69">
        <f t="shared" si="1"/>
        <v>0</v>
      </c>
    </row>
    <row r="24" spans="1:9" x14ac:dyDescent="0.25">
      <c r="A24" s="39" t="s">
        <v>29</v>
      </c>
      <c r="B24" s="125" t="s">
        <v>97</v>
      </c>
      <c r="C24" s="357">
        <v>0</v>
      </c>
      <c r="D24" s="69">
        <v>0</v>
      </c>
      <c r="E24" s="69">
        <v>0</v>
      </c>
      <c r="F24" s="69">
        <f t="shared" si="0"/>
        <v>0</v>
      </c>
      <c r="G24" s="69">
        <f t="shared" si="1"/>
        <v>0</v>
      </c>
    </row>
    <row r="25" spans="1:9" x14ac:dyDescent="0.25">
      <c r="A25" s="39" t="s">
        <v>31</v>
      </c>
      <c r="B25" s="125" t="s">
        <v>80</v>
      </c>
      <c r="C25" s="87">
        <v>2.2799999999999998</v>
      </c>
      <c r="D25" s="69">
        <f>88772.04+D26</f>
        <v>91223.5</v>
      </c>
      <c r="E25" s="69">
        <f>86781.16+E26</f>
        <v>89232.62000000001</v>
      </c>
      <c r="F25" s="79">
        <f>F43</f>
        <v>21596.396199999999</v>
      </c>
      <c r="G25" s="69">
        <f t="shared" si="1"/>
        <v>1990.8799999999901</v>
      </c>
    </row>
    <row r="26" spans="1:9" x14ac:dyDescent="0.25">
      <c r="A26" s="39"/>
      <c r="B26" s="292" t="s">
        <v>244</v>
      </c>
      <c r="C26" s="293"/>
      <c r="D26" s="294">
        <v>2451.46</v>
      </c>
      <c r="E26" s="294">
        <v>2451.46</v>
      </c>
      <c r="F26" s="294"/>
      <c r="G26" s="248">
        <f>D26-E26</f>
        <v>0</v>
      </c>
    </row>
    <row r="27" spans="1:9" x14ac:dyDescent="0.25">
      <c r="A27" s="39" t="s">
        <v>33</v>
      </c>
      <c r="B27" s="119" t="s">
        <v>34</v>
      </c>
      <c r="C27" s="43">
        <v>0</v>
      </c>
      <c r="D27" s="69">
        <v>0</v>
      </c>
      <c r="E27" s="69">
        <v>0</v>
      </c>
      <c r="F27" s="79">
        <v>0</v>
      </c>
      <c r="G27" s="69">
        <f t="shared" si="1"/>
        <v>0</v>
      </c>
    </row>
    <row r="28" spans="1:9" x14ac:dyDescent="0.25">
      <c r="A28" s="39" t="s">
        <v>35</v>
      </c>
      <c r="B28" s="119" t="s">
        <v>36</v>
      </c>
      <c r="C28" s="87"/>
      <c r="D28" s="69">
        <f>SUM(D29:D32)</f>
        <v>1778645.1199999999</v>
      </c>
      <c r="E28" s="69">
        <f>SUM(E29:E32)</f>
        <v>1729582.62</v>
      </c>
      <c r="F28" s="69">
        <f>SUM(F29:F32)</f>
        <v>1778645.1199999999</v>
      </c>
      <c r="G28" s="69">
        <f t="shared" si="1"/>
        <v>49062.499999999767</v>
      </c>
    </row>
    <row r="29" spans="1:9" x14ac:dyDescent="0.25">
      <c r="A29" s="34" t="s">
        <v>37</v>
      </c>
      <c r="B29" s="34" t="s">
        <v>101</v>
      </c>
      <c r="C29" s="89">
        <v>7.36</v>
      </c>
      <c r="D29" s="76">
        <v>21380.07</v>
      </c>
      <c r="E29" s="76">
        <v>19785.55</v>
      </c>
      <c r="F29" s="76">
        <f>D29</f>
        <v>21380.07</v>
      </c>
      <c r="G29" s="76">
        <f t="shared" si="1"/>
        <v>1594.5200000000004</v>
      </c>
    </row>
    <row r="30" spans="1:9" x14ac:dyDescent="0.25">
      <c r="A30" s="34" t="s">
        <v>39</v>
      </c>
      <c r="B30" s="34" t="s">
        <v>84</v>
      </c>
      <c r="C30" s="89">
        <v>88.38</v>
      </c>
      <c r="D30" s="76">
        <v>556938.84</v>
      </c>
      <c r="E30" s="76">
        <v>532480.16</v>
      </c>
      <c r="F30" s="76">
        <f>D30</f>
        <v>556938.84</v>
      </c>
      <c r="G30" s="76">
        <f t="shared" si="1"/>
        <v>24458.679999999935</v>
      </c>
    </row>
    <row r="31" spans="1:9" x14ac:dyDescent="0.25">
      <c r="A31" s="34" t="s">
        <v>42</v>
      </c>
      <c r="B31" s="34" t="s">
        <v>40</v>
      </c>
      <c r="C31" s="128">
        <v>0</v>
      </c>
      <c r="D31" s="76">
        <v>0</v>
      </c>
      <c r="E31" s="76">
        <v>0</v>
      </c>
      <c r="F31" s="76">
        <f>D31</f>
        <v>0</v>
      </c>
      <c r="G31" s="76">
        <f t="shared" si="1"/>
        <v>0</v>
      </c>
    </row>
    <row r="32" spans="1:9" x14ac:dyDescent="0.25">
      <c r="A32" s="34" t="s">
        <v>41</v>
      </c>
      <c r="B32" s="34" t="s">
        <v>43</v>
      </c>
      <c r="C32" s="89">
        <v>3352.42</v>
      </c>
      <c r="D32" s="76">
        <v>1200326.21</v>
      </c>
      <c r="E32" s="76">
        <v>1177316.9099999999</v>
      </c>
      <c r="F32" s="76">
        <f>D32</f>
        <v>1200326.21</v>
      </c>
      <c r="G32" s="76">
        <f t="shared" si="1"/>
        <v>23009.300000000047</v>
      </c>
      <c r="H32" s="91"/>
      <c r="I32" s="91"/>
    </row>
    <row r="33" spans="1:10" hidden="1" outlineLevel="1" x14ac:dyDescent="0.25">
      <c r="A33" s="174" t="s">
        <v>130</v>
      </c>
      <c r="B33" s="257" t="s">
        <v>133</v>
      </c>
      <c r="C33" s="298"/>
      <c r="D33" s="248">
        <v>0</v>
      </c>
      <c r="E33" s="248">
        <v>0</v>
      </c>
      <c r="F33" s="296"/>
      <c r="G33" s="248">
        <f t="shared" si="1"/>
        <v>0</v>
      </c>
      <c r="H33" s="91"/>
      <c r="I33" s="91"/>
    </row>
    <row r="34" spans="1:10" ht="15.75" customHeight="1" collapsed="1" thickBot="1" x14ac:dyDescent="0.3">
      <c r="A34" s="373"/>
      <c r="B34" s="374"/>
      <c r="C34" s="374"/>
      <c r="D34" s="375"/>
      <c r="E34" s="375"/>
      <c r="F34" s="375"/>
      <c r="G34" s="155"/>
      <c r="H34" s="91"/>
      <c r="I34" s="91"/>
    </row>
    <row r="35" spans="1:10" s="92" customFormat="1" ht="14.25" thickBot="1" x14ac:dyDescent="0.3">
      <c r="A35" s="387" t="s">
        <v>427</v>
      </c>
      <c r="B35" s="388"/>
      <c r="C35" s="388"/>
      <c r="D35" s="57">
        <v>71294.77</v>
      </c>
      <c r="E35" s="58"/>
      <c r="F35" s="58"/>
      <c r="G35" s="58"/>
      <c r="H35" s="54"/>
      <c r="I35" s="54"/>
      <c r="J35" s="91"/>
    </row>
    <row r="36" spans="1:10" s="59" customFormat="1" ht="15.75" thickBot="1" x14ac:dyDescent="0.3">
      <c r="A36" s="55" t="s">
        <v>428</v>
      </c>
      <c r="B36" s="56"/>
      <c r="C36" s="56"/>
      <c r="D36" s="61"/>
      <c r="E36" s="62"/>
      <c r="F36" s="62"/>
      <c r="G36" s="129">
        <f>G14+E25-F25</f>
        <v>-149967.53199999998</v>
      </c>
      <c r="H36" s="54"/>
      <c r="I36" s="54"/>
    </row>
    <row r="37" spans="1:10" s="59" customFormat="1" x14ac:dyDescent="0.25">
      <c r="A37" s="392" t="s">
        <v>90</v>
      </c>
      <c r="B37" s="392"/>
      <c r="C37" s="60"/>
      <c r="D37" s="38"/>
      <c r="E37" s="58"/>
      <c r="F37" s="58"/>
      <c r="G37" s="38"/>
      <c r="H37" s="54"/>
      <c r="I37" s="54"/>
    </row>
    <row r="38" spans="1:10" s="59" customFormat="1" x14ac:dyDescent="0.25">
      <c r="A38" s="393" t="s">
        <v>91</v>
      </c>
      <c r="B38" s="394"/>
      <c r="C38" s="41" t="s">
        <v>92</v>
      </c>
      <c r="D38" s="41" t="s">
        <v>93</v>
      </c>
      <c r="E38" s="42" t="s">
        <v>94</v>
      </c>
      <c r="F38" s="40" t="s">
        <v>95</v>
      </c>
      <c r="G38" s="42" t="s">
        <v>96</v>
      </c>
      <c r="H38" s="54"/>
      <c r="I38" s="54"/>
    </row>
    <row r="39" spans="1:10" s="59" customFormat="1" x14ac:dyDescent="0.25">
      <c r="A39" s="395"/>
      <c r="B39" s="396"/>
      <c r="C39" s="358">
        <f>89.6+89.6</f>
        <v>179.2</v>
      </c>
      <c r="D39" s="138">
        <f>E39/C39/12</f>
        <v>12.645033482142859</v>
      </c>
      <c r="E39" s="73">
        <v>27191.88</v>
      </c>
      <c r="F39" s="75">
        <v>27191.88</v>
      </c>
      <c r="G39" s="138">
        <f>E39-F39</f>
        <v>0</v>
      </c>
      <c r="H39" s="337">
        <f>C17+C25</f>
        <v>25.290000000000003</v>
      </c>
      <c r="I39" s="177">
        <f>89.6*H39*3</f>
        <v>6797.9519999999993</v>
      </c>
    </row>
    <row r="40" spans="1:10" s="59" customFormat="1" ht="36" customHeight="1" x14ac:dyDescent="0.25">
      <c r="A40" s="489" t="s">
        <v>44</v>
      </c>
      <c r="B40" s="490"/>
      <c r="C40" s="490"/>
      <c r="D40" s="490"/>
      <c r="E40" s="490"/>
      <c r="F40" s="490"/>
      <c r="G40" s="490"/>
      <c r="H40" s="178"/>
      <c r="I40" s="178"/>
    </row>
    <row r="41" spans="1:10" ht="13.5" customHeight="1" x14ac:dyDescent="0.25"/>
    <row r="42" spans="1:10" ht="28.5" x14ac:dyDescent="0.25">
      <c r="A42" s="94" t="s">
        <v>11</v>
      </c>
      <c r="B42" s="416" t="s">
        <v>45</v>
      </c>
      <c r="C42" s="425"/>
      <c r="D42" s="94" t="s">
        <v>99</v>
      </c>
      <c r="E42" s="94" t="s">
        <v>98</v>
      </c>
      <c r="F42" s="416" t="s">
        <v>46</v>
      </c>
      <c r="G42" s="425"/>
      <c r="H42" s="156"/>
      <c r="I42" s="156"/>
    </row>
    <row r="43" spans="1:10" s="156" customFormat="1" x14ac:dyDescent="0.25">
      <c r="A43" s="98" t="s">
        <v>47</v>
      </c>
      <c r="B43" s="418" t="s">
        <v>75</v>
      </c>
      <c r="C43" s="430"/>
      <c r="D43" s="99"/>
      <c r="E43" s="99"/>
      <c r="F43" s="436">
        <f>SUM(F44:L48)</f>
        <v>21596.396199999999</v>
      </c>
      <c r="G43" s="424"/>
      <c r="H43" s="103"/>
      <c r="I43" s="103"/>
    </row>
    <row r="44" spans="1:10" ht="12.75" customHeight="1" x14ac:dyDescent="0.25">
      <c r="A44" s="34" t="s">
        <v>16</v>
      </c>
      <c r="B44" s="458" t="s">
        <v>478</v>
      </c>
      <c r="C44" s="488"/>
      <c r="D44" s="109" t="s">
        <v>137</v>
      </c>
      <c r="E44" s="317">
        <v>0.02</v>
      </c>
      <c r="F44" s="423">
        <v>8457.15</v>
      </c>
      <c r="G44" s="423"/>
    </row>
    <row r="45" spans="1:10" ht="12.75" customHeight="1" x14ac:dyDescent="0.25">
      <c r="A45" s="34" t="s">
        <v>18</v>
      </c>
      <c r="B45" s="406" t="s">
        <v>463</v>
      </c>
      <c r="C45" s="431"/>
      <c r="D45" s="109" t="s">
        <v>100</v>
      </c>
      <c r="E45" s="317">
        <v>1</v>
      </c>
      <c r="F45" s="423">
        <v>12246.92</v>
      </c>
      <c r="G45" s="423"/>
    </row>
    <row r="46" spans="1:10" ht="12.75" customHeight="1" x14ac:dyDescent="0.25">
      <c r="A46" s="34" t="s">
        <v>20</v>
      </c>
      <c r="B46" s="486"/>
      <c r="C46" s="455"/>
      <c r="D46" s="258"/>
      <c r="E46" s="263"/>
      <c r="F46" s="429"/>
      <c r="G46" s="429"/>
    </row>
    <row r="47" spans="1:10" ht="12.75" customHeight="1" x14ac:dyDescent="0.25">
      <c r="A47" s="34" t="s">
        <v>22</v>
      </c>
      <c r="B47" s="487"/>
      <c r="C47" s="455"/>
      <c r="D47" s="258"/>
      <c r="E47" s="263"/>
      <c r="F47" s="429"/>
      <c r="G47" s="429"/>
    </row>
    <row r="48" spans="1:10" ht="12.75" customHeight="1" x14ac:dyDescent="0.25">
      <c r="A48" s="34" t="s">
        <v>24</v>
      </c>
      <c r="B48" s="133" t="s">
        <v>108</v>
      </c>
      <c r="C48" s="134"/>
      <c r="D48" s="105"/>
      <c r="E48" s="105"/>
      <c r="F48" s="435">
        <f>E25*1%</f>
        <v>892.32620000000009</v>
      </c>
      <c r="G48" s="435"/>
    </row>
    <row r="49" spans="1:9" ht="12.75" customHeight="1" x14ac:dyDescent="0.25">
      <c r="A49" s="59"/>
      <c r="B49" s="59"/>
      <c r="C49" s="59"/>
      <c r="D49" s="59"/>
      <c r="E49" s="59"/>
      <c r="F49" s="59"/>
      <c r="G49" s="59"/>
      <c r="H49" s="59"/>
      <c r="I49" s="59"/>
    </row>
    <row r="50" spans="1:9" ht="12.75" customHeight="1" x14ac:dyDescent="0.25">
      <c r="A50" s="51" t="s">
        <v>372</v>
      </c>
      <c r="B50" s="59"/>
      <c r="C50" s="59" t="s">
        <v>49</v>
      </c>
      <c r="D50" s="59"/>
      <c r="E50" s="59"/>
      <c r="F50" s="59" t="s">
        <v>60</v>
      </c>
      <c r="G50" s="59"/>
      <c r="H50" s="59"/>
      <c r="I50" s="59"/>
    </row>
    <row r="51" spans="1:9" x14ac:dyDescent="0.25">
      <c r="A51" s="59"/>
      <c r="B51" s="59"/>
      <c r="C51" s="59"/>
      <c r="D51" s="59"/>
      <c r="E51" s="59"/>
      <c r="F51" s="111" t="s">
        <v>438</v>
      </c>
      <c r="G51" s="59"/>
      <c r="H51" s="59"/>
      <c r="I51" s="59"/>
    </row>
    <row r="52" spans="1:9" s="59" customFormat="1" x14ac:dyDescent="0.25">
      <c r="A52" s="59" t="s">
        <v>50</v>
      </c>
    </row>
    <row r="53" spans="1:9" s="59" customFormat="1" ht="13.5" customHeight="1" x14ac:dyDescent="0.25">
      <c r="C53" s="113" t="s">
        <v>51</v>
      </c>
      <c r="E53" s="113"/>
      <c r="F53" s="113"/>
      <c r="G53" s="113"/>
    </row>
    <row r="54" spans="1:9" s="59" customFormat="1" x14ac:dyDescent="0.25">
      <c r="H54" s="35"/>
      <c r="I54" s="35"/>
    </row>
    <row r="55" spans="1:9" s="59" customFormat="1" x14ac:dyDescent="0.25">
      <c r="C55" s="113"/>
      <c r="E55" s="113"/>
      <c r="F55" s="113"/>
      <c r="G55" s="113"/>
    </row>
    <row r="56" spans="1:9" s="59" customFormat="1" x14ac:dyDescent="0.25"/>
  </sheetData>
  <mergeCells count="25">
    <mergeCell ref="A1:I1"/>
    <mergeCell ref="A5:I5"/>
    <mergeCell ref="A10:I10"/>
    <mergeCell ref="A3:K3"/>
    <mergeCell ref="A11:I11"/>
    <mergeCell ref="A40:G40"/>
    <mergeCell ref="A2:K2"/>
    <mergeCell ref="A37:B37"/>
    <mergeCell ref="A34:F34"/>
    <mergeCell ref="F48:G48"/>
    <mergeCell ref="B44:C44"/>
    <mergeCell ref="F44:G44"/>
    <mergeCell ref="F43:G43"/>
    <mergeCell ref="A35:C35"/>
    <mergeCell ref="F46:G46"/>
    <mergeCell ref="F42:G42"/>
    <mergeCell ref="B45:C45"/>
    <mergeCell ref="F45:G45"/>
    <mergeCell ref="F47:G47"/>
    <mergeCell ref="A38:B39"/>
    <mergeCell ref="A12:I12"/>
    <mergeCell ref="B43:C43"/>
    <mergeCell ref="B42:C42"/>
    <mergeCell ref="B46:C46"/>
    <mergeCell ref="B47:C47"/>
  </mergeCells>
  <phoneticPr fontId="14" type="noConversion"/>
  <pageMargins left="0" right="0" top="0" bottom="0" header="0.31496062992125984" footer="0.31496062992125984"/>
  <pageSetup paperSize="9" scale="98" orientation="portrait" verticalDpi="0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7D479C-6C68-476D-82DF-B23BA458AD4B}">
  <sheetPr>
    <tabColor rgb="FF7030A0"/>
  </sheetPr>
  <dimension ref="A1:M52"/>
  <sheetViews>
    <sheetView topLeftCell="A33" zoomScaleNormal="100" workbookViewId="0">
      <selection activeCell="A54" sqref="A54:IV55"/>
    </sheetView>
  </sheetViews>
  <sheetFormatPr defaultRowHeight="15" outlineLevelRow="1" outlineLevelCol="1" x14ac:dyDescent="0.25"/>
  <cols>
    <col min="1" max="1" width="5" style="35" customWidth="1"/>
    <col min="2" max="2" width="42.28515625" style="35" customWidth="1"/>
    <col min="3" max="3" width="13.85546875" style="35" customWidth="1"/>
    <col min="4" max="4" width="12.85546875" style="35" customWidth="1"/>
    <col min="5" max="5" width="13.140625" style="35" bestFit="1" customWidth="1"/>
    <col min="6" max="6" width="15.5703125" style="35" customWidth="1"/>
    <col min="7" max="7" width="13.42578125" style="35" customWidth="1"/>
    <col min="8" max="8" width="10.85546875" style="35" hidden="1" customWidth="1" outlineLevel="1"/>
    <col min="9" max="9" width="13.42578125" style="35" hidden="1" customWidth="1" outlineLevel="1"/>
    <col min="10" max="12" width="9.140625" style="35" hidden="1" customWidth="1" outlineLevel="1"/>
    <col min="13" max="13" width="9.42578125" style="35" bestFit="1" customWidth="1" collapsed="1"/>
    <col min="14" max="16384" width="9.140625" style="35"/>
  </cols>
  <sheetData>
    <row r="1" spans="1:11" x14ac:dyDescent="0.25">
      <c r="A1" s="397" t="s">
        <v>0</v>
      </c>
      <c r="B1" s="397"/>
      <c r="C1" s="397"/>
      <c r="D1" s="397"/>
      <c r="E1" s="397"/>
      <c r="F1" s="397"/>
      <c r="G1" s="397"/>
      <c r="H1" s="397"/>
      <c r="I1" s="397"/>
    </row>
    <row r="2" spans="1:11" ht="15" customHeight="1" x14ac:dyDescent="0.25">
      <c r="A2" s="370" t="s">
        <v>152</v>
      </c>
      <c r="B2" s="370"/>
      <c r="C2" s="370"/>
      <c r="D2" s="370"/>
      <c r="E2" s="370"/>
      <c r="F2" s="370"/>
      <c r="G2" s="370"/>
      <c r="H2" s="370"/>
      <c r="I2" s="370"/>
      <c r="J2" s="370"/>
      <c r="K2" s="370"/>
    </row>
    <row r="3" spans="1:11" ht="12" customHeight="1" x14ac:dyDescent="0.25">
      <c r="A3" s="370" t="s">
        <v>426</v>
      </c>
      <c r="B3" s="370"/>
      <c r="C3" s="370"/>
      <c r="D3" s="370"/>
      <c r="E3" s="370"/>
      <c r="F3" s="370"/>
      <c r="G3" s="370"/>
      <c r="H3" s="370"/>
      <c r="I3" s="370"/>
      <c r="J3" s="370"/>
      <c r="K3" s="370"/>
    </row>
    <row r="4" spans="1:11" ht="6" customHeight="1" x14ac:dyDescent="0.25">
      <c r="A4" s="142"/>
      <c r="B4" s="142"/>
      <c r="C4" s="142"/>
      <c r="D4" s="142"/>
      <c r="E4" s="142"/>
      <c r="F4" s="142"/>
      <c r="G4" s="142"/>
      <c r="H4" s="142"/>
      <c r="I4" s="142"/>
    </row>
    <row r="5" spans="1:11" ht="13.5" customHeight="1" x14ac:dyDescent="0.25">
      <c r="A5" s="398" t="s">
        <v>1</v>
      </c>
      <c r="B5" s="397"/>
      <c r="C5" s="397"/>
      <c r="D5" s="397"/>
      <c r="E5" s="397"/>
      <c r="F5" s="397"/>
      <c r="G5" s="397"/>
      <c r="H5" s="397"/>
      <c r="I5" s="397"/>
    </row>
    <row r="6" spans="1:11" ht="4.5" customHeight="1" x14ac:dyDescent="0.25"/>
    <row r="7" spans="1:11" s="59" customFormat="1" ht="16.5" customHeight="1" x14ac:dyDescent="0.25">
      <c r="A7" s="59" t="s">
        <v>2</v>
      </c>
      <c r="F7" s="111" t="s">
        <v>195</v>
      </c>
    </row>
    <row r="8" spans="1:11" s="59" customFormat="1" x14ac:dyDescent="0.25">
      <c r="A8" s="59" t="s">
        <v>3</v>
      </c>
      <c r="F8" s="239" t="s">
        <v>196</v>
      </c>
    </row>
    <row r="9" spans="1:11" s="59" customFormat="1" ht="5.25" customHeight="1" x14ac:dyDescent="0.25"/>
    <row r="10" spans="1:11" s="59" customFormat="1" x14ac:dyDescent="0.25">
      <c r="A10" s="372" t="s">
        <v>8</v>
      </c>
      <c r="B10" s="372"/>
      <c r="C10" s="372"/>
      <c r="D10" s="372"/>
      <c r="E10" s="372"/>
      <c r="F10" s="372"/>
      <c r="G10" s="372"/>
      <c r="H10" s="372"/>
      <c r="I10" s="372"/>
    </row>
    <row r="11" spans="1:11" s="59" customFormat="1" x14ac:dyDescent="0.25">
      <c r="A11" s="372" t="s">
        <v>9</v>
      </c>
      <c r="B11" s="372"/>
      <c r="C11" s="372"/>
      <c r="D11" s="372"/>
      <c r="E11" s="372"/>
      <c r="F11" s="372"/>
      <c r="G11" s="372"/>
      <c r="H11" s="372"/>
      <c r="I11" s="372"/>
    </row>
    <row r="12" spans="1:11" s="59" customFormat="1" x14ac:dyDescent="0.25">
      <c r="A12" s="372" t="s">
        <v>10</v>
      </c>
      <c r="B12" s="372"/>
      <c r="C12" s="372"/>
      <c r="D12" s="372"/>
      <c r="E12" s="372"/>
      <c r="F12" s="372"/>
      <c r="G12" s="372"/>
      <c r="H12" s="372"/>
      <c r="I12" s="372"/>
    </row>
    <row r="13" spans="1:11" s="59" customFormat="1" ht="6" customHeight="1" thickBot="1" x14ac:dyDescent="0.3">
      <c r="A13" s="60"/>
      <c r="B13" s="60"/>
      <c r="C13" s="60"/>
      <c r="D13" s="38"/>
      <c r="E13" s="58"/>
      <c r="F13" s="58"/>
      <c r="G13" s="58"/>
      <c r="H13" s="54"/>
      <c r="I13" s="54"/>
    </row>
    <row r="14" spans="1:11" s="59" customFormat="1" ht="15.75" thickBot="1" x14ac:dyDescent="0.3">
      <c r="A14" s="55" t="s">
        <v>143</v>
      </c>
      <c r="B14" s="56"/>
      <c r="C14" s="56"/>
      <c r="D14" s="61"/>
      <c r="E14" s="62"/>
      <c r="F14" s="62"/>
      <c r="G14" s="129">
        <f>'[1]Пухова 19'!$G$36</f>
        <v>186138.21909999999</v>
      </c>
      <c r="H14" s="54"/>
      <c r="I14" s="54"/>
    </row>
    <row r="15" spans="1:11" s="59" customFormat="1" ht="6.75" customHeight="1" x14ac:dyDescent="0.25"/>
    <row r="16" spans="1:11" s="66" customFormat="1" ht="38.25" x14ac:dyDescent="0.25">
      <c r="A16" s="64" t="s">
        <v>11</v>
      </c>
      <c r="B16" s="64" t="s">
        <v>12</v>
      </c>
      <c r="C16" s="64" t="s">
        <v>61</v>
      </c>
      <c r="D16" s="64" t="s">
        <v>432</v>
      </c>
      <c r="E16" s="64" t="s">
        <v>433</v>
      </c>
      <c r="F16" s="65" t="s">
        <v>434</v>
      </c>
      <c r="G16" s="64" t="s">
        <v>435</v>
      </c>
    </row>
    <row r="17" spans="1:13" s="59" customFormat="1" x14ac:dyDescent="0.25">
      <c r="A17" s="67" t="s">
        <v>14</v>
      </c>
      <c r="B17" s="39" t="s">
        <v>379</v>
      </c>
      <c r="C17" s="120">
        <v>23.01</v>
      </c>
      <c r="D17" s="68">
        <v>1253889.48</v>
      </c>
      <c r="E17" s="68">
        <v>1254882.52</v>
      </c>
      <c r="F17" s="68">
        <f>D17</f>
        <v>1253889.48</v>
      </c>
      <c r="G17" s="69">
        <f>D17-E17</f>
        <v>-993.04000000003725</v>
      </c>
      <c r="H17" s="130">
        <f>C17</f>
        <v>23.01</v>
      </c>
    </row>
    <row r="18" spans="1:13" s="59" customFormat="1" hidden="1" outlineLevel="1" x14ac:dyDescent="0.25">
      <c r="A18" s="73" t="s">
        <v>16</v>
      </c>
      <c r="B18" s="34" t="s">
        <v>17</v>
      </c>
      <c r="C18" s="89">
        <v>3.46</v>
      </c>
      <c r="D18" s="75">
        <f>D17*I18</f>
        <v>188546.61455019555</v>
      </c>
      <c r="E18" s="75">
        <f>E17*I18</f>
        <v>188695.9373837462</v>
      </c>
      <c r="F18" s="75">
        <f t="shared" ref="F18:F24" si="0">D18</f>
        <v>188546.61455019555</v>
      </c>
      <c r="G18" s="76">
        <f>D18-E18</f>
        <v>-149.32283355065738</v>
      </c>
      <c r="H18" s="130">
        <f>C18</f>
        <v>3.46</v>
      </c>
      <c r="I18" s="59">
        <f>H18/H17</f>
        <v>0.15036940460669274</v>
      </c>
    </row>
    <row r="19" spans="1:13" s="59" customFormat="1" hidden="1" outlineLevel="1" x14ac:dyDescent="0.25">
      <c r="A19" s="73" t="s">
        <v>18</v>
      </c>
      <c r="B19" s="34" t="s">
        <v>19</v>
      </c>
      <c r="C19" s="89">
        <v>1.69</v>
      </c>
      <c r="D19" s="75">
        <f>D17*I19</f>
        <v>92093.577627118633</v>
      </c>
      <c r="E19" s="75">
        <f>E17*I19</f>
        <v>92166.512768361572</v>
      </c>
      <c r="F19" s="75">
        <f t="shared" si="0"/>
        <v>92093.577627118633</v>
      </c>
      <c r="G19" s="76">
        <f>D19-E19</f>
        <v>-72.935141242938698</v>
      </c>
      <c r="H19" s="130">
        <f>C19</f>
        <v>1.69</v>
      </c>
      <c r="I19" s="59">
        <f>H19/H17</f>
        <v>7.3446327683615809E-2</v>
      </c>
    </row>
    <row r="20" spans="1:13" s="59" customFormat="1" hidden="1" outlineLevel="1" x14ac:dyDescent="0.25">
      <c r="A20" s="73" t="s">
        <v>20</v>
      </c>
      <c r="B20" s="34" t="s">
        <v>21</v>
      </c>
      <c r="C20" s="89">
        <v>1.69</v>
      </c>
      <c r="D20" s="75">
        <f>D17*I20</f>
        <v>92093.577627118633</v>
      </c>
      <c r="E20" s="75">
        <f>E17*I20</f>
        <v>92166.512768361572</v>
      </c>
      <c r="F20" s="75">
        <f t="shared" si="0"/>
        <v>92093.577627118633</v>
      </c>
      <c r="G20" s="76">
        <f>D20-E20</f>
        <v>-72.935141242938698</v>
      </c>
      <c r="H20" s="130">
        <f>C20</f>
        <v>1.69</v>
      </c>
      <c r="I20" s="59">
        <f>H20/H17</f>
        <v>7.3446327683615809E-2</v>
      </c>
    </row>
    <row r="21" spans="1:13" s="59" customFormat="1" hidden="1" outlineLevel="1" x14ac:dyDescent="0.25">
      <c r="A21" s="73" t="s">
        <v>22</v>
      </c>
      <c r="B21" s="34" t="s">
        <v>23</v>
      </c>
      <c r="C21" s="89">
        <v>3.04</v>
      </c>
      <c r="D21" s="75">
        <f>D17*I21</f>
        <v>165659.45324641457</v>
      </c>
      <c r="E21" s="75">
        <f>E17*I21</f>
        <v>165790.65018687525</v>
      </c>
      <c r="F21" s="75">
        <f t="shared" si="0"/>
        <v>165659.45324641457</v>
      </c>
      <c r="G21" s="76">
        <f>D21-E21</f>
        <v>-131.19694046067889</v>
      </c>
      <c r="H21" s="130">
        <f>C21</f>
        <v>3.04</v>
      </c>
      <c r="I21" s="59">
        <f>H21/H17</f>
        <v>0.13211647109952193</v>
      </c>
    </row>
    <row r="22" spans="1:13" collapsed="1" x14ac:dyDescent="0.25">
      <c r="A22" s="39" t="s">
        <v>25</v>
      </c>
      <c r="B22" s="316" t="s">
        <v>145</v>
      </c>
      <c r="C22" s="46">
        <v>110</v>
      </c>
      <c r="D22" s="69">
        <v>0</v>
      </c>
      <c r="E22" s="69">
        <v>5907.7</v>
      </c>
      <c r="F22" s="69">
        <f t="shared" si="0"/>
        <v>0</v>
      </c>
      <c r="G22" s="69">
        <f t="shared" ref="G22:G32" si="1">D22-E22</f>
        <v>-5907.7</v>
      </c>
      <c r="H22" s="35">
        <f>73*130</f>
        <v>9490</v>
      </c>
      <c r="I22" s="274">
        <f>D22/H22</f>
        <v>0</v>
      </c>
    </row>
    <row r="23" spans="1:13" x14ac:dyDescent="0.25">
      <c r="A23" s="39" t="s">
        <v>27</v>
      </c>
      <c r="B23" s="125" t="s">
        <v>28</v>
      </c>
      <c r="C23" s="87">
        <v>0</v>
      </c>
      <c r="D23" s="69">
        <v>0</v>
      </c>
      <c r="E23" s="69">
        <v>0</v>
      </c>
      <c r="F23" s="69">
        <f t="shared" si="0"/>
        <v>0</v>
      </c>
      <c r="G23" s="69">
        <f t="shared" si="1"/>
        <v>0</v>
      </c>
    </row>
    <row r="24" spans="1:13" x14ac:dyDescent="0.25">
      <c r="A24" s="39" t="s">
        <v>29</v>
      </c>
      <c r="B24" s="125" t="s">
        <v>97</v>
      </c>
      <c r="C24" s="357">
        <v>0</v>
      </c>
      <c r="D24" s="69">
        <v>0</v>
      </c>
      <c r="E24" s="69">
        <v>0</v>
      </c>
      <c r="F24" s="69">
        <f t="shared" si="0"/>
        <v>0</v>
      </c>
      <c r="G24" s="69">
        <f t="shared" si="1"/>
        <v>0</v>
      </c>
    </row>
    <row r="25" spans="1:13" x14ac:dyDescent="0.25">
      <c r="A25" s="39" t="s">
        <v>31</v>
      </c>
      <c r="B25" s="125" t="s">
        <v>80</v>
      </c>
      <c r="C25" s="87">
        <v>2.2799999999999998</v>
      </c>
      <c r="D25" s="69">
        <v>124244.16</v>
      </c>
      <c r="E25" s="69">
        <v>127925.99</v>
      </c>
      <c r="F25" s="79">
        <f>F41</f>
        <v>81275.259900000005</v>
      </c>
      <c r="G25" s="69">
        <f t="shared" si="1"/>
        <v>-3681.8300000000017</v>
      </c>
    </row>
    <row r="26" spans="1:13" x14ac:dyDescent="0.25">
      <c r="A26" s="39" t="s">
        <v>33</v>
      </c>
      <c r="B26" s="119" t="s">
        <v>34</v>
      </c>
      <c r="C26" s="43">
        <v>0</v>
      </c>
      <c r="D26" s="69">
        <v>0</v>
      </c>
      <c r="E26" s="69">
        <v>0</v>
      </c>
      <c r="F26" s="179">
        <v>0</v>
      </c>
      <c r="G26" s="69">
        <f t="shared" si="1"/>
        <v>0</v>
      </c>
    </row>
    <row r="27" spans="1:13" x14ac:dyDescent="0.25">
      <c r="A27" s="39" t="s">
        <v>35</v>
      </c>
      <c r="B27" s="119" t="s">
        <v>36</v>
      </c>
      <c r="C27" s="87"/>
      <c r="D27" s="69">
        <f>SUM(D28:D31)</f>
        <v>3059186.4</v>
      </c>
      <c r="E27" s="69">
        <f>SUM(E28:E31)</f>
        <v>3103489.7</v>
      </c>
      <c r="F27" s="69">
        <f>SUM(F28:F31)</f>
        <v>3059186.4</v>
      </c>
      <c r="G27" s="69">
        <f t="shared" si="1"/>
        <v>-44303.300000000279</v>
      </c>
      <c r="M27" s="274"/>
    </row>
    <row r="28" spans="1:13" x14ac:dyDescent="0.25">
      <c r="A28" s="34" t="s">
        <v>37</v>
      </c>
      <c r="B28" s="34" t="s">
        <v>101</v>
      </c>
      <c r="C28" s="89">
        <v>7.36</v>
      </c>
      <c r="D28" s="76">
        <v>77305.47</v>
      </c>
      <c r="E28" s="76">
        <v>78729.52</v>
      </c>
      <c r="F28" s="76">
        <f>D28</f>
        <v>77305.47</v>
      </c>
      <c r="G28" s="76">
        <f t="shared" si="1"/>
        <v>-1424.0500000000029</v>
      </c>
    </row>
    <row r="29" spans="1:13" x14ac:dyDescent="0.25">
      <c r="A29" s="34" t="s">
        <v>39</v>
      </c>
      <c r="B29" s="34" t="s">
        <v>84</v>
      </c>
      <c r="C29" s="89">
        <v>88.38</v>
      </c>
      <c r="D29" s="76">
        <v>1049203.6399999999</v>
      </c>
      <c r="E29" s="76">
        <v>1032853.4</v>
      </c>
      <c r="F29" s="76">
        <f>D29</f>
        <v>1049203.6399999999</v>
      </c>
      <c r="G29" s="76">
        <f t="shared" si="1"/>
        <v>16350.239999999874</v>
      </c>
    </row>
    <row r="30" spans="1:13" x14ac:dyDescent="0.25">
      <c r="A30" s="34" t="s">
        <v>42</v>
      </c>
      <c r="B30" s="34" t="s">
        <v>40</v>
      </c>
      <c r="C30" s="128">
        <v>0</v>
      </c>
      <c r="D30" s="76">
        <v>0</v>
      </c>
      <c r="E30" s="76">
        <v>0</v>
      </c>
      <c r="F30" s="76">
        <f>D30</f>
        <v>0</v>
      </c>
      <c r="G30" s="76">
        <f t="shared" si="1"/>
        <v>0</v>
      </c>
    </row>
    <row r="31" spans="1:13" x14ac:dyDescent="0.25">
      <c r="A31" s="34" t="s">
        <v>41</v>
      </c>
      <c r="B31" s="34" t="s">
        <v>43</v>
      </c>
      <c r="C31" s="89">
        <v>3352.42</v>
      </c>
      <c r="D31" s="76">
        <v>1932677.29</v>
      </c>
      <c r="E31" s="76">
        <v>1991906.78</v>
      </c>
      <c r="F31" s="76">
        <f>D31</f>
        <v>1932677.29</v>
      </c>
      <c r="G31" s="76">
        <f t="shared" si="1"/>
        <v>-59229.489999999991</v>
      </c>
      <c r="H31" s="91"/>
      <c r="I31" s="91"/>
    </row>
    <row r="32" spans="1:13" hidden="1" outlineLevel="1" x14ac:dyDescent="0.25">
      <c r="A32" s="174" t="s">
        <v>130</v>
      </c>
      <c r="B32" s="257" t="s">
        <v>133</v>
      </c>
      <c r="C32" s="298"/>
      <c r="D32" s="248">
        <v>0</v>
      </c>
      <c r="E32" s="248">
        <v>0</v>
      </c>
      <c r="F32" s="296"/>
      <c r="G32" s="248">
        <f t="shared" si="1"/>
        <v>0</v>
      </c>
      <c r="H32" s="91"/>
      <c r="I32" s="91"/>
    </row>
    <row r="33" spans="1:10" ht="15.75" customHeight="1" collapsed="1" thickBot="1" x14ac:dyDescent="0.3">
      <c r="A33" s="373"/>
      <c r="B33" s="374"/>
      <c r="C33" s="374"/>
      <c r="D33" s="375"/>
      <c r="E33" s="375"/>
      <c r="F33" s="375"/>
      <c r="G33" s="155"/>
      <c r="H33" s="91"/>
      <c r="I33" s="91"/>
    </row>
    <row r="34" spans="1:10" s="92" customFormat="1" ht="14.25" thickBot="1" x14ac:dyDescent="0.3">
      <c r="A34" s="387" t="s">
        <v>427</v>
      </c>
      <c r="B34" s="388"/>
      <c r="C34" s="388"/>
      <c r="D34" s="57">
        <v>-54885.87</v>
      </c>
      <c r="E34" s="58"/>
      <c r="F34" s="58"/>
      <c r="G34" s="58"/>
      <c r="H34" s="54"/>
      <c r="I34" s="54"/>
      <c r="J34" s="91"/>
    </row>
    <row r="35" spans="1:10" s="59" customFormat="1" ht="10.5" customHeight="1" thickBot="1" x14ac:dyDescent="0.3">
      <c r="A35" s="60"/>
      <c r="B35" s="60"/>
      <c r="C35" s="60"/>
      <c r="D35" s="38"/>
      <c r="E35" s="58"/>
      <c r="F35" s="58"/>
      <c r="G35" s="58"/>
      <c r="H35" s="54"/>
      <c r="I35" s="54"/>
    </row>
    <row r="36" spans="1:10" s="59" customFormat="1" ht="15.75" thickBot="1" x14ac:dyDescent="0.3">
      <c r="A36" s="55" t="s">
        <v>428</v>
      </c>
      <c r="B36" s="56"/>
      <c r="C36" s="56"/>
      <c r="D36" s="61"/>
      <c r="E36" s="62"/>
      <c r="F36" s="62"/>
      <c r="G36" s="129">
        <f>G14+E25-F25</f>
        <v>232788.94919999997</v>
      </c>
      <c r="H36" s="54"/>
      <c r="I36" s="54"/>
    </row>
    <row r="37" spans="1:10" s="59" customFormat="1" x14ac:dyDescent="0.25">
      <c r="A37" s="60"/>
      <c r="B37" s="60"/>
      <c r="C37" s="60"/>
      <c r="D37" s="38"/>
      <c r="E37" s="58"/>
      <c r="F37" s="58"/>
      <c r="G37" s="38"/>
      <c r="H37" s="54"/>
      <c r="I37" s="54"/>
    </row>
    <row r="38" spans="1:10" s="59" customFormat="1" ht="28.5" customHeight="1" x14ac:dyDescent="0.25">
      <c r="A38" s="485" t="s">
        <v>44</v>
      </c>
      <c r="B38" s="485"/>
      <c r="C38" s="485"/>
      <c r="D38" s="485"/>
      <c r="E38" s="485"/>
      <c r="F38" s="485"/>
      <c r="G38" s="485"/>
      <c r="H38" s="485"/>
      <c r="I38" s="485"/>
    </row>
    <row r="39" spans="1:10" ht="6.75" customHeight="1" x14ac:dyDescent="0.25"/>
    <row r="40" spans="1:10" ht="28.5" x14ac:dyDescent="0.25">
      <c r="A40" s="94" t="s">
        <v>11</v>
      </c>
      <c r="B40" s="416" t="s">
        <v>45</v>
      </c>
      <c r="C40" s="425"/>
      <c r="D40" s="94" t="s">
        <v>99</v>
      </c>
      <c r="E40" s="94" t="s">
        <v>98</v>
      </c>
      <c r="F40" s="416" t="s">
        <v>46</v>
      </c>
      <c r="G40" s="425"/>
      <c r="H40" s="156"/>
      <c r="I40" s="156"/>
    </row>
    <row r="41" spans="1:10" x14ac:dyDescent="0.25">
      <c r="A41" s="98" t="s">
        <v>47</v>
      </c>
      <c r="B41" s="418" t="s">
        <v>75</v>
      </c>
      <c r="C41" s="430"/>
      <c r="D41" s="99"/>
      <c r="E41" s="99"/>
      <c r="F41" s="436">
        <f>SUM(F42:L45)</f>
        <v>81275.259900000005</v>
      </c>
      <c r="G41" s="424"/>
      <c r="H41" s="103"/>
      <c r="I41" s="103"/>
    </row>
    <row r="42" spans="1:10" s="156" customFormat="1" ht="22.5" customHeight="1" x14ac:dyDescent="0.25">
      <c r="A42" s="34" t="s">
        <v>16</v>
      </c>
      <c r="B42" s="406" t="s">
        <v>479</v>
      </c>
      <c r="C42" s="431"/>
      <c r="D42" s="109" t="s">
        <v>100</v>
      </c>
      <c r="E42" s="317">
        <v>1</v>
      </c>
      <c r="F42" s="423">
        <v>2340</v>
      </c>
      <c r="G42" s="423"/>
      <c r="H42" s="35"/>
      <c r="I42" s="35"/>
    </row>
    <row r="43" spans="1:10" s="156" customFormat="1" x14ac:dyDescent="0.25">
      <c r="A43" s="34" t="s">
        <v>18</v>
      </c>
      <c r="B43" s="406" t="s">
        <v>408</v>
      </c>
      <c r="C43" s="431"/>
      <c r="D43" s="105" t="s">
        <v>100</v>
      </c>
      <c r="E43" s="105">
        <v>1</v>
      </c>
      <c r="F43" s="466">
        <v>37656</v>
      </c>
      <c r="G43" s="467"/>
      <c r="H43" s="35"/>
      <c r="I43" s="35"/>
    </row>
    <row r="44" spans="1:10" s="156" customFormat="1" ht="17.25" customHeight="1" x14ac:dyDescent="0.25">
      <c r="A44" s="34" t="s">
        <v>20</v>
      </c>
      <c r="B44" s="406" t="s">
        <v>626</v>
      </c>
      <c r="C44" s="454"/>
      <c r="D44" s="105" t="s">
        <v>100</v>
      </c>
      <c r="E44" s="137">
        <v>5</v>
      </c>
      <c r="F44" s="423">
        <v>40000</v>
      </c>
      <c r="G44" s="423"/>
      <c r="H44" s="35"/>
      <c r="I44" s="35"/>
    </row>
    <row r="45" spans="1:10" x14ac:dyDescent="0.25">
      <c r="A45" s="34" t="s">
        <v>22</v>
      </c>
      <c r="B45" s="133" t="s">
        <v>108</v>
      </c>
      <c r="C45" s="134"/>
      <c r="D45" s="105"/>
      <c r="E45" s="105"/>
      <c r="F45" s="435">
        <f>E25*1%</f>
        <v>1279.2599</v>
      </c>
      <c r="G45" s="435"/>
    </row>
    <row r="46" spans="1:10" ht="12" customHeight="1" x14ac:dyDescent="0.25">
      <c r="A46" s="59"/>
      <c r="B46" s="59"/>
      <c r="C46" s="59"/>
      <c r="D46" s="59"/>
      <c r="E46" s="59"/>
      <c r="F46" s="59"/>
      <c r="G46" s="59"/>
      <c r="H46" s="59"/>
      <c r="I46" s="59"/>
    </row>
    <row r="47" spans="1:10" ht="12" customHeight="1" x14ac:dyDescent="0.25">
      <c r="A47" s="51" t="s">
        <v>372</v>
      </c>
      <c r="B47" s="59"/>
      <c r="C47" s="59" t="s">
        <v>49</v>
      </c>
      <c r="D47" s="59"/>
      <c r="E47" s="59"/>
      <c r="F47" s="59" t="s">
        <v>60</v>
      </c>
      <c r="G47" s="59"/>
      <c r="H47" s="59"/>
      <c r="I47" s="59"/>
    </row>
    <row r="48" spans="1:10" ht="12" customHeight="1" x14ac:dyDescent="0.25">
      <c r="A48" s="59"/>
      <c r="B48" s="59"/>
      <c r="C48" s="59"/>
      <c r="D48" s="59"/>
      <c r="E48" s="59"/>
      <c r="F48" s="111" t="s">
        <v>438</v>
      </c>
      <c r="G48" s="59"/>
      <c r="H48" s="59"/>
      <c r="I48" s="59"/>
    </row>
    <row r="49" spans="1:7" s="59" customFormat="1" ht="9.75" customHeight="1" x14ac:dyDescent="0.25">
      <c r="A49" s="59" t="s">
        <v>50</v>
      </c>
    </row>
    <row r="50" spans="1:7" s="59" customFormat="1" x14ac:dyDescent="0.25">
      <c r="C50" s="113" t="s">
        <v>51</v>
      </c>
      <c r="E50" s="113"/>
      <c r="F50" s="113"/>
      <c r="G50" s="113"/>
    </row>
    <row r="51" spans="1:7" s="59" customFormat="1" x14ac:dyDescent="0.25"/>
    <row r="52" spans="1:7" s="59" customFormat="1" x14ac:dyDescent="0.25"/>
  </sheetData>
  <mergeCells count="21">
    <mergeCell ref="F45:G45"/>
    <mergeCell ref="A34:C34"/>
    <mergeCell ref="A38:I38"/>
    <mergeCell ref="B40:C40"/>
    <mergeCell ref="F40:G40"/>
    <mergeCell ref="A1:I1"/>
    <mergeCell ref="A5:I5"/>
    <mergeCell ref="A10:I10"/>
    <mergeCell ref="A3:K3"/>
    <mergeCell ref="A11:I11"/>
    <mergeCell ref="A33:F33"/>
    <mergeCell ref="A12:I12"/>
    <mergeCell ref="A2:K2"/>
    <mergeCell ref="B43:C43"/>
    <mergeCell ref="B44:C44"/>
    <mergeCell ref="B41:C41"/>
    <mergeCell ref="F43:G43"/>
    <mergeCell ref="B42:C42"/>
    <mergeCell ref="F42:G42"/>
    <mergeCell ref="F44:G44"/>
    <mergeCell ref="F41:G41"/>
  </mergeCells>
  <phoneticPr fontId="14" type="noConversion"/>
  <pageMargins left="0" right="0" top="0" bottom="0" header="0.31496062992125984" footer="0.31496062992125984"/>
  <pageSetup paperSize="9" orientation="portrait" verticalDpi="0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8AA860-A02E-482B-A70D-2FA3460A3ECE}">
  <sheetPr>
    <tabColor rgb="FF7030A0"/>
  </sheetPr>
  <dimension ref="A1:P52"/>
  <sheetViews>
    <sheetView topLeftCell="A31" zoomScaleNormal="100" workbookViewId="0">
      <selection activeCell="A53" sqref="A53:IV54"/>
    </sheetView>
  </sheetViews>
  <sheetFormatPr defaultRowHeight="15" outlineLevelRow="1" outlineLevelCol="1" x14ac:dyDescent="0.25"/>
  <cols>
    <col min="1" max="1" width="4.7109375" style="35" customWidth="1"/>
    <col min="2" max="2" width="45.7109375" style="35" customWidth="1"/>
    <col min="3" max="3" width="12.7109375" style="35" customWidth="1"/>
    <col min="4" max="4" width="13" style="35" customWidth="1"/>
    <col min="5" max="5" width="13.140625" style="35" customWidth="1"/>
    <col min="6" max="7" width="13.42578125" style="35" customWidth="1"/>
    <col min="8" max="8" width="10.85546875" style="35" hidden="1" customWidth="1" outlineLevel="1"/>
    <col min="9" max="9" width="13.42578125" style="35" hidden="1" customWidth="1" outlineLevel="1"/>
    <col min="10" max="12" width="9.140625" style="35" hidden="1" customWidth="1" outlineLevel="1"/>
    <col min="13" max="13" width="10.7109375" style="35" bestFit="1" customWidth="1" collapsed="1"/>
    <col min="14" max="16384" width="9.140625" style="35"/>
  </cols>
  <sheetData>
    <row r="1" spans="1:11" x14ac:dyDescent="0.25">
      <c r="A1" s="397" t="s">
        <v>0</v>
      </c>
      <c r="B1" s="397"/>
      <c r="C1" s="397"/>
      <c r="D1" s="397"/>
      <c r="E1" s="397"/>
      <c r="F1" s="397"/>
      <c r="G1" s="397"/>
      <c r="H1" s="397"/>
      <c r="I1" s="397"/>
    </row>
    <row r="2" spans="1:11" ht="15" customHeight="1" x14ac:dyDescent="0.25">
      <c r="A2" s="370" t="s">
        <v>152</v>
      </c>
      <c r="B2" s="370"/>
      <c r="C2" s="370"/>
      <c r="D2" s="370"/>
      <c r="E2" s="370"/>
      <c r="F2" s="370"/>
      <c r="G2" s="370"/>
      <c r="H2" s="370"/>
      <c r="I2" s="370"/>
      <c r="J2" s="370"/>
      <c r="K2" s="370"/>
    </row>
    <row r="3" spans="1:11" ht="12.75" customHeight="1" x14ac:dyDescent="0.25">
      <c r="A3" s="370" t="s">
        <v>426</v>
      </c>
      <c r="B3" s="370"/>
      <c r="C3" s="370"/>
      <c r="D3" s="370"/>
      <c r="E3" s="370"/>
      <c r="F3" s="370"/>
      <c r="G3" s="370"/>
      <c r="H3" s="370"/>
      <c r="I3" s="370"/>
      <c r="J3" s="370"/>
      <c r="K3" s="370"/>
    </row>
    <row r="4" spans="1:11" ht="9.75" customHeight="1" x14ac:dyDescent="0.25">
      <c r="A4" s="142"/>
      <c r="B4" s="142"/>
      <c r="C4" s="142"/>
      <c r="D4" s="142"/>
      <c r="E4" s="142"/>
      <c r="F4" s="142"/>
      <c r="G4" s="142"/>
      <c r="H4" s="142"/>
      <c r="I4" s="142"/>
    </row>
    <row r="5" spans="1:11" ht="14.25" customHeight="1" x14ac:dyDescent="0.25">
      <c r="A5" s="398" t="s">
        <v>1</v>
      </c>
      <c r="B5" s="397"/>
      <c r="C5" s="397"/>
      <c r="D5" s="397"/>
      <c r="E5" s="397"/>
      <c r="F5" s="397"/>
      <c r="G5" s="397"/>
      <c r="H5" s="397"/>
      <c r="I5" s="397"/>
    </row>
    <row r="6" spans="1:11" ht="3.75" customHeight="1" x14ac:dyDescent="0.25"/>
    <row r="7" spans="1:11" s="59" customFormat="1" ht="16.5" customHeight="1" x14ac:dyDescent="0.25">
      <c r="A7" s="59" t="s">
        <v>2</v>
      </c>
      <c r="F7" s="111" t="s">
        <v>197</v>
      </c>
    </row>
    <row r="8" spans="1:11" s="59" customFormat="1" x14ac:dyDescent="0.25">
      <c r="A8" s="59" t="s">
        <v>3</v>
      </c>
      <c r="F8" s="239" t="s">
        <v>200</v>
      </c>
    </row>
    <row r="9" spans="1:11" s="59" customFormat="1" x14ac:dyDescent="0.25">
      <c r="H9" s="180"/>
      <c r="I9" s="59">
        <v>3342.7</v>
      </c>
      <c r="J9" s="59">
        <f>H9+I9</f>
        <v>3342.7</v>
      </c>
    </row>
    <row r="10" spans="1:11" s="59" customFormat="1" ht="13.5" customHeight="1" x14ac:dyDescent="0.25">
      <c r="A10" s="372" t="s">
        <v>8</v>
      </c>
      <c r="B10" s="372"/>
      <c r="C10" s="372"/>
      <c r="D10" s="372"/>
      <c r="E10" s="372"/>
      <c r="F10" s="372"/>
      <c r="G10" s="372"/>
      <c r="H10" s="372"/>
      <c r="I10" s="372"/>
    </row>
    <row r="11" spans="1:11" s="59" customFormat="1" ht="10.5" customHeight="1" x14ac:dyDescent="0.25">
      <c r="A11" s="372" t="s">
        <v>9</v>
      </c>
      <c r="B11" s="372"/>
      <c r="C11" s="372"/>
      <c r="D11" s="372"/>
      <c r="E11" s="372"/>
      <c r="F11" s="372"/>
      <c r="G11" s="372"/>
      <c r="H11" s="372"/>
      <c r="I11" s="372"/>
    </row>
    <row r="12" spans="1:11" s="59" customFormat="1" x14ac:dyDescent="0.25">
      <c r="A12" s="372" t="s">
        <v>10</v>
      </c>
      <c r="B12" s="372"/>
      <c r="C12" s="372"/>
      <c r="D12" s="372"/>
      <c r="E12" s="372"/>
      <c r="F12" s="372"/>
      <c r="G12" s="372"/>
      <c r="H12" s="372"/>
      <c r="I12" s="372"/>
    </row>
    <row r="13" spans="1:11" s="59" customFormat="1" ht="6" customHeight="1" thickBot="1" x14ac:dyDescent="0.3">
      <c r="A13" s="60"/>
      <c r="B13" s="60"/>
      <c r="C13" s="60"/>
      <c r="D13" s="38"/>
      <c r="E13" s="58"/>
      <c r="F13" s="58"/>
      <c r="G13" s="58"/>
      <c r="H13" s="54"/>
      <c r="I13" s="54"/>
    </row>
    <row r="14" spans="1:11" s="59" customFormat="1" ht="15.75" thickBot="1" x14ac:dyDescent="0.3">
      <c r="A14" s="55" t="s">
        <v>381</v>
      </c>
      <c r="B14" s="56"/>
      <c r="C14" s="56"/>
      <c r="D14" s="61"/>
      <c r="E14" s="62"/>
      <c r="F14" s="62"/>
      <c r="G14" s="129">
        <f>'[1]Пухова 3'!$G$35</f>
        <v>51528.862999999968</v>
      </c>
      <c r="H14" s="54"/>
      <c r="I14" s="54"/>
    </row>
    <row r="15" spans="1:11" s="59" customFormat="1" ht="8.25" customHeight="1" x14ac:dyDescent="0.25"/>
    <row r="16" spans="1:11" s="66" customFormat="1" ht="52.5" customHeight="1" x14ac:dyDescent="0.25">
      <c r="A16" s="64" t="s">
        <v>11</v>
      </c>
      <c r="B16" s="64" t="s">
        <v>12</v>
      </c>
      <c r="C16" s="64" t="s">
        <v>61</v>
      </c>
      <c r="D16" s="64" t="s">
        <v>432</v>
      </c>
      <c r="E16" s="64" t="s">
        <v>433</v>
      </c>
      <c r="F16" s="65" t="s">
        <v>434</v>
      </c>
      <c r="G16" s="64" t="s">
        <v>435</v>
      </c>
    </row>
    <row r="17" spans="1:16" s="59" customFormat="1" x14ac:dyDescent="0.25">
      <c r="A17" s="67" t="s">
        <v>14</v>
      </c>
      <c r="B17" s="39" t="s">
        <v>379</v>
      </c>
      <c r="C17" s="120">
        <v>23.01</v>
      </c>
      <c r="D17" s="68">
        <v>922986.48</v>
      </c>
      <c r="E17" s="68">
        <v>868875.33</v>
      </c>
      <c r="F17" s="68">
        <f>D17</f>
        <v>922986.48</v>
      </c>
      <c r="G17" s="69">
        <f>D17-E17</f>
        <v>54111.150000000023</v>
      </c>
      <c r="H17" s="130">
        <f>C17</f>
        <v>23.01</v>
      </c>
    </row>
    <row r="18" spans="1:16" s="59" customFormat="1" hidden="1" outlineLevel="1" x14ac:dyDescent="0.25">
      <c r="A18" s="73" t="s">
        <v>16</v>
      </c>
      <c r="B18" s="34" t="s">
        <v>17</v>
      </c>
      <c r="C18" s="89">
        <v>3.46</v>
      </c>
      <c r="D18" s="75">
        <f>D17*I18</f>
        <v>138788.92745762711</v>
      </c>
      <c r="E18" s="75">
        <f>E17*I18</f>
        <v>130652.26604954366</v>
      </c>
      <c r="F18" s="75">
        <f>D18</f>
        <v>138788.92745762711</v>
      </c>
      <c r="G18" s="76">
        <f>D18-E18</f>
        <v>8136.6614080834552</v>
      </c>
      <c r="H18" s="130">
        <f>C18</f>
        <v>3.46</v>
      </c>
      <c r="I18" s="59">
        <f>H18/H17</f>
        <v>0.15036940460669274</v>
      </c>
    </row>
    <row r="19" spans="1:16" s="59" customFormat="1" hidden="1" outlineLevel="1" x14ac:dyDescent="0.25">
      <c r="A19" s="73" t="s">
        <v>18</v>
      </c>
      <c r="B19" s="34" t="s">
        <v>19</v>
      </c>
      <c r="C19" s="89">
        <v>1.69</v>
      </c>
      <c r="D19" s="75">
        <f>D17*I19</f>
        <v>67789.967457627106</v>
      </c>
      <c r="E19" s="75">
        <f>E17*I19</f>
        <v>63815.702203389817</v>
      </c>
      <c r="F19" s="75">
        <f>D19</f>
        <v>67789.967457627106</v>
      </c>
      <c r="G19" s="76">
        <f>D19-E19</f>
        <v>3974.2652542372889</v>
      </c>
      <c r="H19" s="130">
        <f>C19</f>
        <v>1.69</v>
      </c>
      <c r="I19" s="59">
        <f>H19/H17</f>
        <v>7.3446327683615809E-2</v>
      </c>
    </row>
    <row r="20" spans="1:16" s="59" customFormat="1" hidden="1" outlineLevel="1" x14ac:dyDescent="0.25">
      <c r="A20" s="73" t="s">
        <v>20</v>
      </c>
      <c r="B20" s="34" t="s">
        <v>21</v>
      </c>
      <c r="C20" s="89">
        <v>1.69</v>
      </c>
      <c r="D20" s="75">
        <f>D17*I20</f>
        <v>67789.967457627106</v>
      </c>
      <c r="E20" s="75">
        <f>E17*I20</f>
        <v>63815.702203389817</v>
      </c>
      <c r="F20" s="75">
        <f>D20</f>
        <v>67789.967457627106</v>
      </c>
      <c r="G20" s="76">
        <f>D20-E20</f>
        <v>3974.2652542372889</v>
      </c>
      <c r="H20" s="130">
        <f>C20</f>
        <v>1.69</v>
      </c>
      <c r="I20" s="59">
        <f>H20/H17</f>
        <v>7.3446327683615809E-2</v>
      </c>
    </row>
    <row r="21" spans="1:16" s="59" customFormat="1" hidden="1" outlineLevel="1" x14ac:dyDescent="0.25">
      <c r="A21" s="73" t="s">
        <v>22</v>
      </c>
      <c r="B21" s="34" t="s">
        <v>23</v>
      </c>
      <c r="C21" s="89">
        <v>3.04</v>
      </c>
      <c r="D21" s="75">
        <f>D17*I21</f>
        <v>121941.71661016947</v>
      </c>
      <c r="E21" s="75">
        <f>E17*I21</f>
        <v>114792.74242503257</v>
      </c>
      <c r="F21" s="75">
        <f>D21</f>
        <v>121941.71661016947</v>
      </c>
      <c r="G21" s="76">
        <f>D21-E21</f>
        <v>7148.9741851369035</v>
      </c>
      <c r="H21" s="130">
        <f>C21</f>
        <v>3.04</v>
      </c>
      <c r="I21" s="59">
        <f>H21/H17</f>
        <v>0.13211647109952193</v>
      </c>
    </row>
    <row r="22" spans="1:16" collapsed="1" x14ac:dyDescent="0.25">
      <c r="A22" s="39" t="s">
        <v>25</v>
      </c>
      <c r="B22" s="78" t="s">
        <v>145</v>
      </c>
      <c r="C22" s="87">
        <v>0</v>
      </c>
      <c r="D22" s="69">
        <v>0</v>
      </c>
      <c r="E22" s="69">
        <v>0</v>
      </c>
      <c r="F22" s="69">
        <v>0</v>
      </c>
      <c r="G22" s="69">
        <f t="shared" ref="G22:G31" si="0">D22-E22</f>
        <v>0</v>
      </c>
      <c r="H22" s="35">
        <f>71*130</f>
        <v>9230</v>
      </c>
      <c r="I22" s="274">
        <f>D22/H22</f>
        <v>0</v>
      </c>
    </row>
    <row r="23" spans="1:16" x14ac:dyDescent="0.25">
      <c r="A23" s="39" t="s">
        <v>27</v>
      </c>
      <c r="B23" s="125" t="s">
        <v>28</v>
      </c>
      <c r="C23" s="87">
        <v>0</v>
      </c>
      <c r="D23" s="69">
        <v>0</v>
      </c>
      <c r="E23" s="69">
        <v>0</v>
      </c>
      <c r="F23" s="69">
        <f>D23</f>
        <v>0</v>
      </c>
      <c r="G23" s="69">
        <f t="shared" si="0"/>
        <v>0</v>
      </c>
    </row>
    <row r="24" spans="1:16" x14ac:dyDescent="0.25">
      <c r="A24" s="39" t="s">
        <v>29</v>
      </c>
      <c r="B24" s="125" t="s">
        <v>97</v>
      </c>
      <c r="C24" s="357">
        <v>0</v>
      </c>
      <c r="D24" s="69">
        <v>0</v>
      </c>
      <c r="E24" s="69">
        <v>0</v>
      </c>
      <c r="F24" s="69">
        <f>D24</f>
        <v>0</v>
      </c>
      <c r="G24" s="69">
        <f t="shared" si="0"/>
        <v>0</v>
      </c>
    </row>
    <row r="25" spans="1:16" x14ac:dyDescent="0.25">
      <c r="A25" s="39" t="s">
        <v>31</v>
      </c>
      <c r="B25" s="125" t="s">
        <v>80</v>
      </c>
      <c r="C25" s="87">
        <v>2.2799999999999998</v>
      </c>
      <c r="D25" s="69">
        <v>91456.08</v>
      </c>
      <c r="E25" s="69">
        <v>87138.26</v>
      </c>
      <c r="F25" s="79">
        <f>F40</f>
        <v>40152.4326</v>
      </c>
      <c r="G25" s="69">
        <f t="shared" si="0"/>
        <v>4317.820000000007</v>
      </c>
      <c r="M25" s="144"/>
    </row>
    <row r="26" spans="1:16" x14ac:dyDescent="0.25">
      <c r="A26" s="39" t="s">
        <v>33</v>
      </c>
      <c r="B26" s="119" t="s">
        <v>34</v>
      </c>
      <c r="C26" s="46"/>
      <c r="D26" s="69">
        <v>0</v>
      </c>
      <c r="E26" s="69">
        <v>0.52</v>
      </c>
      <c r="F26" s="179">
        <v>0</v>
      </c>
      <c r="G26" s="69">
        <f t="shared" si="0"/>
        <v>-0.52</v>
      </c>
      <c r="H26" s="493" t="s">
        <v>120</v>
      </c>
      <c r="I26" s="494"/>
      <c r="J26" s="494"/>
      <c r="N26" s="491"/>
      <c r="O26" s="492"/>
      <c r="P26" s="492"/>
    </row>
    <row r="27" spans="1:16" x14ac:dyDescent="0.25">
      <c r="A27" s="39" t="s">
        <v>35</v>
      </c>
      <c r="B27" s="119" t="s">
        <v>36</v>
      </c>
      <c r="C27" s="87"/>
      <c r="D27" s="69">
        <f>SUM(D28:D31)</f>
        <v>2301041</v>
      </c>
      <c r="E27" s="69">
        <f>SUM(E28:E31)</f>
        <v>2162131.33</v>
      </c>
      <c r="F27" s="69">
        <f>SUM(F28:F31)</f>
        <v>2301041</v>
      </c>
      <c r="G27" s="69">
        <f t="shared" si="0"/>
        <v>138909.66999999993</v>
      </c>
    </row>
    <row r="28" spans="1:16" x14ac:dyDescent="0.25">
      <c r="A28" s="34" t="s">
        <v>37</v>
      </c>
      <c r="B28" s="34" t="s">
        <v>101</v>
      </c>
      <c r="C28" s="89">
        <v>7.36</v>
      </c>
      <c r="D28" s="76">
        <v>111558.53</v>
      </c>
      <c r="E28" s="76">
        <v>104403.34</v>
      </c>
      <c r="F28" s="76">
        <f>D28</f>
        <v>111558.53</v>
      </c>
      <c r="G28" s="76">
        <f t="shared" si="0"/>
        <v>7155.1900000000023</v>
      </c>
    </row>
    <row r="29" spans="1:16" x14ac:dyDescent="0.25">
      <c r="A29" s="34" t="s">
        <v>39</v>
      </c>
      <c r="B29" s="34" t="s">
        <v>84</v>
      </c>
      <c r="C29" s="89">
        <v>88.38</v>
      </c>
      <c r="D29" s="76">
        <v>962719.55</v>
      </c>
      <c r="E29" s="76">
        <v>889191.72</v>
      </c>
      <c r="F29" s="76">
        <f>D29</f>
        <v>962719.55</v>
      </c>
      <c r="G29" s="76">
        <f t="shared" si="0"/>
        <v>73527.830000000075</v>
      </c>
    </row>
    <row r="30" spans="1:16" x14ac:dyDescent="0.25">
      <c r="A30" s="34" t="s">
        <v>42</v>
      </c>
      <c r="B30" s="34" t="s">
        <v>40</v>
      </c>
      <c r="C30" s="128">
        <v>0</v>
      </c>
      <c r="D30" s="76">
        <v>0</v>
      </c>
      <c r="E30" s="76">
        <v>0</v>
      </c>
      <c r="F30" s="76">
        <f>D30</f>
        <v>0</v>
      </c>
      <c r="G30" s="76">
        <f t="shared" si="0"/>
        <v>0</v>
      </c>
    </row>
    <row r="31" spans="1:16" x14ac:dyDescent="0.25">
      <c r="A31" s="34" t="s">
        <v>41</v>
      </c>
      <c r="B31" s="34" t="s">
        <v>43</v>
      </c>
      <c r="C31" s="89">
        <v>3352.42</v>
      </c>
      <c r="D31" s="76">
        <v>1226762.92</v>
      </c>
      <c r="E31" s="76">
        <v>1168536.27</v>
      </c>
      <c r="F31" s="76">
        <f>D31</f>
        <v>1226762.92</v>
      </c>
      <c r="G31" s="76">
        <f t="shared" si="0"/>
        <v>58226.649999999907</v>
      </c>
      <c r="H31" s="91"/>
      <c r="I31" s="91"/>
    </row>
    <row r="32" spans="1:16" ht="15.75" customHeight="1" thickBot="1" x14ac:dyDescent="0.3">
      <c r="A32" s="373"/>
      <c r="B32" s="374"/>
      <c r="C32" s="374"/>
      <c r="D32" s="375"/>
      <c r="E32" s="375"/>
      <c r="F32" s="375"/>
      <c r="G32" s="155"/>
      <c r="H32" s="91"/>
      <c r="I32" s="91"/>
    </row>
    <row r="33" spans="1:10" s="92" customFormat="1" ht="14.25" thickBot="1" x14ac:dyDescent="0.3">
      <c r="A33" s="387" t="s">
        <v>427</v>
      </c>
      <c r="B33" s="388"/>
      <c r="C33" s="388"/>
      <c r="D33" s="57">
        <v>197338.12</v>
      </c>
      <c r="E33" s="58"/>
      <c r="F33" s="58"/>
      <c r="G33" s="58"/>
      <c r="H33" s="54"/>
      <c r="I33" s="54"/>
      <c r="J33" s="91"/>
    </row>
    <row r="34" spans="1:10" s="59" customFormat="1" ht="15.75" thickBot="1" x14ac:dyDescent="0.3">
      <c r="A34" s="60"/>
      <c r="B34" s="60"/>
      <c r="C34" s="60"/>
      <c r="D34" s="38"/>
      <c r="E34" s="58"/>
      <c r="F34" s="58"/>
      <c r="G34" s="58"/>
      <c r="H34" s="54"/>
      <c r="I34" s="54"/>
    </row>
    <row r="35" spans="1:10" s="59" customFormat="1" ht="15.75" thickBot="1" x14ac:dyDescent="0.3">
      <c r="A35" s="55" t="s">
        <v>428</v>
      </c>
      <c r="B35" s="56"/>
      <c r="C35" s="56"/>
      <c r="D35" s="61"/>
      <c r="E35" s="62"/>
      <c r="F35" s="62"/>
      <c r="G35" s="63">
        <f>G14+E25-F25</f>
        <v>98514.690399999963</v>
      </c>
      <c r="H35" s="54" t="s">
        <v>423</v>
      </c>
      <c r="I35" s="321"/>
    </row>
    <row r="36" spans="1:10" s="59" customFormat="1" x14ac:dyDescent="0.25">
      <c r="A36" s="60"/>
      <c r="B36" s="60"/>
      <c r="C36" s="60"/>
      <c r="D36" s="38"/>
      <c r="E36" s="58"/>
      <c r="F36" s="58"/>
      <c r="G36" s="38"/>
      <c r="H36" s="54"/>
      <c r="I36" s="54"/>
    </row>
    <row r="37" spans="1:10" s="59" customFormat="1" ht="31.5" customHeight="1" x14ac:dyDescent="0.25">
      <c r="A37" s="485" t="s">
        <v>44</v>
      </c>
      <c r="B37" s="485"/>
      <c r="C37" s="485"/>
      <c r="D37" s="485"/>
      <c r="E37" s="485"/>
      <c r="F37" s="485"/>
      <c r="G37" s="485"/>
      <c r="H37" s="485"/>
      <c r="I37" s="485"/>
    </row>
    <row r="39" spans="1:10" ht="28.5" x14ac:dyDescent="0.25">
      <c r="A39" s="94" t="s">
        <v>11</v>
      </c>
      <c r="B39" s="416" t="s">
        <v>45</v>
      </c>
      <c r="C39" s="425"/>
      <c r="D39" s="94" t="s">
        <v>99</v>
      </c>
      <c r="E39" s="94" t="s">
        <v>98</v>
      </c>
      <c r="F39" s="416" t="s">
        <v>46</v>
      </c>
      <c r="G39" s="425"/>
      <c r="H39" s="156"/>
      <c r="I39" s="156"/>
    </row>
    <row r="40" spans="1:10" s="156" customFormat="1" x14ac:dyDescent="0.25">
      <c r="A40" s="98" t="s">
        <v>47</v>
      </c>
      <c r="B40" s="418" t="s">
        <v>75</v>
      </c>
      <c r="C40" s="430"/>
      <c r="D40" s="99"/>
      <c r="E40" s="99"/>
      <c r="F40" s="436">
        <f>SUM(F41:L45)</f>
        <v>40152.4326</v>
      </c>
      <c r="G40" s="424"/>
      <c r="H40" s="103"/>
      <c r="I40" s="103"/>
    </row>
    <row r="41" spans="1:10" s="103" customFormat="1" ht="12.75" customHeight="1" x14ac:dyDescent="0.25">
      <c r="A41" s="34" t="s">
        <v>16</v>
      </c>
      <c r="B41" s="406" t="s">
        <v>480</v>
      </c>
      <c r="C41" s="431"/>
      <c r="D41" s="105" t="s">
        <v>137</v>
      </c>
      <c r="E41" s="348">
        <v>4.7500000000000001E-2</v>
      </c>
      <c r="F41" s="466">
        <v>16476.349999999999</v>
      </c>
      <c r="G41" s="467"/>
      <c r="H41" s="35"/>
      <c r="I41" s="35"/>
    </row>
    <row r="42" spans="1:10" s="103" customFormat="1" ht="12.75" customHeight="1" x14ac:dyDescent="0.25">
      <c r="A42" s="34" t="s">
        <v>18</v>
      </c>
      <c r="B42" s="406" t="s">
        <v>481</v>
      </c>
      <c r="C42" s="431"/>
      <c r="D42" s="105" t="s">
        <v>137</v>
      </c>
      <c r="E42" s="107">
        <v>4.4999999999999998E-2</v>
      </c>
      <c r="F42" s="466">
        <v>22804.7</v>
      </c>
      <c r="G42" s="467"/>
      <c r="H42" s="35"/>
      <c r="I42" s="35"/>
    </row>
    <row r="43" spans="1:10" s="103" customFormat="1" ht="12.75" customHeight="1" x14ac:dyDescent="0.25">
      <c r="A43" s="34" t="s">
        <v>20</v>
      </c>
      <c r="B43" s="406"/>
      <c r="C43" s="431"/>
      <c r="D43" s="105"/>
      <c r="E43" s="105"/>
      <c r="F43" s="466"/>
      <c r="G43" s="467"/>
      <c r="H43" s="35"/>
      <c r="I43" s="35"/>
    </row>
    <row r="44" spans="1:10" s="103" customFormat="1" ht="12.75" customHeight="1" x14ac:dyDescent="0.25">
      <c r="A44" s="34" t="s">
        <v>22</v>
      </c>
      <c r="B44" s="406"/>
      <c r="C44" s="431"/>
      <c r="D44" s="105"/>
      <c r="E44" s="105"/>
      <c r="F44" s="466"/>
      <c r="G44" s="467"/>
      <c r="H44" s="35"/>
      <c r="I44" s="35"/>
    </row>
    <row r="45" spans="1:10" ht="12.75" customHeight="1" x14ac:dyDescent="0.25">
      <c r="A45" s="34" t="s">
        <v>24</v>
      </c>
      <c r="B45" s="133" t="s">
        <v>108</v>
      </c>
      <c r="C45" s="134"/>
      <c r="D45" s="105"/>
      <c r="E45" s="105"/>
      <c r="F45" s="435">
        <f>E25*1%</f>
        <v>871.38259999999991</v>
      </c>
      <c r="G45" s="435"/>
    </row>
    <row r="46" spans="1:10" ht="12.75" customHeight="1" x14ac:dyDescent="0.25">
      <c r="A46" s="51"/>
      <c r="B46" s="59"/>
      <c r="C46" s="59"/>
      <c r="D46" s="59"/>
      <c r="E46" s="59"/>
      <c r="F46" s="59"/>
      <c r="G46" s="59"/>
      <c r="H46" s="59"/>
      <c r="I46" s="59"/>
    </row>
    <row r="47" spans="1:10" ht="12.75" customHeight="1" x14ac:dyDescent="0.25">
      <c r="A47" s="51" t="s">
        <v>372</v>
      </c>
      <c r="B47" s="59"/>
      <c r="C47" s="59" t="s">
        <v>49</v>
      </c>
      <c r="D47" s="59"/>
      <c r="E47" s="59"/>
      <c r="F47" s="59" t="s">
        <v>60</v>
      </c>
      <c r="G47" s="59"/>
      <c r="H47" s="59"/>
      <c r="I47" s="59"/>
    </row>
    <row r="48" spans="1:10" ht="12.75" customHeight="1" x14ac:dyDescent="0.25">
      <c r="A48" s="59"/>
      <c r="B48" s="59"/>
      <c r="C48" s="59"/>
      <c r="D48" s="59"/>
      <c r="E48" s="59"/>
      <c r="F48" s="111" t="s">
        <v>438</v>
      </c>
      <c r="G48" s="59"/>
      <c r="H48" s="59"/>
      <c r="I48" s="59"/>
    </row>
    <row r="49" spans="1:9" ht="12.75" customHeight="1" x14ac:dyDescent="0.25">
      <c r="A49" s="59" t="s">
        <v>50</v>
      </c>
      <c r="B49" s="59"/>
      <c r="C49" s="59"/>
      <c r="D49" s="59"/>
      <c r="E49" s="59"/>
      <c r="F49" s="59"/>
      <c r="G49" s="59"/>
      <c r="H49" s="59"/>
      <c r="I49" s="59"/>
    </row>
    <row r="50" spans="1:9" ht="12.75" customHeight="1" x14ac:dyDescent="0.25">
      <c r="A50" s="59"/>
      <c r="B50" s="59"/>
      <c r="C50" s="113" t="s">
        <v>51</v>
      </c>
      <c r="D50" s="59"/>
      <c r="E50" s="113"/>
      <c r="F50" s="113"/>
      <c r="G50" s="113"/>
      <c r="H50" s="59"/>
      <c r="I50" s="59"/>
    </row>
    <row r="51" spans="1:9" s="59" customFormat="1" x14ac:dyDescent="0.25"/>
    <row r="52" spans="1:9" s="59" customFormat="1" x14ac:dyDescent="0.25"/>
  </sheetData>
  <mergeCells count="25">
    <mergeCell ref="B40:C40"/>
    <mergeCell ref="F40:G40"/>
    <mergeCell ref="A12:I12"/>
    <mergeCell ref="A11:I11"/>
    <mergeCell ref="A1:I1"/>
    <mergeCell ref="A5:I5"/>
    <mergeCell ref="A10:I10"/>
    <mergeCell ref="A3:K3"/>
    <mergeCell ref="A2:K2"/>
    <mergeCell ref="N26:P26"/>
    <mergeCell ref="H26:J26"/>
    <mergeCell ref="A32:F32"/>
    <mergeCell ref="A33:C33"/>
    <mergeCell ref="A37:I37"/>
    <mergeCell ref="F39:G39"/>
    <mergeCell ref="B39:C39"/>
    <mergeCell ref="F45:G45"/>
    <mergeCell ref="B41:C41"/>
    <mergeCell ref="F41:G41"/>
    <mergeCell ref="B42:C42"/>
    <mergeCell ref="B43:C43"/>
    <mergeCell ref="B44:C44"/>
    <mergeCell ref="F42:G42"/>
    <mergeCell ref="F44:G44"/>
    <mergeCell ref="F43:G43"/>
  </mergeCells>
  <phoneticPr fontId="14" type="noConversion"/>
  <pageMargins left="0" right="0" top="0" bottom="0" header="0.31496062992125984" footer="0.31496062992125984"/>
  <pageSetup paperSize="9" orientation="landscape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716FC6-CA79-4C15-8AD7-12E0268F37F5}">
  <sheetPr>
    <tabColor rgb="FF7030A0"/>
  </sheetPr>
  <dimension ref="A1:M57"/>
  <sheetViews>
    <sheetView topLeftCell="A35" zoomScaleNormal="100" workbookViewId="0">
      <selection activeCell="A58" sqref="A58:IV59"/>
    </sheetView>
  </sheetViews>
  <sheetFormatPr defaultRowHeight="15" outlineLevelRow="1" outlineLevelCol="1" x14ac:dyDescent="0.25"/>
  <cols>
    <col min="1" max="1" width="4.7109375" style="35" customWidth="1"/>
    <col min="2" max="2" width="41.140625" style="35" customWidth="1"/>
    <col min="3" max="3" width="13" style="35" customWidth="1"/>
    <col min="4" max="4" width="13.5703125" style="35" customWidth="1"/>
    <col min="5" max="5" width="12.85546875" style="35" customWidth="1"/>
    <col min="6" max="6" width="13.85546875" style="35" customWidth="1"/>
    <col min="7" max="7" width="15.5703125" style="35" customWidth="1"/>
    <col min="8" max="8" width="10.85546875" style="35" hidden="1" customWidth="1" outlineLevel="1"/>
    <col min="9" max="9" width="13.42578125" style="35" hidden="1" customWidth="1" outlineLevel="1"/>
    <col min="10" max="12" width="9.140625" style="35" hidden="1" customWidth="1" outlineLevel="1"/>
    <col min="13" max="13" width="9.140625" style="35" collapsed="1"/>
    <col min="14" max="16384" width="9.140625" style="35"/>
  </cols>
  <sheetData>
    <row r="1" spans="1:11" x14ac:dyDescent="0.25">
      <c r="A1" s="397" t="s">
        <v>0</v>
      </c>
      <c r="B1" s="397"/>
      <c r="C1" s="397"/>
      <c r="D1" s="397"/>
      <c r="E1" s="397"/>
      <c r="F1" s="397"/>
      <c r="G1" s="397"/>
      <c r="H1" s="397"/>
      <c r="I1" s="397"/>
    </row>
    <row r="2" spans="1:11" ht="15" customHeight="1" x14ac:dyDescent="0.25">
      <c r="A2" s="370" t="s">
        <v>152</v>
      </c>
      <c r="B2" s="370"/>
      <c r="C2" s="370"/>
      <c r="D2" s="370"/>
      <c r="E2" s="370"/>
      <c r="F2" s="370"/>
      <c r="G2" s="370"/>
      <c r="H2" s="370"/>
      <c r="I2" s="370"/>
      <c r="J2" s="370"/>
      <c r="K2" s="370"/>
    </row>
    <row r="3" spans="1:11" ht="15" customHeight="1" x14ac:dyDescent="0.25">
      <c r="A3" s="370" t="s">
        <v>426</v>
      </c>
      <c r="B3" s="370"/>
      <c r="C3" s="370"/>
      <c r="D3" s="370"/>
      <c r="E3" s="370"/>
      <c r="F3" s="370"/>
      <c r="G3" s="370"/>
      <c r="H3" s="370"/>
      <c r="I3" s="370"/>
      <c r="J3" s="370"/>
      <c r="K3" s="370"/>
    </row>
    <row r="4" spans="1:11" ht="5.25" customHeight="1" x14ac:dyDescent="0.25">
      <c r="A4" s="142"/>
      <c r="B4" s="142"/>
      <c r="C4" s="142"/>
      <c r="D4" s="142"/>
      <c r="E4" s="142"/>
      <c r="F4" s="142"/>
      <c r="G4" s="142"/>
      <c r="H4" s="142"/>
      <c r="I4" s="142"/>
    </row>
    <row r="5" spans="1:11" ht="14.25" customHeight="1" x14ac:dyDescent="0.25">
      <c r="A5" s="398" t="s">
        <v>1</v>
      </c>
      <c r="B5" s="397"/>
      <c r="C5" s="397"/>
      <c r="D5" s="397"/>
      <c r="E5" s="397"/>
      <c r="F5" s="397"/>
      <c r="G5" s="397"/>
      <c r="H5" s="397"/>
      <c r="I5" s="397"/>
    </row>
    <row r="6" spans="1:11" ht="5.25" customHeight="1" x14ac:dyDescent="0.25"/>
    <row r="7" spans="1:11" s="59" customFormat="1" ht="16.5" customHeight="1" x14ac:dyDescent="0.25">
      <c r="A7" s="59" t="s">
        <v>2</v>
      </c>
      <c r="F7" s="111" t="s">
        <v>199</v>
      </c>
    </row>
    <row r="8" spans="1:11" s="59" customFormat="1" x14ac:dyDescent="0.25">
      <c r="A8" s="59" t="s">
        <v>3</v>
      </c>
      <c r="F8" s="239" t="s">
        <v>198</v>
      </c>
      <c r="H8" s="180">
        <v>39.799999999999997</v>
      </c>
      <c r="I8" s="59">
        <v>1756.4</v>
      </c>
      <c r="J8" s="59">
        <f>H8+I8</f>
        <v>1796.2</v>
      </c>
    </row>
    <row r="9" spans="1:11" s="59" customFormat="1" ht="13.5" customHeight="1" x14ac:dyDescent="0.25">
      <c r="B9" s="59" t="s">
        <v>252</v>
      </c>
      <c r="F9" s="239" t="s">
        <v>253</v>
      </c>
    </row>
    <row r="10" spans="1:11" s="59" customFormat="1" x14ac:dyDescent="0.25">
      <c r="A10" s="372" t="s">
        <v>8</v>
      </c>
      <c r="B10" s="372"/>
      <c r="C10" s="372"/>
      <c r="D10" s="372"/>
      <c r="E10" s="372"/>
      <c r="F10" s="372"/>
      <c r="G10" s="372"/>
      <c r="H10" s="372"/>
      <c r="I10" s="372"/>
    </row>
    <row r="11" spans="1:11" s="59" customFormat="1" x14ac:dyDescent="0.25">
      <c r="A11" s="372" t="s">
        <v>9</v>
      </c>
      <c r="B11" s="372"/>
      <c r="C11" s="372"/>
      <c r="D11" s="372"/>
      <c r="E11" s="372"/>
      <c r="F11" s="372"/>
      <c r="G11" s="372"/>
      <c r="H11" s="372"/>
      <c r="I11" s="372"/>
    </row>
    <row r="12" spans="1:11" s="59" customFormat="1" x14ac:dyDescent="0.25">
      <c r="A12" s="372" t="s">
        <v>10</v>
      </c>
      <c r="B12" s="372"/>
      <c r="C12" s="372"/>
      <c r="D12" s="372"/>
      <c r="E12" s="372"/>
      <c r="F12" s="372"/>
      <c r="G12" s="372"/>
      <c r="H12" s="372"/>
      <c r="I12" s="372"/>
    </row>
    <row r="13" spans="1:11" s="59" customFormat="1" ht="6" customHeight="1" thickBot="1" x14ac:dyDescent="0.3">
      <c r="A13" s="60"/>
      <c r="B13" s="60"/>
      <c r="C13" s="60"/>
      <c r="D13" s="38"/>
      <c r="E13" s="58"/>
      <c r="F13" s="58"/>
      <c r="G13" s="58"/>
      <c r="H13" s="54"/>
      <c r="I13" s="54"/>
    </row>
    <row r="14" spans="1:11" s="59" customFormat="1" ht="15.75" thickBot="1" x14ac:dyDescent="0.3">
      <c r="A14" s="55" t="s">
        <v>381</v>
      </c>
      <c r="B14" s="56"/>
      <c r="C14" s="56"/>
      <c r="D14" s="61"/>
      <c r="E14" s="62"/>
      <c r="F14" s="62"/>
      <c r="G14" s="129">
        <f>'[1]Рылеева 1дробь 12'!$G$38</f>
        <v>-81168.41339999999</v>
      </c>
      <c r="H14" s="54"/>
      <c r="I14" s="54"/>
    </row>
    <row r="15" spans="1:11" s="59" customFormat="1" ht="8.25" customHeight="1" x14ac:dyDescent="0.25"/>
    <row r="16" spans="1:11" s="66" customFormat="1" ht="38.25" x14ac:dyDescent="0.25">
      <c r="A16" s="64" t="s">
        <v>11</v>
      </c>
      <c r="B16" s="64" t="s">
        <v>12</v>
      </c>
      <c r="C16" s="64" t="s">
        <v>61</v>
      </c>
      <c r="D16" s="64" t="s">
        <v>432</v>
      </c>
      <c r="E16" s="64" t="s">
        <v>433</v>
      </c>
      <c r="F16" s="65" t="s">
        <v>434</v>
      </c>
      <c r="G16" s="64" t="s">
        <v>435</v>
      </c>
    </row>
    <row r="17" spans="1:13" s="59" customFormat="1" x14ac:dyDescent="0.25">
      <c r="A17" s="67" t="s">
        <v>14</v>
      </c>
      <c r="B17" s="39" t="s">
        <v>379</v>
      </c>
      <c r="C17" s="120">
        <v>23.85</v>
      </c>
      <c r="D17" s="68">
        <v>502683</v>
      </c>
      <c r="E17" s="68">
        <v>481078.2</v>
      </c>
      <c r="F17" s="68">
        <f>D17</f>
        <v>502683</v>
      </c>
      <c r="G17" s="69">
        <f>D17-E17</f>
        <v>21604.799999999988</v>
      </c>
      <c r="H17" s="130">
        <f>C17</f>
        <v>23.85</v>
      </c>
    </row>
    <row r="18" spans="1:13" s="59" customFormat="1" hidden="1" outlineLevel="1" x14ac:dyDescent="0.25">
      <c r="A18" s="73" t="s">
        <v>16</v>
      </c>
      <c r="B18" s="34" t="s">
        <v>17</v>
      </c>
      <c r="C18" s="89">
        <v>3.46</v>
      </c>
      <c r="D18" s="75">
        <f>D17*I18</f>
        <v>72925.919496855335</v>
      </c>
      <c r="E18" s="75">
        <f>E17*I18</f>
        <v>69791.638238993706</v>
      </c>
      <c r="F18" s="75">
        <f>D18</f>
        <v>72925.919496855335</v>
      </c>
      <c r="G18" s="76">
        <f>D18-E18</f>
        <v>3134.2812578616285</v>
      </c>
      <c r="H18" s="130">
        <f>C18</f>
        <v>3.46</v>
      </c>
      <c r="I18" s="59">
        <f>H18/H17</f>
        <v>0.14507337526205449</v>
      </c>
    </row>
    <row r="19" spans="1:13" s="59" customFormat="1" hidden="1" outlineLevel="1" x14ac:dyDescent="0.25">
      <c r="A19" s="73" t="s">
        <v>18</v>
      </c>
      <c r="B19" s="34" t="s">
        <v>19</v>
      </c>
      <c r="C19" s="89">
        <v>1.69</v>
      </c>
      <c r="D19" s="75">
        <f>D17*I19</f>
        <v>35619.885534591187</v>
      </c>
      <c r="E19" s="75">
        <f>E17*I19</f>
        <v>34088.979371069181</v>
      </c>
      <c r="F19" s="75">
        <f>D19</f>
        <v>35619.885534591187</v>
      </c>
      <c r="G19" s="76">
        <f>D19-E19</f>
        <v>1530.906163522006</v>
      </c>
      <c r="H19" s="130">
        <f>C19</f>
        <v>1.69</v>
      </c>
      <c r="I19" s="59">
        <f>H19/H17</f>
        <v>7.0859538784067075E-2</v>
      </c>
    </row>
    <row r="20" spans="1:13" s="59" customFormat="1" hidden="1" outlineLevel="1" x14ac:dyDescent="0.25">
      <c r="A20" s="73" t="s">
        <v>20</v>
      </c>
      <c r="B20" s="34" t="s">
        <v>21</v>
      </c>
      <c r="C20" s="89">
        <v>2.15</v>
      </c>
      <c r="D20" s="75">
        <f>D17*I20</f>
        <v>45315.238993710685</v>
      </c>
      <c r="E20" s="75">
        <f>E17*I20</f>
        <v>43367.63647798742</v>
      </c>
      <c r="F20" s="75">
        <f>D20</f>
        <v>45315.238993710685</v>
      </c>
      <c r="G20" s="76">
        <f>D20-E20</f>
        <v>1947.6025157232652</v>
      </c>
      <c r="H20" s="130">
        <f>C20</f>
        <v>2.15</v>
      </c>
      <c r="I20" s="59">
        <f>H20/H17</f>
        <v>9.0146750524109004E-2</v>
      </c>
    </row>
    <row r="21" spans="1:13" s="59" customFormat="1" hidden="1" outlineLevel="1" x14ac:dyDescent="0.25">
      <c r="A21" s="73" t="s">
        <v>22</v>
      </c>
      <c r="B21" s="34" t="s">
        <v>23</v>
      </c>
      <c r="C21" s="89">
        <v>3.04</v>
      </c>
      <c r="D21" s="75">
        <f>D17*I21</f>
        <v>64073.640251572324</v>
      </c>
      <c r="E21" s="75">
        <f>E17*I21</f>
        <v>61319.820880503139</v>
      </c>
      <c r="F21" s="75">
        <f>D21</f>
        <v>64073.640251572324</v>
      </c>
      <c r="G21" s="76">
        <f>D21-E21</f>
        <v>2753.8193710691849</v>
      </c>
      <c r="H21" s="130">
        <f>C21</f>
        <v>3.04</v>
      </c>
      <c r="I21" s="59">
        <f>H21/H17</f>
        <v>0.12746331236897274</v>
      </c>
    </row>
    <row r="22" spans="1:13" collapsed="1" x14ac:dyDescent="0.25">
      <c r="A22" s="39" t="s">
        <v>25</v>
      </c>
      <c r="B22" s="78" t="s">
        <v>145</v>
      </c>
      <c r="C22" s="357">
        <v>120</v>
      </c>
      <c r="D22" s="69">
        <v>0</v>
      </c>
      <c r="E22" s="69">
        <v>717.68</v>
      </c>
      <c r="F22" s="68">
        <f t="shared" ref="F22:F32" si="0">D22</f>
        <v>0</v>
      </c>
      <c r="G22" s="69">
        <f t="shared" ref="G22:G33" si="1">D22-E22</f>
        <v>-717.68</v>
      </c>
    </row>
    <row r="23" spans="1:13" x14ac:dyDescent="0.25">
      <c r="A23" s="39" t="s">
        <v>27</v>
      </c>
      <c r="B23" s="125" t="s">
        <v>28</v>
      </c>
      <c r="C23" s="126">
        <v>0</v>
      </c>
      <c r="D23" s="69">
        <v>0</v>
      </c>
      <c r="E23" s="69">
        <v>0</v>
      </c>
      <c r="F23" s="68">
        <f>D23</f>
        <v>0</v>
      </c>
      <c r="G23" s="69">
        <f t="shared" si="1"/>
        <v>0</v>
      </c>
    </row>
    <row r="24" spans="1:13" x14ac:dyDescent="0.25">
      <c r="A24" s="39" t="s">
        <v>29</v>
      </c>
      <c r="B24" s="125" t="s">
        <v>97</v>
      </c>
      <c r="C24" s="357">
        <v>0</v>
      </c>
      <c r="D24" s="69">
        <v>0</v>
      </c>
      <c r="E24" s="69">
        <v>0</v>
      </c>
      <c r="F24" s="68">
        <f t="shared" si="0"/>
        <v>0</v>
      </c>
      <c r="G24" s="69">
        <f t="shared" si="1"/>
        <v>0</v>
      </c>
    </row>
    <row r="25" spans="1:13" x14ac:dyDescent="0.25">
      <c r="A25" s="39" t="s">
        <v>31</v>
      </c>
      <c r="B25" s="125" t="s">
        <v>80</v>
      </c>
      <c r="C25" s="126">
        <v>2.36</v>
      </c>
      <c r="D25" s="69">
        <f>49741.2+D26</f>
        <v>50868.34</v>
      </c>
      <c r="E25" s="69">
        <f>47846.31+E26</f>
        <v>49537.009999999995</v>
      </c>
      <c r="F25" s="68">
        <f>F45</f>
        <v>42321.890099999997</v>
      </c>
      <c r="G25" s="69">
        <f t="shared" si="1"/>
        <v>1331.3300000000017</v>
      </c>
      <c r="M25" s="144"/>
    </row>
    <row r="26" spans="1:13" x14ac:dyDescent="0.25">
      <c r="A26" s="39"/>
      <c r="B26" s="292" t="s">
        <v>244</v>
      </c>
      <c r="C26" s="293"/>
      <c r="D26" s="294">
        <v>1127.1400000000001</v>
      </c>
      <c r="E26" s="294">
        <v>1690.7</v>
      </c>
      <c r="F26" s="294"/>
      <c r="G26" s="248">
        <v>0</v>
      </c>
      <c r="M26" s="144"/>
    </row>
    <row r="27" spans="1:13" x14ac:dyDescent="0.25">
      <c r="A27" s="39" t="s">
        <v>33</v>
      </c>
      <c r="B27" s="119" t="s">
        <v>34</v>
      </c>
      <c r="C27" s="120">
        <v>0</v>
      </c>
      <c r="D27" s="69">
        <v>0</v>
      </c>
      <c r="E27" s="69">
        <v>0</v>
      </c>
      <c r="F27" s="68">
        <f>D27</f>
        <v>0</v>
      </c>
      <c r="G27" s="69">
        <f t="shared" si="1"/>
        <v>0</v>
      </c>
    </row>
    <row r="28" spans="1:13" x14ac:dyDescent="0.25">
      <c r="A28" s="39" t="s">
        <v>35</v>
      </c>
      <c r="B28" s="119" t="s">
        <v>36</v>
      </c>
      <c r="C28" s="120"/>
      <c r="D28" s="69">
        <f>SUM(D29:D32)</f>
        <v>1438329.73</v>
      </c>
      <c r="E28" s="69">
        <f>SUM(E29:E32)</f>
        <v>1379166.1099999999</v>
      </c>
      <c r="F28" s="68">
        <f t="shared" si="0"/>
        <v>1438329.73</v>
      </c>
      <c r="G28" s="69">
        <f t="shared" si="1"/>
        <v>59163.620000000112</v>
      </c>
    </row>
    <row r="29" spans="1:13" x14ac:dyDescent="0.25">
      <c r="A29" s="34" t="s">
        <v>37</v>
      </c>
      <c r="B29" s="34" t="s">
        <v>101</v>
      </c>
      <c r="C29" s="89">
        <v>7.36</v>
      </c>
      <c r="D29" s="76">
        <v>21818.82</v>
      </c>
      <c r="E29" s="76">
        <v>20509.419999999998</v>
      </c>
      <c r="F29" s="75">
        <f>D29</f>
        <v>21818.82</v>
      </c>
      <c r="G29" s="76">
        <f t="shared" si="1"/>
        <v>1309.4000000000015</v>
      </c>
    </row>
    <row r="30" spans="1:13" x14ac:dyDescent="0.25">
      <c r="A30" s="34" t="s">
        <v>39</v>
      </c>
      <c r="B30" s="34" t="s">
        <v>84</v>
      </c>
      <c r="C30" s="89">
        <v>88.38</v>
      </c>
      <c r="D30" s="76">
        <v>214787.98</v>
      </c>
      <c r="E30" s="76">
        <v>200458.28</v>
      </c>
      <c r="F30" s="75">
        <f t="shared" si="0"/>
        <v>214787.98</v>
      </c>
      <c r="G30" s="76">
        <f t="shared" si="1"/>
        <v>14329.700000000012</v>
      </c>
    </row>
    <row r="31" spans="1:13" x14ac:dyDescent="0.25">
      <c r="A31" s="34" t="s">
        <v>42</v>
      </c>
      <c r="B31" s="34" t="s">
        <v>40</v>
      </c>
      <c r="C31" s="128">
        <v>278.94</v>
      </c>
      <c r="D31" s="76">
        <v>288215.73</v>
      </c>
      <c r="E31" s="76">
        <v>281730.56</v>
      </c>
      <c r="F31" s="75">
        <f t="shared" si="0"/>
        <v>288215.73</v>
      </c>
      <c r="G31" s="76">
        <f t="shared" si="1"/>
        <v>6485.1699999999837</v>
      </c>
    </row>
    <row r="32" spans="1:13" x14ac:dyDescent="0.25">
      <c r="A32" s="34" t="s">
        <v>41</v>
      </c>
      <c r="B32" s="34" t="s">
        <v>43</v>
      </c>
      <c r="C32" s="89">
        <v>3352.42</v>
      </c>
      <c r="D32" s="76">
        <v>913507.2</v>
      </c>
      <c r="E32" s="76">
        <v>876467.85</v>
      </c>
      <c r="F32" s="75">
        <f t="shared" si="0"/>
        <v>913507.2</v>
      </c>
      <c r="G32" s="76">
        <f t="shared" si="1"/>
        <v>37039.349999999977</v>
      </c>
      <c r="H32" s="91"/>
      <c r="I32" s="91"/>
    </row>
    <row r="33" spans="1:10" hidden="1" outlineLevel="1" x14ac:dyDescent="0.25">
      <c r="A33" s="174" t="s">
        <v>130</v>
      </c>
      <c r="B33" s="257" t="s">
        <v>133</v>
      </c>
      <c r="C33" s="298"/>
      <c r="D33" s="248">
        <v>1000</v>
      </c>
      <c r="E33" s="248">
        <v>0</v>
      </c>
      <c r="F33" s="296"/>
      <c r="G33" s="248">
        <f t="shared" si="1"/>
        <v>1000</v>
      </c>
      <c r="H33" s="91"/>
      <c r="I33" s="91"/>
    </row>
    <row r="34" spans="1:10" hidden="1" outlineLevel="1" x14ac:dyDescent="0.25">
      <c r="A34" s="174"/>
      <c r="B34" s="295"/>
      <c r="C34" s="376" t="s">
        <v>246</v>
      </c>
      <c r="D34" s="377"/>
      <c r="E34" s="377"/>
      <c r="F34" s="377"/>
      <c r="G34" s="82">
        <f>E33-(E33*15%)</f>
        <v>0</v>
      </c>
      <c r="H34" s="91"/>
      <c r="I34" s="91"/>
    </row>
    <row r="35" spans="1:10" ht="15.75" customHeight="1" collapsed="1" thickBot="1" x14ac:dyDescent="0.3">
      <c r="A35" s="373"/>
      <c r="B35" s="374"/>
      <c r="C35" s="374"/>
      <c r="D35" s="375"/>
      <c r="E35" s="375"/>
      <c r="F35" s="375"/>
      <c r="G35" s="155"/>
      <c r="H35" s="91"/>
      <c r="I35" s="91"/>
    </row>
    <row r="36" spans="1:10" s="92" customFormat="1" ht="14.25" thickBot="1" x14ac:dyDescent="0.3">
      <c r="A36" s="387" t="s">
        <v>427</v>
      </c>
      <c r="B36" s="388"/>
      <c r="C36" s="388"/>
      <c r="D36" s="57">
        <v>81382.070000000007</v>
      </c>
      <c r="E36" s="58"/>
      <c r="F36" s="58"/>
      <c r="G36" s="58"/>
      <c r="H36" s="54"/>
      <c r="I36" s="54"/>
      <c r="J36" s="91"/>
    </row>
    <row r="37" spans="1:10" s="59" customFormat="1" ht="15.75" thickBot="1" x14ac:dyDescent="0.3">
      <c r="A37" s="60"/>
      <c r="B37" s="60"/>
      <c r="C37" s="60"/>
      <c r="D37" s="38"/>
      <c r="E37" s="58"/>
      <c r="F37" s="58"/>
      <c r="G37" s="58"/>
      <c r="H37" s="54"/>
      <c r="I37" s="54"/>
    </row>
    <row r="38" spans="1:10" s="59" customFormat="1" ht="15.75" thickBot="1" x14ac:dyDescent="0.3">
      <c r="A38" s="55" t="s">
        <v>428</v>
      </c>
      <c r="B38" s="56"/>
      <c r="C38" s="56"/>
      <c r="D38" s="61"/>
      <c r="E38" s="62"/>
      <c r="F38" s="62"/>
      <c r="G38" s="129">
        <f>G14+E25-F25</f>
        <v>-73953.2935</v>
      </c>
      <c r="H38" s="54"/>
      <c r="I38" s="54"/>
    </row>
    <row r="39" spans="1:10" s="59" customFormat="1" x14ac:dyDescent="0.25">
      <c r="A39" s="392" t="s">
        <v>90</v>
      </c>
      <c r="B39" s="392"/>
      <c r="C39" s="60"/>
      <c r="D39" s="38"/>
      <c r="E39" s="58"/>
      <c r="F39" s="58"/>
      <c r="G39" s="38"/>
      <c r="H39" s="54"/>
      <c r="I39" s="54"/>
    </row>
    <row r="40" spans="1:10" s="59" customFormat="1" x14ac:dyDescent="0.25">
      <c r="A40" s="393" t="s">
        <v>91</v>
      </c>
      <c r="B40" s="394"/>
      <c r="C40" s="41" t="s">
        <v>92</v>
      </c>
      <c r="D40" s="41" t="s">
        <v>93</v>
      </c>
      <c r="E40" s="42" t="s">
        <v>94</v>
      </c>
      <c r="F40" s="40" t="s">
        <v>95</v>
      </c>
      <c r="G40" s="42" t="s">
        <v>96</v>
      </c>
      <c r="H40" s="54"/>
      <c r="I40" s="54"/>
    </row>
    <row r="41" spans="1:10" s="59" customFormat="1" x14ac:dyDescent="0.25">
      <c r="A41" s="395"/>
      <c r="B41" s="396"/>
      <c r="C41" s="110">
        <v>39.799999999999997</v>
      </c>
      <c r="D41" s="138">
        <f>E41/C41/12</f>
        <v>26.210050251256281</v>
      </c>
      <c r="E41" s="73">
        <v>12517.92</v>
      </c>
      <c r="F41" s="75">
        <v>16753.05</v>
      </c>
      <c r="G41" s="138">
        <f>E41-F41</f>
        <v>-4235.1299999999992</v>
      </c>
      <c r="H41" s="337">
        <f>C17+C25</f>
        <v>26.21</v>
      </c>
      <c r="I41" s="177">
        <f>H41*C41*3</f>
        <v>3129.4739999999997</v>
      </c>
    </row>
    <row r="42" spans="1:10" s="59" customFormat="1" ht="24" customHeight="1" x14ac:dyDescent="0.25">
      <c r="A42" s="485" t="s">
        <v>44</v>
      </c>
      <c r="B42" s="485"/>
      <c r="C42" s="485"/>
      <c r="D42" s="485"/>
      <c r="E42" s="485"/>
      <c r="F42" s="485"/>
      <c r="G42" s="485"/>
      <c r="H42" s="489"/>
      <c r="I42" s="489"/>
    </row>
    <row r="44" spans="1:10" ht="28.5" x14ac:dyDescent="0.25">
      <c r="A44" s="94" t="s">
        <v>11</v>
      </c>
      <c r="B44" s="416" t="s">
        <v>45</v>
      </c>
      <c r="C44" s="425"/>
      <c r="D44" s="94" t="s">
        <v>99</v>
      </c>
      <c r="E44" s="94" t="s">
        <v>98</v>
      </c>
      <c r="F44" s="416" t="s">
        <v>46</v>
      </c>
      <c r="G44" s="425"/>
      <c r="H44" s="156"/>
      <c r="I44" s="156"/>
    </row>
    <row r="45" spans="1:10" s="156" customFormat="1" x14ac:dyDescent="0.25">
      <c r="A45" s="98" t="s">
        <v>47</v>
      </c>
      <c r="B45" s="418" t="s">
        <v>75</v>
      </c>
      <c r="C45" s="430"/>
      <c r="D45" s="99"/>
      <c r="E45" s="99"/>
      <c r="F45" s="436">
        <f>SUM(F46:G49)</f>
        <v>42321.890099999997</v>
      </c>
      <c r="G45" s="424"/>
      <c r="H45" s="103"/>
      <c r="I45" s="103"/>
    </row>
    <row r="46" spans="1:10" s="156" customFormat="1" x14ac:dyDescent="0.25">
      <c r="A46" s="34" t="s">
        <v>16</v>
      </c>
      <c r="B46" s="479" t="s">
        <v>482</v>
      </c>
      <c r="C46" s="480"/>
      <c r="D46" s="349" t="s">
        <v>100</v>
      </c>
      <c r="E46" s="349">
        <v>4</v>
      </c>
      <c r="F46" s="496">
        <v>41826.519999999997</v>
      </c>
      <c r="G46" s="496"/>
      <c r="H46" s="103"/>
      <c r="I46" s="103"/>
    </row>
    <row r="47" spans="1:10" s="156" customFormat="1" x14ac:dyDescent="0.25">
      <c r="A47" s="34" t="s">
        <v>18</v>
      </c>
      <c r="B47" s="412"/>
      <c r="C47" s="428"/>
      <c r="D47" s="258"/>
      <c r="E47" s="258"/>
      <c r="F47" s="463"/>
      <c r="G47" s="463"/>
      <c r="H47" s="103"/>
      <c r="I47" s="103"/>
    </row>
    <row r="48" spans="1:10" s="156" customFormat="1" x14ac:dyDescent="0.25">
      <c r="A48" s="34" t="s">
        <v>20</v>
      </c>
      <c r="B48" s="487"/>
      <c r="C48" s="495"/>
      <c r="D48" s="258"/>
      <c r="E48" s="258"/>
      <c r="F48" s="463"/>
      <c r="G48" s="463"/>
      <c r="H48" s="103"/>
      <c r="I48" s="103"/>
    </row>
    <row r="49" spans="1:9" ht="12.75" customHeight="1" x14ac:dyDescent="0.25">
      <c r="A49" s="34" t="s">
        <v>22</v>
      </c>
      <c r="B49" s="133" t="s">
        <v>108</v>
      </c>
      <c r="C49" s="134"/>
      <c r="D49" s="105"/>
      <c r="E49" s="105"/>
      <c r="F49" s="435">
        <f>E25*1%</f>
        <v>495.37009999999998</v>
      </c>
      <c r="G49" s="435"/>
    </row>
    <row r="50" spans="1:9" ht="12.75" customHeight="1" x14ac:dyDescent="0.25">
      <c r="A50" s="59"/>
      <c r="B50" s="59"/>
      <c r="C50" s="59"/>
      <c r="D50" s="59"/>
      <c r="E50" s="59"/>
      <c r="F50" s="59"/>
      <c r="G50" s="59"/>
      <c r="H50" s="59"/>
      <c r="I50" s="59"/>
    </row>
    <row r="51" spans="1:9" ht="12.75" customHeight="1" x14ac:dyDescent="0.25">
      <c r="A51" s="51" t="s">
        <v>372</v>
      </c>
      <c r="B51" s="59"/>
      <c r="C51" s="59" t="s">
        <v>49</v>
      </c>
      <c r="D51" s="59"/>
      <c r="E51" s="59"/>
      <c r="F51" s="59" t="s">
        <v>60</v>
      </c>
      <c r="G51" s="59"/>
      <c r="H51" s="59"/>
      <c r="I51" s="59"/>
    </row>
    <row r="52" spans="1:9" ht="12.75" customHeight="1" x14ac:dyDescent="0.25">
      <c r="A52" s="59"/>
      <c r="B52" s="59"/>
      <c r="C52" s="59"/>
      <c r="D52" s="59"/>
      <c r="E52" s="59"/>
      <c r="F52" s="111" t="s">
        <v>438</v>
      </c>
      <c r="G52" s="59"/>
      <c r="H52" s="59"/>
      <c r="I52" s="59"/>
    </row>
    <row r="53" spans="1:9" ht="12.75" customHeight="1" x14ac:dyDescent="0.25">
      <c r="A53" s="59" t="s">
        <v>50</v>
      </c>
      <c r="B53" s="59"/>
      <c r="C53" s="59"/>
      <c r="D53" s="59"/>
      <c r="E53" s="59"/>
      <c r="F53" s="59"/>
      <c r="G53" s="59"/>
      <c r="H53" s="59"/>
      <c r="I53" s="59"/>
    </row>
    <row r="54" spans="1:9" ht="12.75" customHeight="1" x14ac:dyDescent="0.25">
      <c r="A54" s="59"/>
      <c r="B54" s="59"/>
      <c r="C54" s="113" t="s">
        <v>51</v>
      </c>
      <c r="D54" s="59"/>
      <c r="E54" s="113"/>
      <c r="F54" s="113"/>
      <c r="G54" s="113"/>
      <c r="H54" s="59"/>
      <c r="I54" s="59"/>
    </row>
    <row r="55" spans="1:9" x14ac:dyDescent="0.25">
      <c r="A55" s="59"/>
      <c r="B55" s="59"/>
      <c r="C55" s="59"/>
      <c r="D55" s="59"/>
      <c r="E55" s="59"/>
      <c r="F55" s="59"/>
      <c r="G55" s="59"/>
      <c r="H55" s="59"/>
      <c r="I55" s="59"/>
    </row>
    <row r="56" spans="1:9" s="59" customFormat="1" x14ac:dyDescent="0.25"/>
    <row r="57" spans="1:9" s="59" customFormat="1" ht="13.5" customHeight="1" x14ac:dyDescent="0.25">
      <c r="A57" s="35"/>
      <c r="B57" s="139"/>
      <c r="C57" s="139"/>
      <c r="D57" s="139"/>
      <c r="E57" s="139"/>
      <c r="F57" s="35"/>
      <c r="G57" s="35"/>
    </row>
  </sheetData>
  <mergeCells count="24">
    <mergeCell ref="A40:B41"/>
    <mergeCell ref="A1:I1"/>
    <mergeCell ref="A5:I5"/>
    <mergeCell ref="A10:I10"/>
    <mergeCell ref="A3:K3"/>
    <mergeCell ref="A11:I11"/>
    <mergeCell ref="A2:K2"/>
    <mergeCell ref="F49:G49"/>
    <mergeCell ref="A12:I12"/>
    <mergeCell ref="F45:G45"/>
    <mergeCell ref="A36:C36"/>
    <mergeCell ref="F46:G46"/>
    <mergeCell ref="A35:F35"/>
    <mergeCell ref="F47:G47"/>
    <mergeCell ref="B46:C46"/>
    <mergeCell ref="C34:F34"/>
    <mergeCell ref="A39:B39"/>
    <mergeCell ref="F44:G44"/>
    <mergeCell ref="A42:I42"/>
    <mergeCell ref="B44:C44"/>
    <mergeCell ref="B47:C47"/>
    <mergeCell ref="B48:C48"/>
    <mergeCell ref="B45:C45"/>
    <mergeCell ref="F48:G48"/>
  </mergeCells>
  <phoneticPr fontId="14" type="noConversion"/>
  <pageMargins left="0" right="0" top="0" bottom="0" header="0.31496062992125984" footer="0.31496062992125984"/>
  <pageSetup paperSize="9" scale="96" orientation="portrait" verticalDpi="0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D04AC7-D9FD-462F-B448-A0E2BC5774DF}">
  <sheetPr>
    <tabColor rgb="FF7030A0"/>
  </sheetPr>
  <dimension ref="A1:M52"/>
  <sheetViews>
    <sheetView topLeftCell="A22" zoomScaleNormal="100" workbookViewId="0">
      <selection activeCell="A53" sqref="A53:IV54"/>
    </sheetView>
  </sheetViews>
  <sheetFormatPr defaultRowHeight="15" outlineLevelRow="1" outlineLevelCol="1" x14ac:dyDescent="0.25"/>
  <cols>
    <col min="1" max="1" width="4.7109375" style="35" customWidth="1"/>
    <col min="2" max="2" width="46.85546875" style="35" customWidth="1"/>
    <col min="3" max="3" width="13" style="35" customWidth="1"/>
    <col min="4" max="4" width="13.42578125" style="35" customWidth="1"/>
    <col min="5" max="5" width="14" style="35" customWidth="1"/>
    <col min="6" max="6" width="12.7109375" style="35" customWidth="1"/>
    <col min="7" max="7" width="13.42578125" style="35" customWidth="1"/>
    <col min="8" max="8" width="10.85546875" style="35" hidden="1" customWidth="1" outlineLevel="1"/>
    <col min="9" max="9" width="13.42578125" style="35" hidden="1" customWidth="1" outlineLevel="1"/>
    <col min="10" max="12" width="9.140625" style="35" hidden="1" customWidth="1" outlineLevel="1"/>
    <col min="13" max="13" width="9.140625" style="35" collapsed="1"/>
    <col min="14" max="16384" width="9.140625" style="35"/>
  </cols>
  <sheetData>
    <row r="1" spans="1:11" x14ac:dyDescent="0.25">
      <c r="A1" s="397" t="s">
        <v>0</v>
      </c>
      <c r="B1" s="397"/>
      <c r="C1" s="397"/>
      <c r="D1" s="397"/>
      <c r="E1" s="397"/>
      <c r="F1" s="397"/>
      <c r="G1" s="397"/>
      <c r="H1" s="397"/>
      <c r="I1" s="397"/>
    </row>
    <row r="2" spans="1:11" ht="15" customHeight="1" x14ac:dyDescent="0.25">
      <c r="A2" s="370" t="s">
        <v>152</v>
      </c>
      <c r="B2" s="370"/>
      <c r="C2" s="370"/>
      <c r="D2" s="370"/>
      <c r="E2" s="370"/>
      <c r="F2" s="370"/>
      <c r="G2" s="370"/>
      <c r="H2" s="370"/>
      <c r="I2" s="370"/>
      <c r="J2" s="370"/>
      <c r="K2" s="370"/>
    </row>
    <row r="3" spans="1:11" ht="15" customHeight="1" x14ac:dyDescent="0.25">
      <c r="A3" s="370" t="s">
        <v>426</v>
      </c>
      <c r="B3" s="370"/>
      <c r="C3" s="370"/>
      <c r="D3" s="370"/>
      <c r="E3" s="370"/>
      <c r="F3" s="370"/>
      <c r="G3" s="370"/>
      <c r="H3" s="370"/>
      <c r="I3" s="370"/>
      <c r="J3" s="370"/>
      <c r="K3" s="370"/>
    </row>
    <row r="4" spans="1:11" ht="7.5" customHeight="1" x14ac:dyDescent="0.25">
      <c r="A4" s="142"/>
      <c r="B4" s="142"/>
      <c r="C4" s="142"/>
      <c r="D4" s="142"/>
      <c r="E4" s="142"/>
      <c r="F4" s="142"/>
      <c r="G4" s="142"/>
      <c r="H4" s="142"/>
      <c r="I4" s="142"/>
    </row>
    <row r="5" spans="1:11" ht="15.75" customHeight="1" x14ac:dyDescent="0.25">
      <c r="A5" s="398" t="s">
        <v>1</v>
      </c>
      <c r="B5" s="397"/>
      <c r="C5" s="397"/>
      <c r="D5" s="397"/>
      <c r="E5" s="397"/>
      <c r="F5" s="397"/>
      <c r="G5" s="397"/>
      <c r="H5" s="397"/>
      <c r="I5" s="397"/>
    </row>
    <row r="6" spans="1:11" ht="4.5" customHeight="1" x14ac:dyDescent="0.25"/>
    <row r="7" spans="1:11" s="59" customFormat="1" ht="16.5" customHeight="1" x14ac:dyDescent="0.25">
      <c r="A7" s="59" t="s">
        <v>2</v>
      </c>
      <c r="F7" s="111" t="s">
        <v>201</v>
      </c>
    </row>
    <row r="8" spans="1:11" s="59" customFormat="1" x14ac:dyDescent="0.25">
      <c r="A8" s="59" t="s">
        <v>3</v>
      </c>
      <c r="F8" s="239" t="s">
        <v>202</v>
      </c>
    </row>
    <row r="9" spans="1:11" s="59" customFormat="1" ht="7.5" customHeight="1" x14ac:dyDescent="0.25"/>
    <row r="10" spans="1:11" s="59" customFormat="1" x14ac:dyDescent="0.25">
      <c r="A10" s="372" t="s">
        <v>8</v>
      </c>
      <c r="B10" s="372"/>
      <c r="C10" s="372"/>
      <c r="D10" s="372"/>
      <c r="E10" s="372"/>
      <c r="F10" s="372"/>
      <c r="G10" s="372"/>
      <c r="H10" s="372"/>
      <c r="I10" s="372"/>
    </row>
    <row r="11" spans="1:11" s="59" customFormat="1" x14ac:dyDescent="0.25">
      <c r="A11" s="372" t="s">
        <v>9</v>
      </c>
      <c r="B11" s="372"/>
      <c r="C11" s="372"/>
      <c r="D11" s="372"/>
      <c r="E11" s="372"/>
      <c r="F11" s="372"/>
      <c r="G11" s="372"/>
      <c r="H11" s="372"/>
      <c r="I11" s="372"/>
    </row>
    <row r="12" spans="1:11" s="59" customFormat="1" x14ac:dyDescent="0.25">
      <c r="A12" s="372" t="s">
        <v>10</v>
      </c>
      <c r="B12" s="372"/>
      <c r="C12" s="372"/>
      <c r="D12" s="372"/>
      <c r="E12" s="372"/>
      <c r="F12" s="372"/>
      <c r="G12" s="372"/>
      <c r="H12" s="372"/>
      <c r="I12" s="372"/>
    </row>
    <row r="13" spans="1:11" s="59" customFormat="1" ht="6" customHeight="1" thickBot="1" x14ac:dyDescent="0.3">
      <c r="A13" s="60"/>
      <c r="B13" s="60"/>
      <c r="C13" s="60"/>
      <c r="D13" s="38"/>
      <c r="E13" s="58"/>
      <c r="F13" s="58"/>
      <c r="G13" s="58"/>
      <c r="H13" s="54"/>
      <c r="I13" s="54"/>
    </row>
    <row r="14" spans="1:11" s="59" customFormat="1" ht="15.75" thickBot="1" x14ac:dyDescent="0.3">
      <c r="A14" s="55" t="s">
        <v>381</v>
      </c>
      <c r="B14" s="56"/>
      <c r="C14" s="56"/>
      <c r="D14" s="61"/>
      <c r="E14" s="62"/>
      <c r="F14" s="62"/>
      <c r="G14" s="129">
        <f>'[1]Рылеева 18б'!$G$35</f>
        <v>-17048.4159</v>
      </c>
      <c r="H14" s="54"/>
      <c r="I14" s="54"/>
    </row>
    <row r="15" spans="1:11" s="59" customFormat="1" ht="8.25" customHeight="1" x14ac:dyDescent="0.25"/>
    <row r="16" spans="1:11" s="66" customFormat="1" ht="52.5" customHeight="1" x14ac:dyDescent="0.25">
      <c r="A16" s="64" t="s">
        <v>11</v>
      </c>
      <c r="B16" s="64" t="s">
        <v>12</v>
      </c>
      <c r="C16" s="64" t="s">
        <v>61</v>
      </c>
      <c r="D16" s="64" t="s">
        <v>432</v>
      </c>
      <c r="E16" s="64" t="s">
        <v>433</v>
      </c>
      <c r="F16" s="65" t="s">
        <v>434</v>
      </c>
      <c r="G16" s="64" t="s">
        <v>435</v>
      </c>
    </row>
    <row r="17" spans="1:9" s="59" customFormat="1" ht="30.75" customHeight="1" x14ac:dyDescent="0.25">
      <c r="A17" s="67" t="s">
        <v>14</v>
      </c>
      <c r="B17" s="39" t="s">
        <v>379</v>
      </c>
      <c r="C17" s="120">
        <v>20.66</v>
      </c>
      <c r="D17" s="68">
        <v>127620.36</v>
      </c>
      <c r="E17" s="68">
        <v>118443.24</v>
      </c>
      <c r="F17" s="68">
        <f t="shared" ref="F17:F24" si="0">D17</f>
        <v>127620.36</v>
      </c>
      <c r="G17" s="69">
        <f>D17-E17</f>
        <v>9177.1199999999953</v>
      </c>
      <c r="H17" s="130">
        <f>C17</f>
        <v>20.66</v>
      </c>
    </row>
    <row r="18" spans="1:9" s="59" customFormat="1" hidden="1" outlineLevel="1" x14ac:dyDescent="0.25">
      <c r="A18" s="73" t="s">
        <v>16</v>
      </c>
      <c r="B18" s="34" t="s">
        <v>17</v>
      </c>
      <c r="C18" s="89">
        <v>3.46</v>
      </c>
      <c r="D18" s="75">
        <f>D17*I18</f>
        <v>21373.012855759924</v>
      </c>
      <c r="E18" s="75">
        <f>E17*I18</f>
        <v>19836.089564375608</v>
      </c>
      <c r="F18" s="75">
        <f t="shared" si="0"/>
        <v>21373.012855759924</v>
      </c>
      <c r="G18" s="76">
        <f>D18-E18</f>
        <v>1536.9232913843152</v>
      </c>
      <c r="H18" s="130">
        <f>C18</f>
        <v>3.46</v>
      </c>
      <c r="I18" s="59">
        <f>H18/H17</f>
        <v>0.16747337850919652</v>
      </c>
    </row>
    <row r="19" spans="1:9" s="59" customFormat="1" hidden="1" outlineLevel="1" x14ac:dyDescent="0.25">
      <c r="A19" s="73" t="s">
        <v>18</v>
      </c>
      <c r="B19" s="34" t="s">
        <v>19</v>
      </c>
      <c r="C19" s="89">
        <v>1.69</v>
      </c>
      <c r="D19" s="75">
        <f>D17*I19</f>
        <v>10439.419574056146</v>
      </c>
      <c r="E19" s="75">
        <f>E17*I19</f>
        <v>9688.7258276863504</v>
      </c>
      <c r="F19" s="75">
        <f t="shared" si="0"/>
        <v>10439.419574056146</v>
      </c>
      <c r="G19" s="76">
        <f>D19-E19</f>
        <v>750.69374636979592</v>
      </c>
      <c r="H19" s="130">
        <f>C19</f>
        <v>1.69</v>
      </c>
      <c r="I19" s="59">
        <f>H19/H17</f>
        <v>8.1800580832526615E-2</v>
      </c>
    </row>
    <row r="20" spans="1:9" s="59" customFormat="1" hidden="1" outlineLevel="1" x14ac:dyDescent="0.25">
      <c r="A20" s="73" t="s">
        <v>20</v>
      </c>
      <c r="B20" s="34" t="s">
        <v>21</v>
      </c>
      <c r="C20" s="89">
        <v>1.69</v>
      </c>
      <c r="D20" s="75">
        <f>D17*I20</f>
        <v>10439.419574056146</v>
      </c>
      <c r="E20" s="75">
        <f>E17*I20</f>
        <v>9688.7258276863504</v>
      </c>
      <c r="F20" s="75">
        <f t="shared" si="0"/>
        <v>10439.419574056146</v>
      </c>
      <c r="G20" s="76">
        <f>D20-E20</f>
        <v>750.69374636979592</v>
      </c>
      <c r="H20" s="130">
        <f>C20</f>
        <v>1.69</v>
      </c>
      <c r="I20" s="59">
        <f>H20/H17</f>
        <v>8.1800580832526615E-2</v>
      </c>
    </row>
    <row r="21" spans="1:9" s="59" customFormat="1" hidden="1" outlineLevel="1" x14ac:dyDescent="0.25">
      <c r="A21" s="73" t="s">
        <v>22</v>
      </c>
      <c r="B21" s="34" t="s">
        <v>23</v>
      </c>
      <c r="C21" s="89">
        <v>3.04</v>
      </c>
      <c r="D21" s="75">
        <f>D17*I21</f>
        <v>18778.600890609876</v>
      </c>
      <c r="E21" s="75">
        <f>E17*I21</f>
        <v>17428.240542110358</v>
      </c>
      <c r="F21" s="75">
        <f t="shared" si="0"/>
        <v>18778.600890609876</v>
      </c>
      <c r="G21" s="76">
        <f>D21-E21</f>
        <v>1350.3603484995183</v>
      </c>
      <c r="H21" s="130">
        <f>C21</f>
        <v>3.04</v>
      </c>
      <c r="I21" s="59">
        <f>H21/H17</f>
        <v>0.14714424007744434</v>
      </c>
    </row>
    <row r="22" spans="1:9" collapsed="1" x14ac:dyDescent="0.25">
      <c r="A22" s="39" t="s">
        <v>25</v>
      </c>
      <c r="B22" s="78" t="s">
        <v>145</v>
      </c>
      <c r="C22" s="87">
        <v>0</v>
      </c>
      <c r="D22" s="69">
        <v>0</v>
      </c>
      <c r="E22" s="69">
        <v>0</v>
      </c>
      <c r="F22" s="69">
        <f t="shared" si="0"/>
        <v>0</v>
      </c>
      <c r="G22" s="69">
        <f t="shared" ref="G22:G31" si="1">D22-E22</f>
        <v>0</v>
      </c>
      <c r="H22" s="35">
        <f>40*130</f>
        <v>5200</v>
      </c>
      <c r="I22" s="35">
        <f>D22/H22</f>
        <v>0</v>
      </c>
    </row>
    <row r="23" spans="1:9" x14ac:dyDescent="0.25">
      <c r="A23" s="39" t="s">
        <v>27</v>
      </c>
      <c r="B23" s="125" t="s">
        <v>28</v>
      </c>
      <c r="C23" s="87">
        <v>0</v>
      </c>
      <c r="D23" s="69">
        <v>0</v>
      </c>
      <c r="E23" s="69">
        <v>0</v>
      </c>
      <c r="F23" s="69">
        <f t="shared" si="0"/>
        <v>0</v>
      </c>
      <c r="G23" s="69">
        <f t="shared" si="1"/>
        <v>0</v>
      </c>
    </row>
    <row r="24" spans="1:9" x14ac:dyDescent="0.25">
      <c r="A24" s="39" t="s">
        <v>29</v>
      </c>
      <c r="B24" s="125" t="s">
        <v>97</v>
      </c>
      <c r="C24" s="357">
        <v>0</v>
      </c>
      <c r="D24" s="69">
        <v>0</v>
      </c>
      <c r="E24" s="69">
        <v>0</v>
      </c>
      <c r="F24" s="69">
        <f t="shared" si="0"/>
        <v>0</v>
      </c>
      <c r="G24" s="69">
        <f t="shared" si="1"/>
        <v>0</v>
      </c>
    </row>
    <row r="25" spans="1:9" x14ac:dyDescent="0.25">
      <c r="A25" s="39" t="s">
        <v>31</v>
      </c>
      <c r="B25" s="125" t="s">
        <v>80</v>
      </c>
      <c r="C25" s="87">
        <v>2.04</v>
      </c>
      <c r="D25" s="69">
        <v>13774.92</v>
      </c>
      <c r="E25" s="69">
        <v>12799.82</v>
      </c>
      <c r="F25" s="79">
        <f>F40</f>
        <v>127.9982</v>
      </c>
      <c r="G25" s="69">
        <f t="shared" si="1"/>
        <v>975.10000000000036</v>
      </c>
    </row>
    <row r="26" spans="1:9" x14ac:dyDescent="0.25">
      <c r="A26" s="39" t="s">
        <v>33</v>
      </c>
      <c r="B26" s="119" t="s">
        <v>34</v>
      </c>
      <c r="C26" s="43">
        <v>0</v>
      </c>
      <c r="D26" s="69">
        <v>0</v>
      </c>
      <c r="E26" s="69">
        <v>0</v>
      </c>
      <c r="F26" s="79">
        <v>0</v>
      </c>
      <c r="G26" s="69">
        <f t="shared" si="1"/>
        <v>0</v>
      </c>
    </row>
    <row r="27" spans="1:9" x14ac:dyDescent="0.25">
      <c r="A27" s="39" t="s">
        <v>35</v>
      </c>
      <c r="B27" s="119" t="s">
        <v>36</v>
      </c>
      <c r="C27" s="87"/>
      <c r="D27" s="69">
        <f>SUM(D28:D31)</f>
        <v>113729.82</v>
      </c>
      <c r="E27" s="69">
        <f>SUM(E28:E31)</f>
        <v>103861.42</v>
      </c>
      <c r="F27" s="69">
        <f>SUM(F28:F31)</f>
        <v>113729.82</v>
      </c>
      <c r="G27" s="69">
        <f t="shared" si="1"/>
        <v>9868.4000000000087</v>
      </c>
    </row>
    <row r="28" spans="1:9" x14ac:dyDescent="0.25">
      <c r="A28" s="34" t="s">
        <v>37</v>
      </c>
      <c r="B28" s="34" t="s">
        <v>101</v>
      </c>
      <c r="C28" s="89">
        <v>7.36</v>
      </c>
      <c r="D28" s="76">
        <v>16671</v>
      </c>
      <c r="E28" s="76">
        <v>15497.03</v>
      </c>
      <c r="F28" s="76">
        <f>D28</f>
        <v>16671</v>
      </c>
      <c r="G28" s="76">
        <f t="shared" si="1"/>
        <v>1173.9699999999993</v>
      </c>
    </row>
    <row r="29" spans="1:9" x14ac:dyDescent="0.25">
      <c r="A29" s="34" t="s">
        <v>39</v>
      </c>
      <c r="B29" s="34" t="s">
        <v>84</v>
      </c>
      <c r="C29" s="89">
        <v>88.38</v>
      </c>
      <c r="D29" s="76">
        <v>97058.82</v>
      </c>
      <c r="E29" s="76">
        <v>88364.39</v>
      </c>
      <c r="F29" s="76">
        <f>D29</f>
        <v>97058.82</v>
      </c>
      <c r="G29" s="76">
        <f t="shared" si="1"/>
        <v>8694.4300000000076</v>
      </c>
    </row>
    <row r="30" spans="1:9" x14ac:dyDescent="0.25">
      <c r="A30" s="34" t="s">
        <v>42</v>
      </c>
      <c r="B30" s="34" t="s">
        <v>40</v>
      </c>
      <c r="C30" s="128">
        <v>0</v>
      </c>
      <c r="D30" s="76">
        <v>0</v>
      </c>
      <c r="E30" s="76">
        <v>0</v>
      </c>
      <c r="F30" s="76">
        <f>D30</f>
        <v>0</v>
      </c>
      <c r="G30" s="76">
        <f t="shared" si="1"/>
        <v>0</v>
      </c>
    </row>
    <row r="31" spans="1:9" x14ac:dyDescent="0.25">
      <c r="A31" s="34" t="s">
        <v>41</v>
      </c>
      <c r="B31" s="34" t="s">
        <v>43</v>
      </c>
      <c r="C31" s="89">
        <v>0</v>
      </c>
      <c r="D31" s="76">
        <v>0</v>
      </c>
      <c r="E31" s="76">
        <v>0</v>
      </c>
      <c r="F31" s="76">
        <v>0</v>
      </c>
      <c r="G31" s="76">
        <f t="shared" si="1"/>
        <v>0</v>
      </c>
      <c r="H31" s="91"/>
      <c r="I31" s="91"/>
    </row>
    <row r="32" spans="1:9" ht="15.75" customHeight="1" thickBot="1" x14ac:dyDescent="0.3">
      <c r="A32" s="373"/>
      <c r="B32" s="374"/>
      <c r="C32" s="374"/>
      <c r="D32" s="375"/>
      <c r="E32" s="375"/>
      <c r="F32" s="375"/>
      <c r="G32" s="155"/>
      <c r="H32" s="91"/>
      <c r="I32" s="91"/>
    </row>
    <row r="33" spans="1:10" s="92" customFormat="1" ht="14.25" thickBot="1" x14ac:dyDescent="0.3">
      <c r="A33" s="387" t="s">
        <v>427</v>
      </c>
      <c r="B33" s="388"/>
      <c r="C33" s="388"/>
      <c r="D33" s="57">
        <v>20020.62</v>
      </c>
      <c r="E33" s="58"/>
      <c r="F33" s="58"/>
      <c r="G33" s="58"/>
      <c r="H33" s="54"/>
      <c r="I33" s="54"/>
      <c r="J33" s="91"/>
    </row>
    <row r="34" spans="1:10" s="59" customFormat="1" ht="15.75" thickBot="1" x14ac:dyDescent="0.3">
      <c r="A34" s="60"/>
      <c r="B34" s="60"/>
      <c r="C34" s="60"/>
      <c r="D34" s="38"/>
      <c r="E34" s="58"/>
      <c r="F34" s="58"/>
      <c r="G34" s="58"/>
      <c r="H34" s="54"/>
      <c r="I34" s="54"/>
    </row>
    <row r="35" spans="1:10" s="59" customFormat="1" ht="15.75" thickBot="1" x14ac:dyDescent="0.3">
      <c r="A35" s="55" t="s">
        <v>428</v>
      </c>
      <c r="B35" s="56"/>
      <c r="C35" s="56"/>
      <c r="D35" s="61"/>
      <c r="E35" s="62"/>
      <c r="F35" s="62"/>
      <c r="G35" s="129">
        <f>G14+E25-F25</f>
        <v>-4376.5941000000003</v>
      </c>
      <c r="H35" s="54"/>
      <c r="I35" s="54"/>
    </row>
    <row r="36" spans="1:10" s="59" customFormat="1" x14ac:dyDescent="0.25">
      <c r="A36" s="60"/>
      <c r="B36" s="60"/>
      <c r="C36" s="60"/>
      <c r="D36" s="38"/>
      <c r="E36" s="58"/>
      <c r="F36" s="58"/>
      <c r="G36" s="38"/>
      <c r="H36" s="54"/>
      <c r="I36" s="54"/>
    </row>
    <row r="37" spans="1:10" s="59" customFormat="1" ht="32.25" customHeight="1" x14ac:dyDescent="0.25">
      <c r="A37" s="485" t="s">
        <v>44</v>
      </c>
      <c r="B37" s="485"/>
      <c r="C37" s="485"/>
      <c r="D37" s="485"/>
      <c r="E37" s="485"/>
      <c r="F37" s="485"/>
      <c r="G37" s="485"/>
      <c r="H37" s="485"/>
      <c r="I37" s="485"/>
    </row>
    <row r="39" spans="1:10" ht="28.5" x14ac:dyDescent="0.25">
      <c r="A39" s="94" t="s">
        <v>11</v>
      </c>
      <c r="B39" s="416" t="s">
        <v>45</v>
      </c>
      <c r="C39" s="425"/>
      <c r="D39" s="94" t="s">
        <v>99</v>
      </c>
      <c r="E39" s="94" t="s">
        <v>98</v>
      </c>
      <c r="F39" s="416" t="s">
        <v>46</v>
      </c>
      <c r="G39" s="425"/>
      <c r="H39" s="156"/>
      <c r="I39" s="156"/>
    </row>
    <row r="40" spans="1:10" s="156" customFormat="1" ht="28.5" customHeight="1" x14ac:dyDescent="0.25">
      <c r="A40" s="98" t="s">
        <v>47</v>
      </c>
      <c r="B40" s="418" t="s">
        <v>75</v>
      </c>
      <c r="C40" s="430"/>
      <c r="D40" s="99"/>
      <c r="E40" s="99"/>
      <c r="F40" s="436">
        <f>SUM(F41:G44)</f>
        <v>127.9982</v>
      </c>
      <c r="G40" s="424"/>
      <c r="H40" s="103"/>
      <c r="I40" s="103"/>
    </row>
    <row r="41" spans="1:10" s="156" customFormat="1" ht="17.45" customHeight="1" x14ac:dyDescent="0.25">
      <c r="A41" s="34" t="s">
        <v>16</v>
      </c>
      <c r="B41" s="412"/>
      <c r="C41" s="428"/>
      <c r="D41" s="258"/>
      <c r="E41" s="258"/>
      <c r="F41" s="463"/>
      <c r="G41" s="463"/>
      <c r="H41" s="103"/>
      <c r="I41" s="103"/>
    </row>
    <row r="42" spans="1:10" s="156" customFormat="1" ht="15" customHeight="1" x14ac:dyDescent="0.25">
      <c r="A42" s="34" t="s">
        <v>18</v>
      </c>
      <c r="B42" s="497"/>
      <c r="C42" s="498"/>
      <c r="D42" s="258"/>
      <c r="E42" s="258"/>
      <c r="F42" s="463"/>
      <c r="G42" s="463"/>
      <c r="H42" s="103"/>
      <c r="I42" s="103"/>
    </row>
    <row r="43" spans="1:10" s="156" customFormat="1" ht="15.75" customHeight="1" x14ac:dyDescent="0.25">
      <c r="A43" s="34" t="s">
        <v>20</v>
      </c>
      <c r="B43" s="497"/>
      <c r="C43" s="498"/>
      <c r="D43" s="258"/>
      <c r="E43" s="258"/>
      <c r="F43" s="463"/>
      <c r="G43" s="463"/>
      <c r="H43" s="103"/>
      <c r="I43" s="103"/>
    </row>
    <row r="44" spans="1:10" ht="12.75" customHeight="1" x14ac:dyDescent="0.25">
      <c r="A44" s="34" t="s">
        <v>22</v>
      </c>
      <c r="B44" s="133" t="s">
        <v>108</v>
      </c>
      <c r="C44" s="134"/>
      <c r="D44" s="105"/>
      <c r="E44" s="105"/>
      <c r="F44" s="435">
        <f>E25*1%</f>
        <v>127.9982</v>
      </c>
      <c r="G44" s="435"/>
    </row>
    <row r="45" spans="1:10" ht="12.75" customHeight="1" x14ac:dyDescent="0.25">
      <c r="A45" s="59"/>
      <c r="B45" s="59"/>
      <c r="C45" s="59"/>
      <c r="D45" s="59"/>
      <c r="E45" s="59"/>
      <c r="F45" s="59"/>
      <c r="G45" s="59"/>
      <c r="H45" s="59"/>
      <c r="I45" s="59"/>
    </row>
    <row r="46" spans="1:10" s="59" customFormat="1" x14ac:dyDescent="0.25">
      <c r="A46" s="51" t="s">
        <v>372</v>
      </c>
      <c r="C46" s="59" t="s">
        <v>49</v>
      </c>
      <c r="F46" s="59" t="s">
        <v>60</v>
      </c>
    </row>
    <row r="47" spans="1:10" s="59" customFormat="1" x14ac:dyDescent="0.25">
      <c r="F47" s="111" t="s">
        <v>438</v>
      </c>
    </row>
    <row r="48" spans="1:10" s="59" customFormat="1" ht="13.5" customHeight="1" x14ac:dyDescent="0.25">
      <c r="A48" s="59" t="s">
        <v>50</v>
      </c>
    </row>
    <row r="49" spans="3:7" s="59" customFormat="1" x14ac:dyDescent="0.25">
      <c r="C49" s="113" t="s">
        <v>51</v>
      </c>
      <c r="E49" s="113"/>
      <c r="F49" s="113"/>
      <c r="G49" s="113"/>
    </row>
    <row r="50" spans="3:7" s="59" customFormat="1" ht="12" customHeight="1" x14ac:dyDescent="0.25"/>
    <row r="51" spans="3:7" s="59" customFormat="1" x14ac:dyDescent="0.25"/>
    <row r="52" spans="3:7" s="59" customFormat="1" x14ac:dyDescent="0.25"/>
  </sheetData>
  <mergeCells count="21">
    <mergeCell ref="F44:G44"/>
    <mergeCell ref="B40:C40"/>
    <mergeCell ref="B41:C41"/>
    <mergeCell ref="F40:G40"/>
    <mergeCell ref="A2:K2"/>
    <mergeCell ref="B42:C42"/>
    <mergeCell ref="F42:G42"/>
    <mergeCell ref="F39:G39"/>
    <mergeCell ref="F41:G41"/>
    <mergeCell ref="B39:C39"/>
    <mergeCell ref="A32:F32"/>
    <mergeCell ref="A1:I1"/>
    <mergeCell ref="A5:I5"/>
    <mergeCell ref="A10:I10"/>
    <mergeCell ref="A3:K3"/>
    <mergeCell ref="A12:I12"/>
    <mergeCell ref="B43:C43"/>
    <mergeCell ref="F43:G43"/>
    <mergeCell ref="A33:C33"/>
    <mergeCell ref="A37:I37"/>
    <mergeCell ref="A11:I11"/>
  </mergeCells>
  <phoneticPr fontId="14" type="noConversion"/>
  <pageMargins left="0" right="0" top="0" bottom="0" header="0.31496062992125984" footer="0.31496062992125984"/>
  <pageSetup paperSize="9" scale="99" orientation="portrait" verticalDpi="0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CC2F1C-690F-4E25-944C-8A3691446195}">
  <sheetPr>
    <tabColor rgb="FF7030A0"/>
  </sheetPr>
  <dimension ref="A1:M55"/>
  <sheetViews>
    <sheetView topLeftCell="A35" zoomScaleNormal="100" workbookViewId="0">
      <selection activeCell="A57" sqref="A57:IV58"/>
    </sheetView>
  </sheetViews>
  <sheetFormatPr defaultRowHeight="15" outlineLevelRow="1" outlineLevelCol="1" x14ac:dyDescent="0.25"/>
  <cols>
    <col min="1" max="1" width="4.7109375" style="35" customWidth="1"/>
    <col min="2" max="2" width="42.85546875" style="35" customWidth="1"/>
    <col min="3" max="4" width="13.5703125" style="35" customWidth="1"/>
    <col min="5" max="5" width="13.140625" style="35" customWidth="1"/>
    <col min="6" max="6" width="12.7109375" style="35" customWidth="1"/>
    <col min="7" max="7" width="13.5703125" style="35" customWidth="1"/>
    <col min="8" max="8" width="10.85546875" style="35" hidden="1" customWidth="1" outlineLevel="1"/>
    <col min="9" max="9" width="13.42578125" style="35" hidden="1" customWidth="1" outlineLevel="1"/>
    <col min="10" max="12" width="9.140625" style="35" hidden="1" customWidth="1" outlineLevel="1"/>
    <col min="13" max="13" width="9.140625" style="35" collapsed="1"/>
    <col min="14" max="16384" width="9.140625" style="35"/>
  </cols>
  <sheetData>
    <row r="1" spans="1:11" x14ac:dyDescent="0.25">
      <c r="A1" s="397" t="s">
        <v>0</v>
      </c>
      <c r="B1" s="397"/>
      <c r="C1" s="397"/>
      <c r="D1" s="397"/>
      <c r="E1" s="397"/>
      <c r="F1" s="397"/>
      <c r="G1" s="397"/>
      <c r="H1" s="397"/>
      <c r="I1" s="397"/>
    </row>
    <row r="2" spans="1:11" ht="15" customHeight="1" x14ac:dyDescent="0.25">
      <c r="A2" s="370" t="s">
        <v>152</v>
      </c>
      <c r="B2" s="370"/>
      <c r="C2" s="370"/>
      <c r="D2" s="370"/>
      <c r="E2" s="370"/>
      <c r="F2" s="370"/>
      <c r="G2" s="370"/>
      <c r="H2" s="370"/>
      <c r="I2" s="370"/>
      <c r="J2" s="370"/>
      <c r="K2" s="370"/>
    </row>
    <row r="3" spans="1:11" ht="16.5" customHeight="1" x14ac:dyDescent="0.25">
      <c r="A3" s="370" t="s">
        <v>426</v>
      </c>
      <c r="B3" s="370"/>
      <c r="C3" s="370"/>
      <c r="D3" s="370"/>
      <c r="E3" s="370"/>
      <c r="F3" s="370"/>
      <c r="G3" s="370"/>
      <c r="H3" s="370"/>
      <c r="I3" s="370"/>
      <c r="J3" s="370"/>
      <c r="K3" s="370"/>
    </row>
    <row r="4" spans="1:11" ht="6" customHeight="1" x14ac:dyDescent="0.25">
      <c r="A4" s="142"/>
      <c r="B4" s="142"/>
      <c r="C4" s="142"/>
      <c r="D4" s="142"/>
      <c r="E4" s="142"/>
      <c r="F4" s="142"/>
      <c r="G4" s="142"/>
      <c r="H4" s="142"/>
      <c r="I4" s="142"/>
    </row>
    <row r="5" spans="1:11" ht="16.5" customHeight="1" x14ac:dyDescent="0.25">
      <c r="A5" s="398" t="s">
        <v>1</v>
      </c>
      <c r="B5" s="397"/>
      <c r="C5" s="397"/>
      <c r="D5" s="397"/>
      <c r="E5" s="397"/>
      <c r="F5" s="397"/>
      <c r="G5" s="397"/>
      <c r="H5" s="397"/>
      <c r="I5" s="397"/>
    </row>
    <row r="6" spans="1:11" ht="5.25" customHeight="1" x14ac:dyDescent="0.25"/>
    <row r="7" spans="1:11" s="59" customFormat="1" ht="16.5" customHeight="1" x14ac:dyDescent="0.25">
      <c r="A7" s="59" t="s">
        <v>2</v>
      </c>
      <c r="F7" s="111" t="s">
        <v>203</v>
      </c>
    </row>
    <row r="8" spans="1:11" s="59" customFormat="1" x14ac:dyDescent="0.25">
      <c r="A8" s="59" t="s">
        <v>3</v>
      </c>
      <c r="F8" s="239" t="s">
        <v>204</v>
      </c>
      <c r="I8" s="180">
        <f>88.8+60</f>
        <v>148.80000000000001</v>
      </c>
      <c r="J8" s="59">
        <v>3284.7</v>
      </c>
      <c r="K8" s="281">
        <f>I8+J8</f>
        <v>3433.5</v>
      </c>
    </row>
    <row r="9" spans="1:11" s="59" customFormat="1" ht="14.25" customHeight="1" x14ac:dyDescent="0.25">
      <c r="B9" s="59" t="s">
        <v>252</v>
      </c>
      <c r="F9" s="239" t="s">
        <v>254</v>
      </c>
    </row>
    <row r="10" spans="1:11" s="59" customFormat="1" x14ac:dyDescent="0.25">
      <c r="A10" s="372" t="s">
        <v>8</v>
      </c>
      <c r="B10" s="372"/>
      <c r="C10" s="372"/>
      <c r="D10" s="372"/>
      <c r="E10" s="372"/>
      <c r="F10" s="372"/>
      <c r="G10" s="372"/>
      <c r="H10" s="372"/>
      <c r="I10" s="372"/>
    </row>
    <row r="11" spans="1:11" s="59" customFormat="1" x14ac:dyDescent="0.25">
      <c r="A11" s="372" t="s">
        <v>9</v>
      </c>
      <c r="B11" s="372"/>
      <c r="C11" s="372"/>
      <c r="D11" s="372"/>
      <c r="E11" s="372"/>
      <c r="F11" s="372"/>
      <c r="G11" s="372"/>
      <c r="H11" s="372"/>
      <c r="I11" s="372"/>
    </row>
    <row r="12" spans="1:11" s="59" customFormat="1" x14ac:dyDescent="0.25">
      <c r="A12" s="372" t="s">
        <v>10</v>
      </c>
      <c r="B12" s="372"/>
      <c r="C12" s="372"/>
      <c r="D12" s="372"/>
      <c r="E12" s="372"/>
      <c r="F12" s="372"/>
      <c r="G12" s="372"/>
      <c r="H12" s="372"/>
      <c r="I12" s="372"/>
    </row>
    <row r="13" spans="1:11" s="59" customFormat="1" ht="6" customHeight="1" thickBot="1" x14ac:dyDescent="0.3">
      <c r="A13" s="60"/>
      <c r="B13" s="60"/>
      <c r="C13" s="60"/>
      <c r="D13" s="38"/>
      <c r="E13" s="58"/>
      <c r="F13" s="58"/>
      <c r="G13" s="58"/>
      <c r="H13" s="54"/>
      <c r="I13" s="54"/>
    </row>
    <row r="14" spans="1:11" s="59" customFormat="1" ht="15.75" thickBot="1" x14ac:dyDescent="0.3">
      <c r="A14" s="55" t="s">
        <v>143</v>
      </c>
      <c r="B14" s="56"/>
      <c r="C14" s="56"/>
      <c r="D14" s="61"/>
      <c r="E14" s="62"/>
      <c r="F14" s="62"/>
      <c r="G14" s="129">
        <f>'[1]Рылеева 19'!$G$38</f>
        <v>101289.06589999999</v>
      </c>
      <c r="H14" s="54"/>
      <c r="I14" s="54"/>
    </row>
    <row r="15" spans="1:11" s="59" customFormat="1" ht="6.75" customHeight="1" x14ac:dyDescent="0.25"/>
    <row r="16" spans="1:11" s="66" customFormat="1" ht="38.25" x14ac:dyDescent="0.25">
      <c r="A16" s="64" t="s">
        <v>11</v>
      </c>
      <c r="B16" s="64" t="s">
        <v>12</v>
      </c>
      <c r="C16" s="64" t="s">
        <v>61</v>
      </c>
      <c r="D16" s="64" t="s">
        <v>432</v>
      </c>
      <c r="E16" s="64" t="s">
        <v>433</v>
      </c>
      <c r="F16" s="65" t="s">
        <v>434</v>
      </c>
      <c r="G16" s="64" t="s">
        <v>435</v>
      </c>
    </row>
    <row r="17" spans="1:9" s="59" customFormat="1" x14ac:dyDescent="0.25">
      <c r="A17" s="67" t="s">
        <v>14</v>
      </c>
      <c r="B17" s="39" t="s">
        <v>379</v>
      </c>
      <c r="C17" s="120">
        <v>23.01</v>
      </c>
      <c r="D17" s="68">
        <v>906971.52</v>
      </c>
      <c r="E17" s="68">
        <v>899062.03</v>
      </c>
      <c r="F17" s="68">
        <f t="shared" ref="F17:F24" si="0">D17</f>
        <v>906971.52</v>
      </c>
      <c r="G17" s="69">
        <f>D17-E17</f>
        <v>7909.4899999999907</v>
      </c>
      <c r="H17" s="130">
        <f>C17</f>
        <v>23.01</v>
      </c>
    </row>
    <row r="18" spans="1:9" s="59" customFormat="1" hidden="1" outlineLevel="1" x14ac:dyDescent="0.25">
      <c r="A18" s="73" t="s">
        <v>16</v>
      </c>
      <c r="B18" s="34" t="s">
        <v>17</v>
      </c>
      <c r="C18" s="89">
        <v>3.46</v>
      </c>
      <c r="D18" s="75">
        <f>D17*I18</f>
        <v>136380.76745762711</v>
      </c>
      <c r="E18" s="75">
        <f>E17*I18</f>
        <v>135191.42215558453</v>
      </c>
      <c r="F18" s="75">
        <f t="shared" si="0"/>
        <v>136380.76745762711</v>
      </c>
      <c r="G18" s="76">
        <f>D18-E18</f>
        <v>1189.3453020425804</v>
      </c>
      <c r="H18" s="130">
        <f>C18</f>
        <v>3.46</v>
      </c>
      <c r="I18" s="59">
        <f>H18/H17</f>
        <v>0.15036940460669274</v>
      </c>
    </row>
    <row r="19" spans="1:9" s="59" customFormat="1" hidden="1" outlineLevel="1" x14ac:dyDescent="0.25">
      <c r="A19" s="73" t="s">
        <v>18</v>
      </c>
      <c r="B19" s="34" t="s">
        <v>19</v>
      </c>
      <c r="C19" s="89">
        <v>1.69</v>
      </c>
      <c r="D19" s="75">
        <f>D17*I19</f>
        <v>66613.727457627116</v>
      </c>
      <c r="E19" s="75">
        <f>E17*I19</f>
        <v>66032.804463276829</v>
      </c>
      <c r="F19" s="75">
        <f t="shared" si="0"/>
        <v>66613.727457627116</v>
      </c>
      <c r="G19" s="76">
        <f>D19-E19</f>
        <v>580.9229943502869</v>
      </c>
      <c r="H19" s="130">
        <f>C19</f>
        <v>1.69</v>
      </c>
      <c r="I19" s="59">
        <f>H19/H17</f>
        <v>7.3446327683615809E-2</v>
      </c>
    </row>
    <row r="20" spans="1:9" s="59" customFormat="1" hidden="1" outlineLevel="1" x14ac:dyDescent="0.25">
      <c r="A20" s="73" t="s">
        <v>20</v>
      </c>
      <c r="B20" s="34" t="s">
        <v>21</v>
      </c>
      <c r="C20" s="89">
        <v>1.69</v>
      </c>
      <c r="D20" s="75">
        <f>D17*I20</f>
        <v>66613.727457627116</v>
      </c>
      <c r="E20" s="75">
        <f>E17*I20</f>
        <v>66032.804463276829</v>
      </c>
      <c r="F20" s="75">
        <f t="shared" si="0"/>
        <v>66613.727457627116</v>
      </c>
      <c r="G20" s="76">
        <f>D20-E20</f>
        <v>580.9229943502869</v>
      </c>
      <c r="H20" s="130">
        <f>C20</f>
        <v>1.69</v>
      </c>
      <c r="I20" s="59">
        <f>H20/H17</f>
        <v>7.3446327683615809E-2</v>
      </c>
    </row>
    <row r="21" spans="1:9" s="59" customFormat="1" hidden="1" outlineLevel="1" x14ac:dyDescent="0.25">
      <c r="A21" s="73" t="s">
        <v>22</v>
      </c>
      <c r="B21" s="34" t="s">
        <v>23</v>
      </c>
      <c r="C21" s="89">
        <v>3.04</v>
      </c>
      <c r="D21" s="75">
        <f>D17*I21</f>
        <v>119825.87661016948</v>
      </c>
      <c r="E21" s="75">
        <f>E17*I21</f>
        <v>118780.90270317253</v>
      </c>
      <c r="F21" s="75">
        <f t="shared" si="0"/>
        <v>119825.87661016948</v>
      </c>
      <c r="G21" s="76">
        <f>D21-E21</f>
        <v>1044.973906996951</v>
      </c>
      <c r="H21" s="130">
        <f>C21</f>
        <v>3.04</v>
      </c>
      <c r="I21" s="59">
        <f>H21/H17</f>
        <v>0.13211647109952193</v>
      </c>
    </row>
    <row r="22" spans="1:9" collapsed="1" x14ac:dyDescent="0.25">
      <c r="A22" s="39" t="s">
        <v>25</v>
      </c>
      <c r="B22" s="78" t="s">
        <v>145</v>
      </c>
      <c r="C22" s="46">
        <v>110</v>
      </c>
      <c r="D22" s="69">
        <v>0</v>
      </c>
      <c r="E22" s="69">
        <v>991.82</v>
      </c>
      <c r="F22" s="69">
        <f t="shared" si="0"/>
        <v>0</v>
      </c>
      <c r="G22" s="69">
        <f t="shared" ref="G22:G28" si="1">D22-E22</f>
        <v>-991.82</v>
      </c>
    </row>
    <row r="23" spans="1:9" x14ac:dyDescent="0.25">
      <c r="A23" s="39" t="s">
        <v>27</v>
      </c>
      <c r="B23" s="125" t="s">
        <v>28</v>
      </c>
      <c r="C23" s="87">
        <v>0</v>
      </c>
      <c r="D23" s="69">
        <v>0</v>
      </c>
      <c r="E23" s="69">
        <v>0</v>
      </c>
      <c r="F23" s="69">
        <f t="shared" si="0"/>
        <v>0</v>
      </c>
      <c r="G23" s="69">
        <f t="shared" si="1"/>
        <v>0</v>
      </c>
    </row>
    <row r="24" spans="1:9" x14ac:dyDescent="0.25">
      <c r="A24" s="39" t="s">
        <v>29</v>
      </c>
      <c r="B24" s="125" t="s">
        <v>97</v>
      </c>
      <c r="C24" s="357">
        <v>0</v>
      </c>
      <c r="D24" s="69">
        <v>0</v>
      </c>
      <c r="E24" s="69">
        <v>0</v>
      </c>
      <c r="F24" s="69">
        <f t="shared" si="0"/>
        <v>0</v>
      </c>
      <c r="G24" s="69">
        <f t="shared" si="1"/>
        <v>0</v>
      </c>
    </row>
    <row r="25" spans="1:9" x14ac:dyDescent="0.25">
      <c r="A25" s="39" t="s">
        <v>31</v>
      </c>
      <c r="B25" s="125" t="s">
        <v>80</v>
      </c>
      <c r="C25" s="87">
        <v>2.2799999999999998</v>
      </c>
      <c r="D25" s="69">
        <f>89869.8+D26</f>
        <v>93940.97</v>
      </c>
      <c r="E25" s="69">
        <f>88771.39+E26</f>
        <v>92842.559999999998</v>
      </c>
      <c r="F25" s="79">
        <f>F45</f>
        <v>8728.4256000000005</v>
      </c>
      <c r="G25" s="69">
        <f t="shared" si="1"/>
        <v>1098.4100000000035</v>
      </c>
    </row>
    <row r="26" spans="1:9" x14ac:dyDescent="0.25">
      <c r="A26" s="39"/>
      <c r="B26" s="292" t="s">
        <v>244</v>
      </c>
      <c r="C26" s="293"/>
      <c r="D26" s="294">
        <f>2429.57+1641.6</f>
        <v>4071.17</v>
      </c>
      <c r="E26" s="294">
        <f>2429.57+1641.6</f>
        <v>4071.17</v>
      </c>
      <c r="F26" s="294"/>
      <c r="G26" s="248">
        <f>D26-E26</f>
        <v>0</v>
      </c>
    </row>
    <row r="27" spans="1:9" x14ac:dyDescent="0.25">
      <c r="A27" s="39" t="s">
        <v>33</v>
      </c>
      <c r="B27" s="119" t="s">
        <v>34</v>
      </c>
      <c r="C27" s="43">
        <v>0</v>
      </c>
      <c r="D27" s="69">
        <v>0</v>
      </c>
      <c r="E27" s="69">
        <v>0</v>
      </c>
      <c r="F27" s="79">
        <v>0</v>
      </c>
      <c r="G27" s="69">
        <f t="shared" si="1"/>
        <v>0</v>
      </c>
    </row>
    <row r="28" spans="1:9" x14ac:dyDescent="0.25">
      <c r="A28" s="39" t="s">
        <v>35</v>
      </c>
      <c r="B28" s="119" t="s">
        <v>36</v>
      </c>
      <c r="C28" s="87"/>
      <c r="D28" s="69">
        <f>SUM(D29:D32)</f>
        <v>1997405.49</v>
      </c>
      <c r="E28" s="69">
        <f>SUM(E29:E32)</f>
        <v>1893528.5499999998</v>
      </c>
      <c r="F28" s="69">
        <f>SUM(F29:F32)</f>
        <v>1997405.49</v>
      </c>
      <c r="G28" s="69">
        <f t="shared" si="1"/>
        <v>103876.94000000018</v>
      </c>
    </row>
    <row r="29" spans="1:9" x14ac:dyDescent="0.25">
      <c r="A29" s="34" t="s">
        <v>37</v>
      </c>
      <c r="B29" s="34" t="s">
        <v>101</v>
      </c>
      <c r="C29" s="89">
        <v>7.36</v>
      </c>
      <c r="D29" s="76">
        <v>21378.82</v>
      </c>
      <c r="E29" s="76">
        <v>21098.75</v>
      </c>
      <c r="F29" s="76">
        <f>D29</f>
        <v>21378.82</v>
      </c>
      <c r="G29" s="76">
        <f>D29-E29</f>
        <v>280.06999999999971</v>
      </c>
    </row>
    <row r="30" spans="1:9" x14ac:dyDescent="0.25">
      <c r="A30" s="34" t="s">
        <v>39</v>
      </c>
      <c r="B30" s="34" t="s">
        <v>84</v>
      </c>
      <c r="C30" s="89">
        <v>88.38</v>
      </c>
      <c r="D30" s="76">
        <v>615247.14</v>
      </c>
      <c r="E30" s="76">
        <v>550221.89</v>
      </c>
      <c r="F30" s="76">
        <f>D30</f>
        <v>615247.14</v>
      </c>
      <c r="G30" s="76">
        <f>D30-E30</f>
        <v>65025.25</v>
      </c>
    </row>
    <row r="31" spans="1:9" x14ac:dyDescent="0.25">
      <c r="A31" s="34" t="s">
        <v>42</v>
      </c>
      <c r="B31" s="34" t="s">
        <v>40</v>
      </c>
      <c r="C31" s="128">
        <v>0</v>
      </c>
      <c r="D31" s="76">
        <v>0</v>
      </c>
      <c r="E31" s="76">
        <v>0</v>
      </c>
      <c r="F31" s="76">
        <f>D31</f>
        <v>0</v>
      </c>
      <c r="G31" s="76">
        <f>D31-E31</f>
        <v>0</v>
      </c>
    </row>
    <row r="32" spans="1:9" x14ac:dyDescent="0.25">
      <c r="A32" s="34" t="s">
        <v>41</v>
      </c>
      <c r="B32" s="34" t="s">
        <v>43</v>
      </c>
      <c r="C32" s="89">
        <v>3352.42</v>
      </c>
      <c r="D32" s="76">
        <v>1360779.53</v>
      </c>
      <c r="E32" s="76">
        <v>1322207.9099999999</v>
      </c>
      <c r="F32" s="76">
        <f>D32</f>
        <v>1360779.53</v>
      </c>
      <c r="G32" s="76">
        <f>D32-E32</f>
        <v>38571.620000000112</v>
      </c>
      <c r="H32" s="91"/>
      <c r="I32" s="91"/>
    </row>
    <row r="33" spans="1:11" hidden="1" outlineLevel="1" x14ac:dyDescent="0.25">
      <c r="A33" s="174" t="s">
        <v>130</v>
      </c>
      <c r="B33" s="257" t="s">
        <v>133</v>
      </c>
      <c r="C33" s="298"/>
      <c r="D33" s="248">
        <v>1800</v>
      </c>
      <c r="E33" s="248">
        <v>1800</v>
      </c>
      <c r="F33" s="296"/>
      <c r="G33" s="248">
        <f>D33-E33</f>
        <v>0</v>
      </c>
      <c r="H33" s="91"/>
      <c r="I33" s="91"/>
    </row>
    <row r="34" spans="1:11" hidden="1" outlineLevel="1" x14ac:dyDescent="0.25">
      <c r="A34" s="174"/>
      <c r="B34" s="295"/>
      <c r="C34" s="376" t="s">
        <v>246</v>
      </c>
      <c r="D34" s="377"/>
      <c r="E34" s="377"/>
      <c r="F34" s="377"/>
      <c r="G34" s="82">
        <f>E33-(E33*15%)</f>
        <v>1530</v>
      </c>
      <c r="H34" s="91"/>
      <c r="I34" s="91"/>
    </row>
    <row r="35" spans="1:11" ht="15.75" customHeight="1" collapsed="1" thickBot="1" x14ac:dyDescent="0.3">
      <c r="A35" s="373"/>
      <c r="B35" s="374"/>
      <c r="C35" s="374"/>
      <c r="D35" s="375"/>
      <c r="E35" s="375"/>
      <c r="F35" s="375"/>
      <c r="G35" s="155"/>
      <c r="H35" s="91"/>
      <c r="I35" s="91"/>
    </row>
    <row r="36" spans="1:11" s="92" customFormat="1" ht="14.25" thickBot="1" x14ac:dyDescent="0.3">
      <c r="A36" s="387" t="s">
        <v>427</v>
      </c>
      <c r="B36" s="388"/>
      <c r="C36" s="388"/>
      <c r="D36" s="57">
        <v>111893.02</v>
      </c>
      <c r="E36" s="58"/>
      <c r="F36" s="58"/>
      <c r="G36" s="58"/>
      <c r="H36" s="54"/>
      <c r="I36" s="54"/>
      <c r="J36" s="91"/>
    </row>
    <row r="37" spans="1:11" s="59" customFormat="1" ht="15.75" thickBot="1" x14ac:dyDescent="0.3">
      <c r="A37" s="60"/>
      <c r="B37" s="60"/>
      <c r="C37" s="60"/>
      <c r="D37" s="38"/>
      <c r="E37" s="58"/>
      <c r="F37" s="58"/>
      <c r="G37" s="58"/>
      <c r="H37" s="54"/>
      <c r="I37" s="54"/>
    </row>
    <row r="38" spans="1:11" s="59" customFormat="1" ht="15.75" thickBot="1" x14ac:dyDescent="0.3">
      <c r="A38" s="55" t="s">
        <v>428</v>
      </c>
      <c r="B38" s="56"/>
      <c r="C38" s="56"/>
      <c r="D38" s="61"/>
      <c r="E38" s="62"/>
      <c r="F38" s="62"/>
      <c r="G38" s="129">
        <f>G14+E25-F25</f>
        <v>185403.2003</v>
      </c>
      <c r="H38" s="54"/>
      <c r="I38" s="54"/>
    </row>
    <row r="39" spans="1:11" s="59" customFormat="1" x14ac:dyDescent="0.25">
      <c r="A39" s="392" t="s">
        <v>90</v>
      </c>
      <c r="B39" s="392"/>
      <c r="C39" s="60"/>
      <c r="D39" s="38"/>
      <c r="E39" s="58"/>
      <c r="F39" s="58"/>
      <c r="G39" s="38"/>
      <c r="H39" s="54"/>
      <c r="I39" s="54"/>
    </row>
    <row r="40" spans="1:11" s="59" customFormat="1" x14ac:dyDescent="0.25">
      <c r="A40" s="393" t="s">
        <v>91</v>
      </c>
      <c r="B40" s="394"/>
      <c r="C40" s="41" t="s">
        <v>92</v>
      </c>
      <c r="D40" s="41" t="s">
        <v>93</v>
      </c>
      <c r="E40" s="42" t="s">
        <v>94</v>
      </c>
      <c r="F40" s="40" t="s">
        <v>95</v>
      </c>
      <c r="G40" s="42" t="s">
        <v>96</v>
      </c>
      <c r="H40" s="54"/>
      <c r="I40" s="54">
        <f>60*H41*3</f>
        <v>4552.2000000000007</v>
      </c>
    </row>
    <row r="41" spans="1:11" s="59" customFormat="1" x14ac:dyDescent="0.25">
      <c r="A41" s="395"/>
      <c r="B41" s="396"/>
      <c r="C41" s="110">
        <f>88.8+60</f>
        <v>148.80000000000001</v>
      </c>
      <c r="D41" s="138">
        <f>E41/C41/12</f>
        <v>25.289986559139788</v>
      </c>
      <c r="E41" s="73">
        <f>18208.8+26949</f>
        <v>45157.8</v>
      </c>
      <c r="F41" s="75">
        <f>18208.8+26949</f>
        <v>45157.8</v>
      </c>
      <c r="G41" s="138">
        <f>E41-F41</f>
        <v>0</v>
      </c>
      <c r="H41" s="335">
        <f>C17+C25</f>
        <v>25.290000000000003</v>
      </c>
      <c r="I41" s="54">
        <f>88.8*H41*3</f>
        <v>6737.2559999999994</v>
      </c>
      <c r="J41" s="59">
        <f>12236.4+18109.86</f>
        <v>30346.260000000002</v>
      </c>
      <c r="K41" s="59">
        <f>7684.2+13690.29</f>
        <v>21374.49</v>
      </c>
    </row>
    <row r="42" spans="1:11" s="59" customFormat="1" ht="24.75" customHeight="1" x14ac:dyDescent="0.25">
      <c r="A42" s="485" t="s">
        <v>44</v>
      </c>
      <c r="B42" s="485"/>
      <c r="C42" s="485"/>
      <c r="D42" s="485"/>
      <c r="E42" s="485"/>
      <c r="F42" s="485"/>
      <c r="G42" s="485"/>
      <c r="H42" s="485"/>
      <c r="I42" s="485"/>
    </row>
    <row r="43" spans="1:11" ht="4.5" customHeight="1" x14ac:dyDescent="0.25"/>
    <row r="44" spans="1:11" ht="26.25" customHeight="1" x14ac:dyDescent="0.25">
      <c r="A44" s="94" t="s">
        <v>11</v>
      </c>
      <c r="B44" s="416" t="s">
        <v>45</v>
      </c>
      <c r="C44" s="425"/>
      <c r="D44" s="94" t="s">
        <v>99</v>
      </c>
      <c r="E44" s="94" t="s">
        <v>98</v>
      </c>
      <c r="F44" s="416" t="s">
        <v>46</v>
      </c>
      <c r="G44" s="425"/>
      <c r="H44" s="156"/>
      <c r="I44" s="156"/>
    </row>
    <row r="45" spans="1:11" x14ac:dyDescent="0.25">
      <c r="A45" s="98" t="s">
        <v>47</v>
      </c>
      <c r="B45" s="418" t="s">
        <v>75</v>
      </c>
      <c r="C45" s="430"/>
      <c r="D45" s="99"/>
      <c r="E45" s="99"/>
      <c r="F45" s="436">
        <f>SUM(F46:G49)</f>
        <v>8728.4256000000005</v>
      </c>
      <c r="G45" s="424"/>
      <c r="H45" s="103"/>
      <c r="I45" s="103"/>
    </row>
    <row r="46" spans="1:11" ht="13.5" customHeight="1" x14ac:dyDescent="0.25">
      <c r="A46" s="34" t="s">
        <v>16</v>
      </c>
      <c r="B46" s="406" t="s">
        <v>483</v>
      </c>
      <c r="C46" s="454"/>
      <c r="D46" s="176" t="s">
        <v>100</v>
      </c>
      <c r="E46" s="137">
        <v>4</v>
      </c>
      <c r="F46" s="423">
        <v>7800</v>
      </c>
      <c r="G46" s="423"/>
      <c r="H46" s="103"/>
      <c r="I46" s="103"/>
    </row>
    <row r="47" spans="1:11" ht="13.5" customHeight="1" x14ac:dyDescent="0.25">
      <c r="A47" s="34" t="s">
        <v>18</v>
      </c>
      <c r="B47" s="412"/>
      <c r="C47" s="428"/>
      <c r="D47" s="260"/>
      <c r="E47" s="263"/>
      <c r="F47" s="463"/>
      <c r="G47" s="463"/>
      <c r="H47" s="103"/>
      <c r="I47" s="103"/>
    </row>
    <row r="48" spans="1:11" ht="13.5" customHeight="1" x14ac:dyDescent="0.25">
      <c r="A48" s="34" t="s">
        <v>20</v>
      </c>
      <c r="B48" s="412"/>
      <c r="C48" s="428"/>
      <c r="D48" s="258"/>
      <c r="E48" s="258"/>
      <c r="F48" s="463"/>
      <c r="G48" s="463"/>
      <c r="H48" s="103"/>
      <c r="I48" s="103"/>
    </row>
    <row r="49" spans="1:9" s="156" customFormat="1" x14ac:dyDescent="0.25">
      <c r="A49" s="34" t="s">
        <v>22</v>
      </c>
      <c r="B49" s="133" t="s">
        <v>108</v>
      </c>
      <c r="C49" s="134"/>
      <c r="D49" s="105"/>
      <c r="E49" s="105"/>
      <c r="F49" s="439">
        <f>E25*1%</f>
        <v>928.42560000000003</v>
      </c>
      <c r="G49" s="439"/>
      <c r="H49" s="35"/>
      <c r="I49" s="35"/>
    </row>
    <row r="50" spans="1:9" s="103" customFormat="1" ht="14.25" customHeight="1" x14ac:dyDescent="0.25">
      <c r="A50" s="59"/>
      <c r="B50" s="59"/>
      <c r="C50" s="59"/>
      <c r="D50" s="59"/>
      <c r="E50" s="59"/>
      <c r="F50" s="59"/>
      <c r="G50" s="59"/>
      <c r="H50" s="59"/>
      <c r="I50" s="59"/>
    </row>
    <row r="51" spans="1:9" ht="14.25" customHeight="1" x14ac:dyDescent="0.25">
      <c r="A51" s="51" t="s">
        <v>372</v>
      </c>
      <c r="B51" s="59"/>
      <c r="C51" s="59" t="s">
        <v>49</v>
      </c>
      <c r="D51" s="59"/>
      <c r="E51" s="59"/>
      <c r="F51" s="59" t="s">
        <v>60</v>
      </c>
      <c r="G51" s="59"/>
      <c r="H51" s="59"/>
      <c r="I51" s="59"/>
    </row>
    <row r="52" spans="1:9" ht="14.25" customHeight="1" x14ac:dyDescent="0.25">
      <c r="A52" s="59"/>
      <c r="B52" s="59"/>
      <c r="C52" s="59"/>
      <c r="D52" s="59"/>
      <c r="E52" s="59"/>
      <c r="F52" s="111" t="s">
        <v>438</v>
      </c>
      <c r="G52" s="59"/>
      <c r="H52" s="59"/>
      <c r="I52" s="59"/>
    </row>
    <row r="53" spans="1:9" ht="14.25" customHeight="1" x14ac:dyDescent="0.25">
      <c r="A53" s="59" t="s">
        <v>50</v>
      </c>
      <c r="B53" s="59"/>
      <c r="C53" s="59"/>
      <c r="D53" s="59"/>
      <c r="E53" s="59"/>
      <c r="F53" s="59"/>
      <c r="G53" s="59"/>
      <c r="H53" s="59"/>
      <c r="I53" s="59"/>
    </row>
    <row r="54" spans="1:9" s="59" customFormat="1" x14ac:dyDescent="0.25">
      <c r="C54" s="113" t="s">
        <v>51</v>
      </c>
      <c r="E54" s="113"/>
      <c r="F54" s="113"/>
      <c r="G54" s="113"/>
    </row>
    <row r="55" spans="1:9" s="59" customFormat="1" x14ac:dyDescent="0.25"/>
  </sheetData>
  <mergeCells count="24">
    <mergeCell ref="F49:G49"/>
    <mergeCell ref="A36:C36"/>
    <mergeCell ref="A42:I42"/>
    <mergeCell ref="B44:C44"/>
    <mergeCell ref="F44:G44"/>
    <mergeCell ref="B45:C45"/>
    <mergeCell ref="F45:G45"/>
    <mergeCell ref="B46:C46"/>
    <mergeCell ref="F46:G46"/>
    <mergeCell ref="B48:C48"/>
    <mergeCell ref="A1:I1"/>
    <mergeCell ref="A5:I5"/>
    <mergeCell ref="A10:I10"/>
    <mergeCell ref="A3:K3"/>
    <mergeCell ref="A2:K2"/>
    <mergeCell ref="C34:F34"/>
    <mergeCell ref="F48:G48"/>
    <mergeCell ref="A39:B39"/>
    <mergeCell ref="A35:F35"/>
    <mergeCell ref="A12:I12"/>
    <mergeCell ref="A11:I11"/>
    <mergeCell ref="A40:B41"/>
    <mergeCell ref="B47:C47"/>
    <mergeCell ref="F47:G47"/>
  </mergeCells>
  <phoneticPr fontId="14" type="noConversion"/>
  <pageMargins left="0" right="0" top="0" bottom="0" header="0.31496062992125984" footer="0.31496062992125984"/>
  <pageSetup paperSize="9" orientation="portrait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CDDEE8-8898-4026-B158-2124A3AA9D3B}">
  <sheetPr>
    <tabColor rgb="FF7030A0"/>
  </sheetPr>
  <dimension ref="A1:P59"/>
  <sheetViews>
    <sheetView topLeftCell="A42" zoomScale="96" zoomScaleNormal="96" workbookViewId="0">
      <selection activeCell="A63" sqref="A63:IV64"/>
    </sheetView>
  </sheetViews>
  <sheetFormatPr defaultRowHeight="15" outlineLevelRow="1" outlineLevelCol="1" x14ac:dyDescent="0.25"/>
  <cols>
    <col min="1" max="1" width="5" style="35" customWidth="1"/>
    <col min="2" max="2" width="47.28515625" style="35" customWidth="1"/>
    <col min="3" max="3" width="15.28515625" style="35" customWidth="1"/>
    <col min="4" max="4" width="13.7109375" style="35" customWidth="1"/>
    <col min="5" max="5" width="13.5703125" style="35" customWidth="1"/>
    <col min="6" max="6" width="14.140625" style="35" customWidth="1"/>
    <col min="7" max="7" width="13.42578125" style="35" customWidth="1"/>
    <col min="8" max="8" width="10.42578125" style="35" hidden="1" customWidth="1" outlineLevel="1"/>
    <col min="9" max="9" width="12.28515625" style="35" hidden="1" customWidth="1" outlineLevel="1"/>
    <col min="10" max="12" width="9.140625" style="35" hidden="1" customWidth="1" outlineLevel="1"/>
    <col min="13" max="13" width="9.140625" style="35" collapsed="1"/>
    <col min="14" max="14" width="9.140625" style="35"/>
    <col min="15" max="15" width="13.28515625" style="35" customWidth="1"/>
    <col min="16" max="16" width="11.42578125" style="35" bestFit="1" customWidth="1"/>
    <col min="17" max="16384" width="9.140625" style="35"/>
  </cols>
  <sheetData>
    <row r="1" spans="1:16" x14ac:dyDescent="0.25">
      <c r="A1" s="397" t="s">
        <v>0</v>
      </c>
      <c r="B1" s="397"/>
      <c r="C1" s="397"/>
      <c r="D1" s="397"/>
      <c r="E1" s="397"/>
      <c r="F1" s="397"/>
      <c r="G1" s="397"/>
      <c r="H1" s="397"/>
      <c r="I1" s="397"/>
    </row>
    <row r="2" spans="1:16" ht="15" customHeight="1" x14ac:dyDescent="0.25">
      <c r="A2" s="370" t="s">
        <v>152</v>
      </c>
      <c r="B2" s="370"/>
      <c r="C2" s="370"/>
      <c r="D2" s="370"/>
      <c r="E2" s="370"/>
      <c r="F2" s="370"/>
      <c r="G2" s="370"/>
      <c r="H2" s="370"/>
      <c r="I2" s="370"/>
      <c r="J2" s="370"/>
      <c r="K2" s="370"/>
    </row>
    <row r="3" spans="1:16" ht="13.5" customHeight="1" x14ac:dyDescent="0.25">
      <c r="A3" s="370" t="s">
        <v>426</v>
      </c>
      <c r="B3" s="370"/>
      <c r="C3" s="370"/>
      <c r="D3" s="370"/>
      <c r="E3" s="370"/>
      <c r="F3" s="370"/>
      <c r="G3" s="370"/>
      <c r="H3" s="370"/>
      <c r="I3" s="370"/>
      <c r="J3" s="370"/>
      <c r="K3" s="370"/>
    </row>
    <row r="4" spans="1:16" ht="5.25" customHeight="1" x14ac:dyDescent="0.25">
      <c r="A4" s="142"/>
      <c r="B4" s="142"/>
      <c r="C4" s="142"/>
      <c r="D4" s="142"/>
      <c r="E4" s="142"/>
      <c r="F4" s="142"/>
      <c r="G4" s="142"/>
      <c r="H4" s="142"/>
      <c r="I4" s="142"/>
    </row>
    <row r="5" spans="1:16" ht="15" customHeight="1" x14ac:dyDescent="0.25">
      <c r="A5" s="398" t="s">
        <v>1</v>
      </c>
      <c r="B5" s="397"/>
      <c r="C5" s="397"/>
      <c r="D5" s="397"/>
      <c r="E5" s="397"/>
      <c r="F5" s="397"/>
      <c r="G5" s="397"/>
      <c r="H5" s="397"/>
      <c r="I5" s="397"/>
    </row>
    <row r="6" spans="1:16" ht="4.5" customHeight="1" x14ac:dyDescent="0.25"/>
    <row r="7" spans="1:16" s="59" customFormat="1" ht="16.5" customHeight="1" x14ac:dyDescent="0.25">
      <c r="A7" s="59" t="s">
        <v>2</v>
      </c>
      <c r="F7" s="111" t="s">
        <v>205</v>
      </c>
    </row>
    <row r="8" spans="1:16" s="59" customFormat="1" x14ac:dyDescent="0.25">
      <c r="A8" s="59" t="s">
        <v>3</v>
      </c>
      <c r="F8" s="239" t="s">
        <v>206</v>
      </c>
      <c r="H8" s="59" t="s">
        <v>122</v>
      </c>
      <c r="I8" s="180">
        <v>460.7</v>
      </c>
      <c r="J8" s="180">
        <v>6611.6</v>
      </c>
      <c r="K8" s="180">
        <f>I8+J8</f>
        <v>7072.3</v>
      </c>
      <c r="P8" s="110"/>
    </row>
    <row r="9" spans="1:16" s="59" customFormat="1" ht="15.75" customHeight="1" x14ac:dyDescent="0.25">
      <c r="B9" s="59" t="s">
        <v>252</v>
      </c>
      <c r="F9" s="239" t="s">
        <v>255</v>
      </c>
    </row>
    <row r="10" spans="1:16" s="59" customFormat="1" x14ac:dyDescent="0.25">
      <c r="A10" s="372" t="s">
        <v>8</v>
      </c>
      <c r="B10" s="372"/>
      <c r="C10" s="372"/>
      <c r="D10" s="372"/>
      <c r="E10" s="372"/>
      <c r="F10" s="372"/>
      <c r="G10" s="372"/>
      <c r="H10" s="372"/>
      <c r="I10" s="372"/>
    </row>
    <row r="11" spans="1:16" s="59" customFormat="1" x14ac:dyDescent="0.25">
      <c r="A11" s="372" t="s">
        <v>9</v>
      </c>
      <c r="B11" s="372"/>
      <c r="C11" s="372"/>
      <c r="D11" s="372"/>
      <c r="E11" s="372"/>
      <c r="F11" s="372"/>
      <c r="G11" s="372"/>
      <c r="H11" s="372"/>
      <c r="I11" s="372"/>
    </row>
    <row r="12" spans="1:16" s="59" customFormat="1" x14ac:dyDescent="0.25">
      <c r="A12" s="372" t="s">
        <v>10</v>
      </c>
      <c r="B12" s="372"/>
      <c r="C12" s="372"/>
      <c r="D12" s="372"/>
      <c r="E12" s="372"/>
      <c r="F12" s="372"/>
      <c r="G12" s="372"/>
      <c r="H12" s="372"/>
      <c r="I12" s="372"/>
    </row>
    <row r="13" spans="1:16" s="59" customFormat="1" ht="6" customHeight="1" thickBot="1" x14ac:dyDescent="0.3">
      <c r="A13" s="60"/>
      <c r="B13" s="60"/>
      <c r="C13" s="60"/>
      <c r="D13" s="38"/>
      <c r="E13" s="58"/>
      <c r="F13" s="58"/>
      <c r="G13" s="58"/>
      <c r="H13" s="54"/>
      <c r="I13" s="54"/>
    </row>
    <row r="14" spans="1:16" s="59" customFormat="1" ht="15.75" thickBot="1" x14ac:dyDescent="0.3">
      <c r="A14" s="55" t="s">
        <v>384</v>
      </c>
      <c r="B14" s="56"/>
      <c r="C14" s="56"/>
      <c r="D14" s="61"/>
      <c r="E14" s="62"/>
      <c r="F14" s="62"/>
      <c r="G14" s="129">
        <f>'[1]Рылеева 6'!$G$39</f>
        <v>22396.07</v>
      </c>
      <c r="H14" s="54"/>
      <c r="I14" s="54"/>
    </row>
    <row r="15" spans="1:16" s="59" customFormat="1" ht="15.75" thickBot="1" x14ac:dyDescent="0.3">
      <c r="A15" s="55" t="s">
        <v>381</v>
      </c>
      <c r="B15" s="56"/>
      <c r="C15" s="56"/>
      <c r="D15" s="61"/>
      <c r="E15" s="62"/>
      <c r="F15" s="62"/>
      <c r="G15" s="129">
        <f>'[1]Рылеева 6'!$G$40</f>
        <v>311292.12109999999</v>
      </c>
      <c r="H15" s="54"/>
      <c r="I15" s="54"/>
    </row>
    <row r="16" spans="1:16" s="59" customFormat="1" ht="6.75" customHeight="1" x14ac:dyDescent="0.25"/>
    <row r="17" spans="1:13" s="66" customFormat="1" ht="52.5" customHeight="1" x14ac:dyDescent="0.25">
      <c r="A17" s="64" t="s">
        <v>11</v>
      </c>
      <c r="B17" s="64" t="s">
        <v>12</v>
      </c>
      <c r="C17" s="64" t="s">
        <v>61</v>
      </c>
      <c r="D17" s="64" t="s">
        <v>432</v>
      </c>
      <c r="E17" s="64" t="s">
        <v>433</v>
      </c>
      <c r="F17" s="65" t="s">
        <v>434</v>
      </c>
      <c r="G17" s="64" t="s">
        <v>435</v>
      </c>
    </row>
    <row r="18" spans="1:13" s="59" customFormat="1" x14ac:dyDescent="0.25">
      <c r="A18" s="67" t="s">
        <v>14</v>
      </c>
      <c r="B18" s="39" t="s">
        <v>379</v>
      </c>
      <c r="C18" s="120">
        <v>20.32</v>
      </c>
      <c r="D18" s="68">
        <v>1612172.4</v>
      </c>
      <c r="E18" s="68">
        <v>1531885.6</v>
      </c>
      <c r="F18" s="68">
        <f t="shared" ref="F18:F25" si="0">D18</f>
        <v>1612172.4</v>
      </c>
      <c r="G18" s="69">
        <f>D18-E18</f>
        <v>80286.799999999814</v>
      </c>
      <c r="H18" s="130">
        <f>C18</f>
        <v>20.32</v>
      </c>
    </row>
    <row r="19" spans="1:13" s="59" customFormat="1" hidden="1" outlineLevel="1" x14ac:dyDescent="0.25">
      <c r="A19" s="73" t="s">
        <v>16</v>
      </c>
      <c r="B19" s="34" t="s">
        <v>17</v>
      </c>
      <c r="C19" s="89">
        <v>3.46</v>
      </c>
      <c r="D19" s="75">
        <f>D18*I19</f>
        <v>274513.60748031497</v>
      </c>
      <c r="E19" s="75">
        <f>E18*I19</f>
        <v>260842.72519685043</v>
      </c>
      <c r="F19" s="75">
        <f t="shared" si="0"/>
        <v>274513.60748031497</v>
      </c>
      <c r="G19" s="76">
        <f>D19-E19</f>
        <v>13670.88228346454</v>
      </c>
      <c r="H19" s="130">
        <f>C19</f>
        <v>3.46</v>
      </c>
      <c r="I19" s="59">
        <f>H19/H18</f>
        <v>0.17027559055118111</v>
      </c>
    </row>
    <row r="20" spans="1:13" s="59" customFormat="1" ht="15" hidden="1" customHeight="1" outlineLevel="1" x14ac:dyDescent="0.25">
      <c r="A20" s="73" t="s">
        <v>18</v>
      </c>
      <c r="B20" s="34" t="s">
        <v>19</v>
      </c>
      <c r="C20" s="89">
        <v>1.69</v>
      </c>
      <c r="D20" s="75">
        <f>D18*I20</f>
        <v>134083.23602362201</v>
      </c>
      <c r="E20" s="75">
        <f>E18*I20</f>
        <v>127405.83976377953</v>
      </c>
      <c r="F20" s="75">
        <f t="shared" si="0"/>
        <v>134083.23602362201</v>
      </c>
      <c r="G20" s="76">
        <f>D20-E20</f>
        <v>6677.3962598424841</v>
      </c>
      <c r="H20" s="130">
        <f>C20</f>
        <v>1.69</v>
      </c>
      <c r="I20" s="59">
        <f>H20/H18</f>
        <v>8.3169291338582668E-2</v>
      </c>
    </row>
    <row r="21" spans="1:13" s="59" customFormat="1" ht="15" hidden="1" customHeight="1" outlineLevel="1" x14ac:dyDescent="0.25">
      <c r="A21" s="73" t="s">
        <v>20</v>
      </c>
      <c r="B21" s="34" t="s">
        <v>21</v>
      </c>
      <c r="C21" s="89">
        <v>2.15</v>
      </c>
      <c r="D21" s="75">
        <f>D18*I21</f>
        <v>170579.2647637795</v>
      </c>
      <c r="E21" s="75">
        <f>E18*I21</f>
        <v>162084.35236220472</v>
      </c>
      <c r="F21" s="75">
        <f t="shared" si="0"/>
        <v>170579.2647637795</v>
      </c>
      <c r="G21" s="76">
        <f>D21-E21</f>
        <v>8494.9124015747802</v>
      </c>
      <c r="H21" s="130">
        <f>C21</f>
        <v>2.15</v>
      </c>
      <c r="I21" s="59">
        <f>H21/H18</f>
        <v>0.10580708661417322</v>
      </c>
    </row>
    <row r="22" spans="1:13" s="59" customFormat="1" ht="15" hidden="1" customHeight="1" outlineLevel="1" x14ac:dyDescent="0.25">
      <c r="A22" s="73" t="s">
        <v>22</v>
      </c>
      <c r="B22" s="34" t="s">
        <v>23</v>
      </c>
      <c r="C22" s="89">
        <v>3.04</v>
      </c>
      <c r="D22" s="75">
        <f>D18*I22</f>
        <v>241191.14645669292</v>
      </c>
      <c r="E22" s="75">
        <f>E18*I22</f>
        <v>229179.73543307089</v>
      </c>
      <c r="F22" s="75">
        <f t="shared" si="0"/>
        <v>241191.14645669292</v>
      </c>
      <c r="G22" s="76">
        <f>D22-E22</f>
        <v>12011.411023622029</v>
      </c>
      <c r="H22" s="130">
        <f>C22</f>
        <v>3.04</v>
      </c>
      <c r="I22" s="59">
        <f>H22/H18</f>
        <v>0.14960629921259844</v>
      </c>
    </row>
    <row r="23" spans="1:13" ht="25.5" customHeight="1" collapsed="1" x14ac:dyDescent="0.25">
      <c r="A23" s="39" t="s">
        <v>25</v>
      </c>
      <c r="B23" s="78" t="s">
        <v>145</v>
      </c>
      <c r="C23" s="46">
        <v>125</v>
      </c>
      <c r="D23" s="69">
        <v>0</v>
      </c>
      <c r="E23" s="69">
        <v>1248.6199999999999</v>
      </c>
      <c r="F23" s="69">
        <f>D23</f>
        <v>0</v>
      </c>
      <c r="G23" s="69">
        <f t="shared" ref="G23:G34" si="1">D23-E23</f>
        <v>-1248.6199999999999</v>
      </c>
      <c r="H23" s="35">
        <f>68*235</f>
        <v>15980</v>
      </c>
      <c r="I23" s="35">
        <f>D23/H23</f>
        <v>0</v>
      </c>
    </row>
    <row r="24" spans="1:13" ht="15" customHeight="1" x14ac:dyDescent="0.25">
      <c r="A24" s="39" t="s">
        <v>27</v>
      </c>
      <c r="B24" s="125" t="s">
        <v>26</v>
      </c>
      <c r="C24" s="87">
        <v>4.3600000000000003</v>
      </c>
      <c r="D24" s="69">
        <v>345566.83</v>
      </c>
      <c r="E24" s="69">
        <v>329736.84999999998</v>
      </c>
      <c r="F24" s="69">
        <f>D24</f>
        <v>345566.83</v>
      </c>
      <c r="G24" s="69">
        <f t="shared" si="1"/>
        <v>15829.98000000004</v>
      </c>
    </row>
    <row r="25" spans="1:13" ht="25.5" customHeight="1" x14ac:dyDescent="0.25">
      <c r="A25" s="39" t="s">
        <v>29</v>
      </c>
      <c r="B25" s="125" t="s">
        <v>97</v>
      </c>
      <c r="C25" s="357">
        <v>0</v>
      </c>
      <c r="D25" s="69">
        <v>0</v>
      </c>
      <c r="E25" s="69">
        <v>0</v>
      </c>
      <c r="F25" s="69">
        <f t="shared" si="0"/>
        <v>0</v>
      </c>
      <c r="G25" s="69">
        <f t="shared" si="1"/>
        <v>0</v>
      </c>
    </row>
    <row r="26" spans="1:13" ht="15" customHeight="1" x14ac:dyDescent="0.25">
      <c r="A26" s="39" t="s">
        <v>31</v>
      </c>
      <c r="B26" s="125" t="s">
        <v>80</v>
      </c>
      <c r="C26" s="87">
        <v>2.0099999999999998</v>
      </c>
      <c r="D26" s="69">
        <f>159472.56+D27</f>
        <v>170584.63999999998</v>
      </c>
      <c r="E26" s="69">
        <f>152826.1+E27</f>
        <v>163938.18</v>
      </c>
      <c r="F26" s="79">
        <f>F47</f>
        <v>37136.031800000004</v>
      </c>
      <c r="G26" s="69">
        <f t="shared" si="1"/>
        <v>6646.4599999999919</v>
      </c>
      <c r="M26" s="144"/>
    </row>
    <row r="27" spans="1:13" ht="15" customHeight="1" x14ac:dyDescent="0.25">
      <c r="A27" s="39"/>
      <c r="B27" s="292" t="s">
        <v>244</v>
      </c>
      <c r="C27" s="293"/>
      <c r="D27" s="294">
        <v>11112.08</v>
      </c>
      <c r="E27" s="294">
        <v>11112.08</v>
      </c>
      <c r="F27" s="294"/>
      <c r="G27" s="248">
        <f>D27-E27</f>
        <v>0</v>
      </c>
      <c r="M27" s="144"/>
    </row>
    <row r="28" spans="1:13" ht="15" customHeight="1" x14ac:dyDescent="0.25">
      <c r="A28" s="39" t="s">
        <v>33</v>
      </c>
      <c r="B28" s="119" t="s">
        <v>34</v>
      </c>
      <c r="C28" s="43">
        <v>0</v>
      </c>
      <c r="D28" s="69">
        <v>0</v>
      </c>
      <c r="E28" s="69">
        <v>0</v>
      </c>
      <c r="F28" s="79">
        <v>0</v>
      </c>
      <c r="G28" s="69">
        <f t="shared" si="1"/>
        <v>0</v>
      </c>
    </row>
    <row r="29" spans="1:13" ht="15" customHeight="1" x14ac:dyDescent="0.25">
      <c r="A29" s="39" t="s">
        <v>35</v>
      </c>
      <c r="B29" s="119" t="s">
        <v>36</v>
      </c>
      <c r="C29" s="87"/>
      <c r="D29" s="69">
        <f>SUM(D30:D33)</f>
        <v>4978359.9399999995</v>
      </c>
      <c r="E29" s="69">
        <f>SUM(E30:E33)</f>
        <v>4683223.29</v>
      </c>
      <c r="F29" s="69">
        <f>SUM(F30:F33)</f>
        <v>4907076.24</v>
      </c>
      <c r="G29" s="69">
        <f t="shared" si="1"/>
        <v>295136.64999999944</v>
      </c>
      <c r="M29" s="274"/>
    </row>
    <row r="30" spans="1:13" ht="15" customHeight="1" x14ac:dyDescent="0.25">
      <c r="A30" s="34" t="s">
        <v>37</v>
      </c>
      <c r="B30" s="34" t="s">
        <v>101</v>
      </c>
      <c r="C30" s="89">
        <v>7.36</v>
      </c>
      <c r="D30" s="76">
        <v>432891.36</v>
      </c>
      <c r="E30" s="76">
        <v>412291.19</v>
      </c>
      <c r="F30" s="76">
        <f>D30</f>
        <v>432891.36</v>
      </c>
      <c r="G30" s="76">
        <f t="shared" si="1"/>
        <v>20600.169999999984</v>
      </c>
    </row>
    <row r="31" spans="1:13" x14ac:dyDescent="0.25">
      <c r="A31" s="34" t="s">
        <v>39</v>
      </c>
      <c r="B31" s="34" t="s">
        <v>84</v>
      </c>
      <c r="C31" s="89">
        <v>88.38</v>
      </c>
      <c r="D31" s="76">
        <v>867068.04</v>
      </c>
      <c r="E31" s="76">
        <v>795784.34</v>
      </c>
      <c r="F31" s="76">
        <v>795784.34</v>
      </c>
      <c r="G31" s="76">
        <f t="shared" si="1"/>
        <v>71283.70000000007</v>
      </c>
    </row>
    <row r="32" spans="1:13" x14ac:dyDescent="0.25">
      <c r="A32" s="34" t="s">
        <v>42</v>
      </c>
      <c r="B32" s="34" t="s">
        <v>40</v>
      </c>
      <c r="C32" s="128">
        <v>278.94</v>
      </c>
      <c r="D32" s="76">
        <v>1138776.32</v>
      </c>
      <c r="E32" s="76">
        <v>1051170.1100000001</v>
      </c>
      <c r="F32" s="76">
        <f>D32</f>
        <v>1138776.32</v>
      </c>
      <c r="G32" s="76">
        <f t="shared" si="1"/>
        <v>87606.209999999963</v>
      </c>
    </row>
    <row r="33" spans="1:10" x14ac:dyDescent="0.25">
      <c r="A33" s="34" t="s">
        <v>41</v>
      </c>
      <c r="B33" s="34" t="s">
        <v>43</v>
      </c>
      <c r="C33" s="89">
        <v>3352.42</v>
      </c>
      <c r="D33" s="76">
        <v>2539624.2200000002</v>
      </c>
      <c r="E33" s="76">
        <v>2423977.65</v>
      </c>
      <c r="F33" s="76">
        <f>D33</f>
        <v>2539624.2200000002</v>
      </c>
      <c r="G33" s="76">
        <f t="shared" si="1"/>
        <v>115646.5700000003</v>
      </c>
      <c r="H33" s="91"/>
      <c r="I33" s="91"/>
    </row>
    <row r="34" spans="1:10" hidden="1" outlineLevel="1" x14ac:dyDescent="0.25">
      <c r="A34" s="174" t="s">
        <v>130</v>
      </c>
      <c r="B34" s="257" t="s">
        <v>133</v>
      </c>
      <c r="C34" s="298"/>
      <c r="D34" s="248">
        <v>1800</v>
      </c>
      <c r="E34" s="248">
        <v>1800</v>
      </c>
      <c r="F34" s="296">
        <v>0</v>
      </c>
      <c r="G34" s="248">
        <f t="shared" si="1"/>
        <v>0</v>
      </c>
      <c r="H34" s="91"/>
      <c r="I34" s="91"/>
    </row>
    <row r="35" spans="1:10" hidden="1" outlineLevel="1" x14ac:dyDescent="0.25">
      <c r="A35" s="174"/>
      <c r="B35" s="295"/>
      <c r="C35" s="376" t="s">
        <v>246</v>
      </c>
      <c r="D35" s="377"/>
      <c r="E35" s="377"/>
      <c r="F35" s="377"/>
      <c r="G35" s="82">
        <f>E34-(E34*15%)</f>
        <v>1530</v>
      </c>
      <c r="H35" s="91"/>
      <c r="I35" s="91"/>
    </row>
    <row r="36" spans="1:10" ht="15.75" customHeight="1" collapsed="1" thickBot="1" x14ac:dyDescent="0.3">
      <c r="A36" s="373"/>
      <c r="B36" s="374"/>
      <c r="C36" s="374"/>
      <c r="D36" s="375"/>
      <c r="E36" s="375"/>
      <c r="F36" s="375"/>
      <c r="G36" s="155"/>
      <c r="H36" s="91"/>
      <c r="I36" s="91"/>
    </row>
    <row r="37" spans="1:10" s="92" customFormat="1" ht="14.25" thickBot="1" x14ac:dyDescent="0.3">
      <c r="A37" s="387" t="s">
        <v>427</v>
      </c>
      <c r="B37" s="388"/>
      <c r="C37" s="388"/>
      <c r="D37" s="57">
        <v>396651.27</v>
      </c>
      <c r="E37" s="58"/>
      <c r="F37" s="58"/>
      <c r="G37" s="58"/>
      <c r="H37" s="54"/>
      <c r="I37" s="54"/>
      <c r="J37" s="91"/>
    </row>
    <row r="38" spans="1:10" s="59" customFormat="1" ht="10.5" customHeight="1" thickBot="1" x14ac:dyDescent="0.3">
      <c r="A38" s="60"/>
      <c r="B38" s="60"/>
      <c r="C38" s="60"/>
      <c r="D38" s="38"/>
      <c r="E38" s="58"/>
      <c r="F38" s="58"/>
      <c r="G38" s="58"/>
      <c r="H38" s="54"/>
      <c r="I38" s="54"/>
    </row>
    <row r="39" spans="1:10" s="59" customFormat="1" ht="15.75" thickBot="1" x14ac:dyDescent="0.3">
      <c r="A39" s="55" t="s">
        <v>464</v>
      </c>
      <c r="B39" s="56"/>
      <c r="C39" s="56"/>
      <c r="D39" s="61"/>
      <c r="E39" s="62"/>
      <c r="F39" s="62"/>
      <c r="G39" s="129">
        <f>G14+E28-F28</f>
        <v>22396.07</v>
      </c>
      <c r="H39" s="54"/>
      <c r="I39" s="54"/>
    </row>
    <row r="40" spans="1:10" s="59" customFormat="1" ht="15.75" thickBot="1" x14ac:dyDescent="0.3">
      <c r="A40" s="55" t="s">
        <v>428</v>
      </c>
      <c r="B40" s="56"/>
      <c r="C40" s="56"/>
      <c r="D40" s="61"/>
      <c r="E40" s="62"/>
      <c r="F40" s="62"/>
      <c r="G40" s="129">
        <f>G15+E26-F26</f>
        <v>438094.26929999999</v>
      </c>
      <c r="H40" s="54"/>
      <c r="I40" s="54"/>
    </row>
    <row r="41" spans="1:10" s="59" customFormat="1" x14ac:dyDescent="0.25">
      <c r="A41" s="392" t="s">
        <v>90</v>
      </c>
      <c r="B41" s="392"/>
      <c r="C41" s="60"/>
      <c r="D41" s="38"/>
      <c r="E41" s="58"/>
      <c r="F41" s="58"/>
      <c r="G41" s="38"/>
      <c r="H41" s="54"/>
      <c r="I41" s="54"/>
    </row>
    <row r="42" spans="1:10" s="59" customFormat="1" x14ac:dyDescent="0.25">
      <c r="A42" s="393" t="s">
        <v>91</v>
      </c>
      <c r="B42" s="394"/>
      <c r="C42" s="41" t="s">
        <v>92</v>
      </c>
      <c r="D42" s="41" t="s">
        <v>93</v>
      </c>
      <c r="E42" s="42" t="s">
        <v>94</v>
      </c>
      <c r="F42" s="40" t="s">
        <v>95</v>
      </c>
      <c r="G42" s="42" t="s">
        <v>96</v>
      </c>
      <c r="H42" s="54"/>
      <c r="I42" s="54">
        <f>47170.65-I43</f>
        <v>10282.401000000005</v>
      </c>
    </row>
    <row r="43" spans="1:10" s="59" customFormat="1" x14ac:dyDescent="0.25">
      <c r="A43" s="395"/>
      <c r="B43" s="396"/>
      <c r="C43" s="110">
        <v>460.7</v>
      </c>
      <c r="D43" s="138">
        <f>E43/C43/12</f>
        <v>34.129693943998269</v>
      </c>
      <c r="E43" s="73">
        <v>188682.6</v>
      </c>
      <c r="F43" s="75">
        <v>188682.6</v>
      </c>
      <c r="G43" s="138">
        <f>E43-F43</f>
        <v>0</v>
      </c>
      <c r="H43" s="335">
        <f>C18+C24+C26</f>
        <v>26.689999999999998</v>
      </c>
      <c r="I43" s="54">
        <f>H43*C43*3</f>
        <v>36888.248999999996</v>
      </c>
    </row>
    <row r="44" spans="1:10" s="59" customFormat="1" ht="25.5" customHeight="1" x14ac:dyDescent="0.25">
      <c r="A44" s="485" t="s">
        <v>44</v>
      </c>
      <c r="B44" s="485"/>
      <c r="C44" s="485"/>
      <c r="D44" s="485"/>
      <c r="E44" s="485"/>
      <c r="F44" s="485"/>
      <c r="G44" s="485"/>
      <c r="H44" s="485"/>
      <c r="I44" s="485"/>
    </row>
    <row r="45" spans="1:10" ht="24.75" customHeight="1" x14ac:dyDescent="0.25"/>
    <row r="46" spans="1:10" ht="28.5" x14ac:dyDescent="0.25">
      <c r="A46" s="94" t="s">
        <v>11</v>
      </c>
      <c r="B46" s="416" t="s">
        <v>45</v>
      </c>
      <c r="C46" s="425"/>
      <c r="D46" s="94" t="s">
        <v>99</v>
      </c>
      <c r="E46" s="94" t="s">
        <v>98</v>
      </c>
      <c r="F46" s="416" t="s">
        <v>46</v>
      </c>
      <c r="G46" s="425"/>
      <c r="H46" s="156"/>
      <c r="I46" s="156"/>
    </row>
    <row r="47" spans="1:10" s="156" customFormat="1" x14ac:dyDescent="0.25">
      <c r="A47" s="98" t="s">
        <v>47</v>
      </c>
      <c r="B47" s="418" t="s">
        <v>75</v>
      </c>
      <c r="C47" s="430"/>
      <c r="D47" s="99"/>
      <c r="E47" s="99"/>
      <c r="F47" s="436">
        <f>SUM(F48:G54)</f>
        <v>37136.031800000004</v>
      </c>
      <c r="G47" s="424"/>
      <c r="H47" s="103"/>
      <c r="I47" s="103"/>
    </row>
    <row r="48" spans="1:10" s="184" customFormat="1" x14ac:dyDescent="0.25">
      <c r="A48" s="181" t="s">
        <v>16</v>
      </c>
      <c r="B48" s="406" t="s">
        <v>484</v>
      </c>
      <c r="C48" s="431"/>
      <c r="D48" s="105" t="s">
        <v>100</v>
      </c>
      <c r="E48" s="105">
        <v>1</v>
      </c>
      <c r="F48" s="435">
        <v>7108.55</v>
      </c>
      <c r="G48" s="435"/>
      <c r="H48" s="183"/>
      <c r="I48" s="183"/>
    </row>
    <row r="49" spans="1:9" s="184" customFormat="1" x14ac:dyDescent="0.25">
      <c r="A49" s="181" t="s">
        <v>18</v>
      </c>
      <c r="B49" s="401" t="s">
        <v>485</v>
      </c>
      <c r="C49" s="432"/>
      <c r="D49" s="182" t="s">
        <v>137</v>
      </c>
      <c r="E49" s="182">
        <v>1.4999999999999999E-2</v>
      </c>
      <c r="F49" s="499">
        <v>5997.6</v>
      </c>
      <c r="G49" s="500"/>
      <c r="H49" s="183"/>
      <c r="I49" s="183"/>
    </row>
    <row r="50" spans="1:9" s="184" customFormat="1" x14ac:dyDescent="0.25">
      <c r="A50" s="181" t="s">
        <v>20</v>
      </c>
      <c r="B50" s="401" t="s">
        <v>486</v>
      </c>
      <c r="C50" s="432"/>
      <c r="D50" s="182" t="s">
        <v>100</v>
      </c>
      <c r="E50" s="182">
        <v>1</v>
      </c>
      <c r="F50" s="435">
        <v>7940.25</v>
      </c>
      <c r="G50" s="435"/>
      <c r="H50" s="183"/>
      <c r="I50" s="183"/>
    </row>
    <row r="51" spans="1:9" s="184" customFormat="1" x14ac:dyDescent="0.25">
      <c r="A51" s="124" t="s">
        <v>22</v>
      </c>
      <c r="B51" s="401" t="s">
        <v>487</v>
      </c>
      <c r="C51" s="432"/>
      <c r="D51" s="182" t="s">
        <v>100</v>
      </c>
      <c r="E51" s="182">
        <v>1</v>
      </c>
      <c r="F51" s="435">
        <v>14450.25</v>
      </c>
      <c r="G51" s="435"/>
      <c r="H51" s="183"/>
      <c r="I51" s="183"/>
    </row>
    <row r="52" spans="1:9" s="184" customFormat="1" x14ac:dyDescent="0.25">
      <c r="A52" s="181" t="s">
        <v>24</v>
      </c>
      <c r="B52" s="461"/>
      <c r="C52" s="462"/>
      <c r="D52" s="269"/>
      <c r="E52" s="269"/>
      <c r="F52" s="463"/>
      <c r="G52" s="463"/>
      <c r="H52" s="183"/>
      <c r="I52" s="183"/>
    </row>
    <row r="53" spans="1:9" s="184" customFormat="1" x14ac:dyDescent="0.25">
      <c r="A53" s="124" t="s">
        <v>73</v>
      </c>
      <c r="B53" s="461"/>
      <c r="C53" s="462"/>
      <c r="D53" s="269"/>
      <c r="E53" s="269"/>
      <c r="F53" s="463"/>
      <c r="G53" s="463"/>
      <c r="H53" s="183"/>
      <c r="I53" s="183"/>
    </row>
    <row r="54" spans="1:9" s="103" customFormat="1" ht="13.5" customHeight="1" x14ac:dyDescent="0.25">
      <c r="A54" s="181" t="s">
        <v>74</v>
      </c>
      <c r="B54" s="133" t="s">
        <v>108</v>
      </c>
      <c r="C54" s="134"/>
      <c r="D54" s="105"/>
      <c r="E54" s="105"/>
      <c r="F54" s="437">
        <f>E26*1%</f>
        <v>1639.3817999999999</v>
      </c>
      <c r="G54" s="438"/>
      <c r="H54" s="35"/>
      <c r="I54" s="35"/>
    </row>
    <row r="55" spans="1:9" ht="13.5" customHeight="1" x14ac:dyDescent="0.25">
      <c r="A55" s="59"/>
      <c r="B55" s="59"/>
      <c r="C55" s="59"/>
      <c r="D55" s="59"/>
      <c r="E55" s="59"/>
      <c r="F55" s="59"/>
      <c r="G55" s="59"/>
      <c r="H55" s="59"/>
      <c r="I55" s="59"/>
    </row>
    <row r="56" spans="1:9" ht="13.5" customHeight="1" x14ac:dyDescent="0.25">
      <c r="A56" s="51" t="s">
        <v>372</v>
      </c>
      <c r="B56" s="59"/>
      <c r="C56" s="59" t="s">
        <v>49</v>
      </c>
      <c r="D56" s="59"/>
      <c r="E56" s="59"/>
      <c r="F56" s="59" t="s">
        <v>60</v>
      </c>
      <c r="G56" s="59"/>
      <c r="H56" s="59"/>
      <c r="I56" s="59"/>
    </row>
    <row r="57" spans="1:9" ht="13.5" customHeight="1" x14ac:dyDescent="0.25">
      <c r="A57" s="59"/>
      <c r="B57" s="59"/>
      <c r="C57" s="59"/>
      <c r="D57" s="59"/>
      <c r="E57" s="59"/>
      <c r="F57" s="111" t="s">
        <v>438</v>
      </c>
      <c r="G57" s="59"/>
      <c r="H57" s="59"/>
      <c r="I57" s="59"/>
    </row>
    <row r="58" spans="1:9" ht="13.5" customHeight="1" x14ac:dyDescent="0.25">
      <c r="A58" s="59" t="s">
        <v>50</v>
      </c>
      <c r="B58" s="59"/>
      <c r="C58" s="59"/>
      <c r="D58" s="59"/>
      <c r="E58" s="59"/>
      <c r="F58" s="59"/>
      <c r="G58" s="59"/>
      <c r="H58" s="59"/>
      <c r="I58" s="59"/>
    </row>
    <row r="59" spans="1:9" ht="13.5" customHeight="1" x14ac:dyDescent="0.25">
      <c r="A59" s="59"/>
      <c r="B59" s="59"/>
      <c r="C59" s="113" t="s">
        <v>51</v>
      </c>
      <c r="D59" s="59"/>
      <c r="E59" s="113"/>
      <c r="F59" s="113"/>
      <c r="G59" s="113"/>
      <c r="H59" s="59"/>
      <c r="I59" s="59"/>
    </row>
  </sheetData>
  <mergeCells count="30">
    <mergeCell ref="A2:K2"/>
    <mergeCell ref="A1:I1"/>
    <mergeCell ref="A5:I5"/>
    <mergeCell ref="A10:I10"/>
    <mergeCell ref="A3:K3"/>
    <mergeCell ref="B46:C46"/>
    <mergeCell ref="F46:G46"/>
    <mergeCell ref="A37:C37"/>
    <mergeCell ref="A12:I12"/>
    <mergeCell ref="A11:I11"/>
    <mergeCell ref="F51:G51"/>
    <mergeCell ref="F52:G52"/>
    <mergeCell ref="F54:G54"/>
    <mergeCell ref="B47:C47"/>
    <mergeCell ref="F49:G49"/>
    <mergeCell ref="B48:C48"/>
    <mergeCell ref="F48:G48"/>
    <mergeCell ref="F47:G47"/>
    <mergeCell ref="B49:C49"/>
    <mergeCell ref="F53:G53"/>
    <mergeCell ref="B50:C50"/>
    <mergeCell ref="B51:C51"/>
    <mergeCell ref="B52:C52"/>
    <mergeCell ref="B53:C53"/>
    <mergeCell ref="C35:F35"/>
    <mergeCell ref="A44:I44"/>
    <mergeCell ref="A36:F36"/>
    <mergeCell ref="A41:B41"/>
    <mergeCell ref="A42:B43"/>
    <mergeCell ref="F50:G50"/>
  </mergeCells>
  <phoneticPr fontId="14" type="noConversion"/>
  <pageMargins left="0" right="0" top="0" bottom="0" header="0.31496062992125984" footer="0.31496062992125984"/>
  <pageSetup paperSize="9" orientation="landscape" verticalDpi="0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C473A1-5BEF-43B1-ACE9-2DCEBE282E09}">
  <sheetPr>
    <tabColor rgb="FF7030A0"/>
  </sheetPr>
  <dimension ref="A1:M52"/>
  <sheetViews>
    <sheetView topLeftCell="A34" zoomScaleNormal="100" workbookViewId="0">
      <selection activeCell="A55" sqref="A55:IV56"/>
    </sheetView>
  </sheetViews>
  <sheetFormatPr defaultRowHeight="15" outlineLevelRow="1" outlineLevelCol="1" x14ac:dyDescent="0.25"/>
  <cols>
    <col min="1" max="1" width="4.7109375" style="35" customWidth="1"/>
    <col min="2" max="2" width="48.42578125" style="35" customWidth="1"/>
    <col min="3" max="3" width="13.140625" style="35" customWidth="1"/>
    <col min="4" max="4" width="14" style="35" customWidth="1"/>
    <col min="5" max="5" width="13.7109375" style="35" customWidth="1"/>
    <col min="6" max="6" width="12.7109375" style="35" customWidth="1"/>
    <col min="7" max="7" width="13.28515625" style="35" customWidth="1"/>
    <col min="8" max="8" width="10.85546875" style="35" hidden="1" customWidth="1" outlineLevel="1"/>
    <col min="9" max="9" width="13.42578125" style="35" hidden="1" customWidth="1" outlineLevel="1"/>
    <col min="10" max="12" width="9.140625" style="35" hidden="1" customWidth="1" outlineLevel="1"/>
    <col min="13" max="13" width="10.7109375" style="35" bestFit="1" customWidth="1" collapsed="1"/>
    <col min="14" max="16384" width="9.140625" style="35"/>
  </cols>
  <sheetData>
    <row r="1" spans="1:11" x14ac:dyDescent="0.25">
      <c r="A1" s="397" t="s">
        <v>0</v>
      </c>
      <c r="B1" s="397"/>
      <c r="C1" s="397"/>
      <c r="D1" s="397"/>
      <c r="E1" s="397"/>
      <c r="F1" s="397"/>
      <c r="G1" s="397"/>
      <c r="H1" s="397"/>
      <c r="I1" s="397"/>
    </row>
    <row r="2" spans="1:11" ht="15" customHeight="1" x14ac:dyDescent="0.25">
      <c r="A2" s="370" t="s">
        <v>152</v>
      </c>
      <c r="B2" s="370"/>
      <c r="C2" s="370"/>
      <c r="D2" s="370"/>
      <c r="E2" s="370"/>
      <c r="F2" s="370"/>
      <c r="G2" s="370"/>
      <c r="H2" s="370"/>
      <c r="I2" s="370"/>
      <c r="J2" s="370"/>
      <c r="K2" s="370"/>
    </row>
    <row r="3" spans="1:11" ht="15.75" customHeight="1" x14ac:dyDescent="0.25">
      <c r="A3" s="370" t="s">
        <v>426</v>
      </c>
      <c r="B3" s="370"/>
      <c r="C3" s="370"/>
      <c r="D3" s="370"/>
      <c r="E3" s="370"/>
      <c r="F3" s="370"/>
      <c r="G3" s="370"/>
      <c r="H3" s="370"/>
      <c r="I3" s="370"/>
      <c r="J3" s="370"/>
      <c r="K3" s="370"/>
    </row>
    <row r="4" spans="1:11" ht="3.75" customHeight="1" x14ac:dyDescent="0.25">
      <c r="A4" s="142"/>
      <c r="B4" s="142"/>
      <c r="C4" s="142"/>
      <c r="D4" s="142"/>
      <c r="E4" s="142"/>
      <c r="F4" s="142"/>
      <c r="G4" s="142"/>
      <c r="H4" s="142"/>
      <c r="I4" s="142"/>
    </row>
    <row r="5" spans="1:11" ht="12.75" customHeight="1" x14ac:dyDescent="0.25">
      <c r="A5" s="398" t="s">
        <v>1</v>
      </c>
      <c r="B5" s="397"/>
      <c r="C5" s="397"/>
      <c r="D5" s="397"/>
      <c r="E5" s="397"/>
      <c r="F5" s="397"/>
      <c r="G5" s="397"/>
      <c r="H5" s="397"/>
      <c r="I5" s="397"/>
    </row>
    <row r="6" spans="1:11" ht="4.5" customHeight="1" x14ac:dyDescent="0.25"/>
    <row r="7" spans="1:11" s="59" customFormat="1" ht="16.5" customHeight="1" x14ac:dyDescent="0.25">
      <c r="A7" s="59" t="s">
        <v>2</v>
      </c>
      <c r="F7" s="111" t="s">
        <v>207</v>
      </c>
    </row>
    <row r="8" spans="1:11" s="59" customFormat="1" x14ac:dyDescent="0.25">
      <c r="A8" s="59" t="s">
        <v>3</v>
      </c>
      <c r="F8" s="239" t="s">
        <v>208</v>
      </c>
      <c r="I8" s="180">
        <v>112.1</v>
      </c>
      <c r="J8" s="59">
        <v>3260</v>
      </c>
      <c r="K8" s="281">
        <f>I8+J8</f>
        <v>3372.1</v>
      </c>
    </row>
    <row r="9" spans="1:11" s="59" customFormat="1" ht="15.75" customHeight="1" x14ac:dyDescent="0.25">
      <c r="B9" s="59" t="s">
        <v>252</v>
      </c>
      <c r="F9" s="239" t="s">
        <v>256</v>
      </c>
    </row>
    <row r="10" spans="1:11" s="59" customFormat="1" ht="14.25" customHeight="1" x14ac:dyDescent="0.25">
      <c r="A10" s="372" t="s">
        <v>8</v>
      </c>
      <c r="B10" s="372"/>
      <c r="C10" s="372"/>
      <c r="D10" s="372"/>
      <c r="E10" s="372"/>
      <c r="F10" s="372"/>
      <c r="G10" s="372"/>
      <c r="H10" s="372"/>
      <c r="I10" s="372"/>
    </row>
    <row r="11" spans="1:11" s="59" customFormat="1" ht="14.25" customHeight="1" x14ac:dyDescent="0.25">
      <c r="A11" s="372" t="s">
        <v>9</v>
      </c>
      <c r="B11" s="372"/>
      <c r="C11" s="372"/>
      <c r="D11" s="372"/>
      <c r="E11" s="372"/>
      <c r="F11" s="372"/>
      <c r="G11" s="372"/>
      <c r="H11" s="372"/>
      <c r="I11" s="372"/>
    </row>
    <row r="12" spans="1:11" s="59" customFormat="1" x14ac:dyDescent="0.25">
      <c r="A12" s="372" t="s">
        <v>10</v>
      </c>
      <c r="B12" s="372"/>
      <c r="C12" s="372"/>
      <c r="D12" s="372"/>
      <c r="E12" s="372"/>
      <c r="F12" s="372"/>
      <c r="G12" s="372"/>
      <c r="H12" s="372"/>
      <c r="I12" s="372"/>
    </row>
    <row r="13" spans="1:11" s="59" customFormat="1" ht="6" customHeight="1" thickBot="1" x14ac:dyDescent="0.3">
      <c r="A13" s="60"/>
      <c r="B13" s="60"/>
      <c r="C13" s="60"/>
      <c r="D13" s="38"/>
      <c r="E13" s="58"/>
      <c r="F13" s="58"/>
      <c r="G13" s="58"/>
      <c r="H13" s="54"/>
      <c r="I13" s="54"/>
    </row>
    <row r="14" spans="1:11" s="59" customFormat="1" ht="15.75" thickBot="1" x14ac:dyDescent="0.3">
      <c r="A14" s="55" t="s">
        <v>381</v>
      </c>
      <c r="B14" s="56"/>
      <c r="C14" s="56"/>
      <c r="D14" s="61"/>
      <c r="E14" s="62"/>
      <c r="F14" s="62"/>
      <c r="G14" s="129">
        <f>'[1]Суворова 13'!$G$36</f>
        <v>-688233.51</v>
      </c>
      <c r="H14" s="54"/>
      <c r="I14" s="54"/>
    </row>
    <row r="15" spans="1:11" s="59" customFormat="1" ht="6.75" customHeight="1" x14ac:dyDescent="0.25"/>
    <row r="16" spans="1:11" s="66" customFormat="1" ht="38.25" x14ac:dyDescent="0.25">
      <c r="A16" s="64" t="s">
        <v>11</v>
      </c>
      <c r="B16" s="64" t="s">
        <v>12</v>
      </c>
      <c r="C16" s="64" t="s">
        <v>61</v>
      </c>
      <c r="D16" s="64" t="s">
        <v>432</v>
      </c>
      <c r="E16" s="64" t="s">
        <v>433</v>
      </c>
      <c r="F16" s="65" t="s">
        <v>434</v>
      </c>
      <c r="G16" s="64" t="s">
        <v>435</v>
      </c>
    </row>
    <row r="17" spans="1:13" s="59" customFormat="1" x14ac:dyDescent="0.25">
      <c r="A17" s="67" t="s">
        <v>14</v>
      </c>
      <c r="B17" s="39" t="s">
        <v>379</v>
      </c>
      <c r="C17" s="120">
        <v>23.01</v>
      </c>
      <c r="D17" s="68">
        <v>900151.15</v>
      </c>
      <c r="E17" s="68">
        <v>894743.32</v>
      </c>
      <c r="F17" s="68">
        <f t="shared" ref="F17:F23" si="0">D17</f>
        <v>900151.15</v>
      </c>
      <c r="G17" s="69">
        <f>D17-E17</f>
        <v>5407.8300000000745</v>
      </c>
      <c r="H17" s="130">
        <f>C17</f>
        <v>23.01</v>
      </c>
    </row>
    <row r="18" spans="1:13" s="59" customFormat="1" hidden="1" outlineLevel="1" x14ac:dyDescent="0.25">
      <c r="A18" s="73" t="s">
        <v>16</v>
      </c>
      <c r="B18" s="34" t="s">
        <v>17</v>
      </c>
      <c r="C18" s="89">
        <v>3.46</v>
      </c>
      <c r="D18" s="75">
        <f>D17*I18</f>
        <v>135355.19248152975</v>
      </c>
      <c r="E18" s="75">
        <f>E17*I18</f>
        <v>134542.02030421555</v>
      </c>
      <c r="F18" s="75">
        <f t="shared" si="0"/>
        <v>135355.19248152975</v>
      </c>
      <c r="G18" s="76">
        <f>D18-E18</f>
        <v>813.17217731420533</v>
      </c>
      <c r="H18" s="130">
        <f>C18</f>
        <v>3.46</v>
      </c>
      <c r="I18" s="59">
        <f>H18/H17</f>
        <v>0.15036940460669274</v>
      </c>
    </row>
    <row r="19" spans="1:13" s="59" customFormat="1" hidden="1" outlineLevel="1" x14ac:dyDescent="0.25">
      <c r="A19" s="73" t="s">
        <v>18</v>
      </c>
      <c r="B19" s="34" t="s">
        <v>19</v>
      </c>
      <c r="C19" s="89">
        <v>1.69</v>
      </c>
      <c r="D19" s="75">
        <f>D17*I19</f>
        <v>66112.796327683609</v>
      </c>
      <c r="E19" s="75">
        <f>E17*I19</f>
        <v>65715.611073446315</v>
      </c>
      <c r="F19" s="75">
        <f t="shared" si="0"/>
        <v>66112.796327683609</v>
      </c>
      <c r="G19" s="76">
        <f>D19-E19</f>
        <v>397.18525423729443</v>
      </c>
      <c r="H19" s="130">
        <f>C19</f>
        <v>1.69</v>
      </c>
      <c r="I19" s="59">
        <f>H19/H17</f>
        <v>7.3446327683615809E-2</v>
      </c>
    </row>
    <row r="20" spans="1:13" s="59" customFormat="1" hidden="1" outlineLevel="1" x14ac:dyDescent="0.25">
      <c r="A20" s="73" t="s">
        <v>20</v>
      </c>
      <c r="B20" s="34" t="s">
        <v>21</v>
      </c>
      <c r="C20" s="89">
        <v>1.69</v>
      </c>
      <c r="D20" s="75">
        <f>D17*I20</f>
        <v>66112.796327683609</v>
      </c>
      <c r="E20" s="75">
        <f>E17*I20</f>
        <v>65715.611073446315</v>
      </c>
      <c r="F20" s="75">
        <f t="shared" si="0"/>
        <v>66112.796327683609</v>
      </c>
      <c r="G20" s="76">
        <f>D20-E20</f>
        <v>397.18525423729443</v>
      </c>
      <c r="H20" s="130">
        <f>C20</f>
        <v>1.69</v>
      </c>
      <c r="I20" s="59">
        <f>H20/H17</f>
        <v>7.3446327683615809E-2</v>
      </c>
    </row>
    <row r="21" spans="1:13" s="59" customFormat="1" hidden="1" outlineLevel="1" x14ac:dyDescent="0.25">
      <c r="A21" s="73" t="s">
        <v>22</v>
      </c>
      <c r="B21" s="34" t="s">
        <v>23</v>
      </c>
      <c r="C21" s="89">
        <v>3.04</v>
      </c>
      <c r="D21" s="75">
        <f>D17*I21</f>
        <v>118924.79339417643</v>
      </c>
      <c r="E21" s="75">
        <f>E17*I21</f>
        <v>118210.3299782703</v>
      </c>
      <c r="F21" s="75">
        <f t="shared" si="0"/>
        <v>118924.79339417643</v>
      </c>
      <c r="G21" s="76">
        <f>D21-E21</f>
        <v>714.46341590613883</v>
      </c>
      <c r="H21" s="130">
        <f>C21</f>
        <v>3.04</v>
      </c>
      <c r="I21" s="59">
        <f>H21/H17</f>
        <v>0.13211647109952193</v>
      </c>
    </row>
    <row r="22" spans="1:13" collapsed="1" x14ac:dyDescent="0.25">
      <c r="A22" s="39" t="s">
        <v>25</v>
      </c>
      <c r="B22" s="78" t="s">
        <v>145</v>
      </c>
      <c r="C22" s="357">
        <v>135</v>
      </c>
      <c r="D22" s="69">
        <v>0</v>
      </c>
      <c r="E22" s="69">
        <v>336.68</v>
      </c>
      <c r="F22" s="69">
        <f t="shared" si="0"/>
        <v>0</v>
      </c>
      <c r="G22" s="69">
        <f t="shared" ref="G22:G32" si="1">D22-E22</f>
        <v>-336.68</v>
      </c>
    </row>
    <row r="23" spans="1:13" x14ac:dyDescent="0.25">
      <c r="A23" s="39" t="s">
        <v>27</v>
      </c>
      <c r="B23" s="125" t="s">
        <v>28</v>
      </c>
      <c r="C23" s="126">
        <v>0</v>
      </c>
      <c r="D23" s="69">
        <v>0</v>
      </c>
      <c r="E23" s="69">
        <v>0</v>
      </c>
      <c r="F23" s="69">
        <f t="shared" si="0"/>
        <v>0</v>
      </c>
      <c r="G23" s="69">
        <f t="shared" si="1"/>
        <v>0</v>
      </c>
    </row>
    <row r="24" spans="1:13" x14ac:dyDescent="0.25">
      <c r="A24" s="39" t="s">
        <v>29</v>
      </c>
      <c r="B24" s="125" t="s">
        <v>97</v>
      </c>
      <c r="C24" s="357">
        <v>0</v>
      </c>
      <c r="D24" s="69">
        <v>0</v>
      </c>
      <c r="E24" s="69">
        <v>0</v>
      </c>
      <c r="F24" s="79">
        <v>0</v>
      </c>
      <c r="G24" s="69">
        <f t="shared" si="1"/>
        <v>0</v>
      </c>
      <c r="M24" s="144"/>
    </row>
    <row r="25" spans="1:13" x14ac:dyDescent="0.25">
      <c r="A25" s="39" t="s">
        <v>31</v>
      </c>
      <c r="B25" s="125" t="s">
        <v>80</v>
      </c>
      <c r="C25" s="126">
        <v>2.2799999999999998</v>
      </c>
      <c r="D25" s="69">
        <f>89193.84+D26</f>
        <v>92260.9</v>
      </c>
      <c r="E25" s="69">
        <f>87575.96+E26</f>
        <v>87575.96</v>
      </c>
      <c r="F25" s="79">
        <f>F43</f>
        <v>26945.9</v>
      </c>
      <c r="G25" s="69">
        <f>D25-E25</f>
        <v>4684.9399999999878</v>
      </c>
    </row>
    <row r="26" spans="1:13" x14ac:dyDescent="0.25">
      <c r="A26" s="39"/>
      <c r="B26" s="292" t="s">
        <v>244</v>
      </c>
      <c r="C26" s="293"/>
      <c r="D26" s="294">
        <v>3067.06</v>
      </c>
      <c r="E26" s="294">
        <v>0</v>
      </c>
      <c r="F26" s="294"/>
      <c r="G26" s="248">
        <v>0</v>
      </c>
    </row>
    <row r="27" spans="1:13" x14ac:dyDescent="0.25">
      <c r="A27" s="39" t="s">
        <v>33</v>
      </c>
      <c r="B27" s="119" t="s">
        <v>34</v>
      </c>
      <c r="C27" s="120">
        <v>0</v>
      </c>
      <c r="D27" s="69">
        <v>0</v>
      </c>
      <c r="E27" s="69">
        <v>0</v>
      </c>
      <c r="F27" s="79">
        <v>0</v>
      </c>
      <c r="G27" s="69">
        <f t="shared" si="1"/>
        <v>0</v>
      </c>
      <c r="M27" s="144"/>
    </row>
    <row r="28" spans="1:13" x14ac:dyDescent="0.25">
      <c r="A28" s="39" t="s">
        <v>35</v>
      </c>
      <c r="B28" s="119" t="s">
        <v>36</v>
      </c>
      <c r="C28" s="120"/>
      <c r="D28" s="69">
        <f>SUM(D29:D32)</f>
        <v>2629270.1399999997</v>
      </c>
      <c r="E28" s="69">
        <f>SUM(E29:E32)</f>
        <v>2582909.2400000002</v>
      </c>
      <c r="F28" s="69">
        <f>SUM(F29:F32)</f>
        <v>2629270.1399999997</v>
      </c>
      <c r="G28" s="69">
        <f t="shared" si="1"/>
        <v>46360.899999999441</v>
      </c>
    </row>
    <row r="29" spans="1:13" x14ac:dyDescent="0.25">
      <c r="A29" s="34" t="s">
        <v>37</v>
      </c>
      <c r="B29" s="34" t="s">
        <v>101</v>
      </c>
      <c r="C29" s="89">
        <v>7.36</v>
      </c>
      <c r="D29" s="76">
        <v>12747.51</v>
      </c>
      <c r="E29" s="76">
        <v>11443.85</v>
      </c>
      <c r="F29" s="76">
        <f>D29</f>
        <v>12747.51</v>
      </c>
      <c r="G29" s="76">
        <f t="shared" si="1"/>
        <v>1303.6599999999999</v>
      </c>
    </row>
    <row r="30" spans="1:13" x14ac:dyDescent="0.25">
      <c r="A30" s="34" t="s">
        <v>39</v>
      </c>
      <c r="B30" s="34" t="s">
        <v>84</v>
      </c>
      <c r="C30" s="89">
        <v>88.38</v>
      </c>
      <c r="D30" s="76">
        <v>1223452.3999999999</v>
      </c>
      <c r="E30" s="76">
        <v>1195224.78</v>
      </c>
      <c r="F30" s="76">
        <f>D30</f>
        <v>1223452.3999999999</v>
      </c>
      <c r="G30" s="76">
        <f t="shared" si="1"/>
        <v>28227.619999999879</v>
      </c>
    </row>
    <row r="31" spans="1:13" x14ac:dyDescent="0.25">
      <c r="A31" s="34" t="s">
        <v>42</v>
      </c>
      <c r="B31" s="34" t="s">
        <v>40</v>
      </c>
      <c r="C31" s="128">
        <v>0</v>
      </c>
      <c r="D31" s="76">
        <v>0</v>
      </c>
      <c r="E31" s="76">
        <v>0</v>
      </c>
      <c r="F31" s="76">
        <f>D31</f>
        <v>0</v>
      </c>
      <c r="G31" s="76">
        <f t="shared" si="1"/>
        <v>0</v>
      </c>
    </row>
    <row r="32" spans="1:13" x14ac:dyDescent="0.25">
      <c r="A32" s="34" t="s">
        <v>41</v>
      </c>
      <c r="B32" s="34" t="s">
        <v>43</v>
      </c>
      <c r="C32" s="89">
        <v>3352.42</v>
      </c>
      <c r="D32" s="76">
        <v>1393070.23</v>
      </c>
      <c r="E32" s="76">
        <v>1376240.61</v>
      </c>
      <c r="F32" s="76">
        <f>D32</f>
        <v>1393070.23</v>
      </c>
      <c r="G32" s="76">
        <f t="shared" si="1"/>
        <v>16829.619999999879</v>
      </c>
      <c r="H32" s="91"/>
      <c r="I32" s="91"/>
    </row>
    <row r="33" spans="1:13" ht="15.75" customHeight="1" thickBot="1" x14ac:dyDescent="0.3">
      <c r="A33" s="373"/>
      <c r="B33" s="374"/>
      <c r="C33" s="374"/>
      <c r="D33" s="375"/>
      <c r="E33" s="375"/>
      <c r="F33" s="375"/>
      <c r="G33" s="155"/>
      <c r="H33" s="91"/>
      <c r="I33" s="91"/>
    </row>
    <row r="34" spans="1:13" s="92" customFormat="1" ht="14.25" thickBot="1" x14ac:dyDescent="0.3">
      <c r="A34" s="387" t="s">
        <v>427</v>
      </c>
      <c r="B34" s="388"/>
      <c r="C34" s="388"/>
      <c r="D34" s="57">
        <v>56116.99</v>
      </c>
      <c r="E34" s="58"/>
      <c r="F34" s="58"/>
      <c r="G34" s="58"/>
      <c r="H34" s="54"/>
      <c r="I34" s="54"/>
      <c r="J34" s="91"/>
    </row>
    <row r="35" spans="1:13" s="59" customFormat="1" ht="9" customHeight="1" thickBot="1" x14ac:dyDescent="0.3">
      <c r="A35" s="60"/>
      <c r="B35" s="60"/>
      <c r="C35" s="60"/>
      <c r="D35" s="38"/>
      <c r="E35" s="58"/>
      <c r="F35" s="58"/>
      <c r="G35" s="58"/>
      <c r="H35" s="54"/>
      <c r="I35" s="54"/>
    </row>
    <row r="36" spans="1:13" s="59" customFormat="1" ht="15.75" thickBot="1" x14ac:dyDescent="0.3">
      <c r="A36" s="55" t="s">
        <v>428</v>
      </c>
      <c r="B36" s="56"/>
      <c r="C36" s="56"/>
      <c r="D36" s="61"/>
      <c r="E36" s="62"/>
      <c r="F36" s="62"/>
      <c r="G36" s="129">
        <f>G14+E25-F25</f>
        <v>-627603.45000000007</v>
      </c>
      <c r="H36" s="54"/>
      <c r="I36" s="54"/>
      <c r="M36" s="130"/>
    </row>
    <row r="37" spans="1:13" s="59" customFormat="1" x14ac:dyDescent="0.25">
      <c r="A37" s="392" t="s">
        <v>90</v>
      </c>
      <c r="B37" s="392"/>
      <c r="C37" s="60"/>
      <c r="D37" s="38"/>
      <c r="E37" s="58"/>
      <c r="F37" s="58"/>
      <c r="G37" s="38"/>
      <c r="H37" s="54"/>
      <c r="I37" s="54"/>
      <c r="M37" s="130"/>
    </row>
    <row r="38" spans="1:13" s="59" customFormat="1" x14ac:dyDescent="0.25">
      <c r="A38" s="393" t="s">
        <v>91</v>
      </c>
      <c r="B38" s="394"/>
      <c r="C38" s="41" t="s">
        <v>92</v>
      </c>
      <c r="D38" s="41" t="s">
        <v>93</v>
      </c>
      <c r="E38" s="42" t="s">
        <v>94</v>
      </c>
      <c r="F38" s="40" t="s">
        <v>95</v>
      </c>
      <c r="G38" s="42" t="s">
        <v>96</v>
      </c>
      <c r="H38" s="54"/>
      <c r="I38" s="54"/>
      <c r="M38" s="130"/>
    </row>
    <row r="39" spans="1:13" s="59" customFormat="1" ht="15.75" customHeight="1" x14ac:dyDescent="0.25">
      <c r="A39" s="395"/>
      <c r="B39" s="396"/>
      <c r="C39" s="110">
        <v>112.1</v>
      </c>
      <c r="D39" s="138">
        <f>E39/C39/12</f>
        <v>25.289919714540588</v>
      </c>
      <c r="E39" s="73">
        <v>34020</v>
      </c>
      <c r="F39" s="75">
        <v>0</v>
      </c>
      <c r="G39" s="138">
        <f>E39-F39</f>
        <v>34020</v>
      </c>
      <c r="H39" s="335">
        <f>C17+C25</f>
        <v>25.290000000000003</v>
      </c>
      <c r="I39" s="54">
        <f>C39*H39*3</f>
        <v>8505.027</v>
      </c>
    </row>
    <row r="40" spans="1:13" s="59" customFormat="1" ht="28.5" customHeight="1" x14ac:dyDescent="0.25">
      <c r="A40" s="485" t="s">
        <v>44</v>
      </c>
      <c r="B40" s="485"/>
      <c r="C40" s="485"/>
      <c r="D40" s="485"/>
      <c r="E40" s="485"/>
      <c r="F40" s="485"/>
      <c r="G40" s="485"/>
      <c r="H40" s="485"/>
      <c r="I40" s="485"/>
    </row>
    <row r="42" spans="1:13" ht="28.5" x14ac:dyDescent="0.25">
      <c r="A42" s="94" t="s">
        <v>11</v>
      </c>
      <c r="B42" s="416" t="s">
        <v>45</v>
      </c>
      <c r="C42" s="425"/>
      <c r="D42" s="94" t="s">
        <v>99</v>
      </c>
      <c r="E42" s="94" t="s">
        <v>98</v>
      </c>
      <c r="F42" s="416" t="s">
        <v>46</v>
      </c>
      <c r="G42" s="425"/>
      <c r="H42" s="156"/>
      <c r="I42" s="156"/>
    </row>
    <row r="43" spans="1:13" s="156" customFormat="1" x14ac:dyDescent="0.25">
      <c r="A43" s="98" t="s">
        <v>47</v>
      </c>
      <c r="B43" s="418" t="s">
        <v>75</v>
      </c>
      <c r="C43" s="430"/>
      <c r="D43" s="99"/>
      <c r="E43" s="99"/>
      <c r="F43" s="436">
        <f>SUM(F44:L47)</f>
        <v>26945.9</v>
      </c>
      <c r="G43" s="424"/>
      <c r="H43" s="103"/>
      <c r="I43" s="103"/>
    </row>
    <row r="44" spans="1:13" s="185" customFormat="1" x14ac:dyDescent="0.25">
      <c r="A44" s="124" t="s">
        <v>16</v>
      </c>
      <c r="B44" s="406" t="s">
        <v>488</v>
      </c>
      <c r="C44" s="431"/>
      <c r="D44" s="105" t="s">
        <v>100</v>
      </c>
      <c r="E44" s="105">
        <v>33</v>
      </c>
      <c r="F44" s="435">
        <v>26945.9</v>
      </c>
      <c r="G44" s="435"/>
      <c r="H44" s="35"/>
      <c r="I44" s="35"/>
    </row>
    <row r="45" spans="1:13" s="185" customFormat="1" x14ac:dyDescent="0.25">
      <c r="A45" s="124" t="s">
        <v>18</v>
      </c>
      <c r="B45" s="461"/>
      <c r="C45" s="462"/>
      <c r="D45" s="269"/>
      <c r="E45" s="269"/>
      <c r="F45" s="501"/>
      <c r="G45" s="502"/>
      <c r="H45" s="35"/>
      <c r="I45" s="35"/>
    </row>
    <row r="46" spans="1:13" s="185" customFormat="1" ht="14.25" customHeight="1" x14ac:dyDescent="0.25">
      <c r="A46" s="124" t="s">
        <v>20</v>
      </c>
      <c r="B46" s="461"/>
      <c r="C46" s="462"/>
      <c r="D46" s="258"/>
      <c r="E46" s="258"/>
      <c r="F46" s="501"/>
      <c r="G46" s="502"/>
      <c r="H46" s="35"/>
      <c r="I46" s="35"/>
    </row>
    <row r="47" spans="1:13" s="103" customFormat="1" x14ac:dyDescent="0.25">
      <c r="A47" s="124" t="s">
        <v>22</v>
      </c>
      <c r="B47" s="133" t="s">
        <v>108</v>
      </c>
      <c r="C47" s="134"/>
      <c r="D47" s="105"/>
      <c r="E47" s="105"/>
      <c r="F47" s="439">
        <f>E24*1%</f>
        <v>0</v>
      </c>
      <c r="G47" s="439"/>
      <c r="H47" s="35"/>
      <c r="I47" s="35"/>
    </row>
    <row r="48" spans="1:13" ht="12.75" customHeight="1" x14ac:dyDescent="0.25">
      <c r="A48" s="59"/>
      <c r="B48" s="59"/>
      <c r="C48" s="59"/>
      <c r="D48" s="59"/>
      <c r="E48" s="59"/>
      <c r="F48" s="59"/>
      <c r="G48" s="59"/>
      <c r="H48" s="59"/>
      <c r="I48" s="59"/>
    </row>
    <row r="49" spans="1:9" ht="12.75" customHeight="1" x14ac:dyDescent="0.25">
      <c r="A49" s="51" t="s">
        <v>372</v>
      </c>
      <c r="B49" s="59"/>
      <c r="C49" s="59" t="s">
        <v>49</v>
      </c>
      <c r="D49" s="59"/>
      <c r="E49" s="59"/>
      <c r="F49" s="59" t="s">
        <v>60</v>
      </c>
      <c r="G49" s="59"/>
      <c r="H49" s="59"/>
      <c r="I49" s="59"/>
    </row>
    <row r="50" spans="1:9" ht="12.75" customHeight="1" x14ac:dyDescent="0.25">
      <c r="A50" s="59"/>
      <c r="B50" s="59"/>
      <c r="C50" s="59"/>
      <c r="D50" s="59"/>
      <c r="E50" s="59"/>
      <c r="F50" s="111" t="s">
        <v>438</v>
      </c>
      <c r="G50" s="59"/>
      <c r="H50" s="59"/>
      <c r="I50" s="59"/>
    </row>
    <row r="51" spans="1:9" ht="12.75" customHeight="1" x14ac:dyDescent="0.25">
      <c r="A51" s="59" t="s">
        <v>50</v>
      </c>
      <c r="B51" s="59"/>
      <c r="C51" s="59"/>
      <c r="D51" s="59"/>
      <c r="E51" s="59"/>
      <c r="F51" s="59"/>
      <c r="G51" s="59"/>
      <c r="H51" s="59"/>
      <c r="I51" s="59"/>
    </row>
    <row r="52" spans="1:9" ht="12.75" customHeight="1" x14ac:dyDescent="0.25">
      <c r="A52" s="59"/>
      <c r="B52" s="59"/>
      <c r="C52" s="113" t="s">
        <v>51</v>
      </c>
      <c r="D52" s="59"/>
      <c r="E52" s="113"/>
      <c r="F52" s="113"/>
      <c r="G52" s="113"/>
      <c r="H52" s="59"/>
      <c r="I52" s="59"/>
    </row>
  </sheetData>
  <mergeCells count="23">
    <mergeCell ref="A12:I12"/>
    <mergeCell ref="F43:G43"/>
    <mergeCell ref="A34:C34"/>
    <mergeCell ref="A40:I40"/>
    <mergeCell ref="B42:C42"/>
    <mergeCell ref="A33:F33"/>
    <mergeCell ref="F47:G47"/>
    <mergeCell ref="F46:G46"/>
    <mergeCell ref="F44:G44"/>
    <mergeCell ref="F45:G45"/>
    <mergeCell ref="B45:C45"/>
    <mergeCell ref="A37:B37"/>
    <mergeCell ref="A38:B39"/>
    <mergeCell ref="A1:I1"/>
    <mergeCell ref="A5:I5"/>
    <mergeCell ref="A10:I10"/>
    <mergeCell ref="A3:K3"/>
    <mergeCell ref="B46:C46"/>
    <mergeCell ref="B43:C43"/>
    <mergeCell ref="B44:C44"/>
    <mergeCell ref="F42:G42"/>
    <mergeCell ref="A11:I11"/>
    <mergeCell ref="A2:K2"/>
  </mergeCells>
  <phoneticPr fontId="14" type="noConversion"/>
  <pageMargins left="0" right="0" top="0" bottom="0" header="0.31496062992125984" footer="0.31496062992125984"/>
  <pageSetup paperSize="9" orientation="portrait" verticalDpi="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1DCE2F-A2C7-44A1-8F6A-8D61E27FD927}">
  <sheetPr>
    <tabColor rgb="FF7030A0"/>
  </sheetPr>
  <dimension ref="A1:V53"/>
  <sheetViews>
    <sheetView topLeftCell="A28" zoomScaleNormal="100" workbookViewId="0">
      <selection activeCell="A56" sqref="A56:IV57"/>
    </sheetView>
  </sheetViews>
  <sheetFormatPr defaultRowHeight="15" outlineLevelRow="1" outlineLevelCol="1" x14ac:dyDescent="0.25"/>
  <cols>
    <col min="1" max="1" width="5.5703125" style="35" customWidth="1"/>
    <col min="2" max="2" width="51" style="35" customWidth="1"/>
    <col min="3" max="3" width="13" style="35" customWidth="1"/>
    <col min="4" max="4" width="12.85546875" style="35" customWidth="1"/>
    <col min="5" max="5" width="12.7109375" style="35" customWidth="1"/>
    <col min="6" max="6" width="14" style="35" customWidth="1"/>
    <col min="7" max="7" width="13.28515625" style="35" customWidth="1"/>
    <col min="8" max="8" width="10.85546875" style="35" hidden="1" customWidth="1" outlineLevel="1"/>
    <col min="9" max="9" width="13.42578125" style="35" hidden="1" customWidth="1" outlineLevel="1"/>
    <col min="10" max="12" width="9.140625" style="35" hidden="1" customWidth="1" outlineLevel="1"/>
    <col min="13" max="13" width="9.42578125" style="35" bestFit="1" customWidth="1" collapsed="1"/>
    <col min="14" max="21" width="9.140625" style="35"/>
    <col min="22" max="22" width="11.42578125" style="35" bestFit="1" customWidth="1"/>
    <col min="23" max="16384" width="9.140625" style="35"/>
  </cols>
  <sheetData>
    <row r="1" spans="1:11" x14ac:dyDescent="0.25">
      <c r="A1" s="397" t="s">
        <v>0</v>
      </c>
      <c r="B1" s="397"/>
      <c r="C1" s="397"/>
      <c r="D1" s="397"/>
      <c r="E1" s="397"/>
      <c r="F1" s="397"/>
      <c r="G1" s="397"/>
      <c r="H1" s="397"/>
      <c r="I1" s="397"/>
    </row>
    <row r="2" spans="1:11" ht="15" customHeight="1" x14ac:dyDescent="0.25">
      <c r="A2" s="370" t="s">
        <v>152</v>
      </c>
      <c r="B2" s="370"/>
      <c r="C2" s="370"/>
      <c r="D2" s="370"/>
      <c r="E2" s="370"/>
      <c r="F2" s="370"/>
      <c r="G2" s="370"/>
      <c r="H2" s="370"/>
      <c r="I2" s="370"/>
      <c r="J2" s="370"/>
      <c r="K2" s="370"/>
    </row>
    <row r="3" spans="1:11" ht="13.5" customHeight="1" x14ac:dyDescent="0.25">
      <c r="A3" s="370" t="s">
        <v>426</v>
      </c>
      <c r="B3" s="370"/>
      <c r="C3" s="370"/>
      <c r="D3" s="370"/>
      <c r="E3" s="370"/>
      <c r="F3" s="370"/>
      <c r="G3" s="370"/>
      <c r="H3" s="370"/>
      <c r="I3" s="370"/>
      <c r="J3" s="370"/>
      <c r="K3" s="370"/>
    </row>
    <row r="4" spans="1:11" ht="7.5" customHeight="1" x14ac:dyDescent="0.25">
      <c r="A4" s="142"/>
      <c r="B4" s="142"/>
      <c r="C4" s="142"/>
      <c r="D4" s="142"/>
      <c r="E4" s="142"/>
      <c r="F4" s="142"/>
      <c r="G4" s="142"/>
      <c r="H4" s="142"/>
      <c r="I4" s="142"/>
    </row>
    <row r="5" spans="1:11" ht="15.75" customHeight="1" x14ac:dyDescent="0.25">
      <c r="A5" s="398" t="s">
        <v>1</v>
      </c>
      <c r="B5" s="397"/>
      <c r="C5" s="397"/>
      <c r="D5" s="397"/>
      <c r="E5" s="397"/>
      <c r="F5" s="397"/>
      <c r="G5" s="397"/>
      <c r="H5" s="397"/>
      <c r="I5" s="397"/>
    </row>
    <row r="6" spans="1:11" ht="6" customHeight="1" x14ac:dyDescent="0.25"/>
    <row r="7" spans="1:11" s="59" customFormat="1" ht="16.5" customHeight="1" x14ac:dyDescent="0.25">
      <c r="A7" s="59" t="s">
        <v>2</v>
      </c>
      <c r="F7" s="111" t="s">
        <v>209</v>
      </c>
      <c r="I7" s="110"/>
      <c r="J7" s="110"/>
      <c r="K7" s="110"/>
    </row>
    <row r="8" spans="1:11" s="59" customFormat="1" x14ac:dyDescent="0.25">
      <c r="A8" s="59" t="s">
        <v>3</v>
      </c>
      <c r="F8" s="239" t="s">
        <v>210</v>
      </c>
      <c r="I8" s="110"/>
      <c r="J8" s="110"/>
      <c r="K8" s="110"/>
    </row>
    <row r="9" spans="1:11" s="59" customFormat="1" ht="6" customHeight="1" x14ac:dyDescent="0.25"/>
    <row r="10" spans="1:11" s="59" customFormat="1" x14ac:dyDescent="0.25">
      <c r="A10" s="372" t="s">
        <v>8</v>
      </c>
      <c r="B10" s="372"/>
      <c r="C10" s="372"/>
      <c r="D10" s="372"/>
      <c r="E10" s="372"/>
      <c r="F10" s="372"/>
      <c r="G10" s="372"/>
      <c r="H10" s="372"/>
      <c r="I10" s="372"/>
    </row>
    <row r="11" spans="1:11" s="59" customFormat="1" x14ac:dyDescent="0.25">
      <c r="A11" s="372" t="s">
        <v>9</v>
      </c>
      <c r="B11" s="372"/>
      <c r="C11" s="372"/>
      <c r="D11" s="372"/>
      <c r="E11" s="372"/>
      <c r="F11" s="372"/>
      <c r="G11" s="372"/>
      <c r="H11" s="372"/>
      <c r="I11" s="372"/>
    </row>
    <row r="12" spans="1:11" s="59" customFormat="1" x14ac:dyDescent="0.25">
      <c r="A12" s="372" t="s">
        <v>10</v>
      </c>
      <c r="B12" s="372"/>
      <c r="C12" s="372"/>
      <c r="D12" s="372"/>
      <c r="E12" s="372"/>
      <c r="F12" s="372"/>
      <c r="G12" s="372"/>
      <c r="H12" s="372"/>
      <c r="I12" s="372"/>
    </row>
    <row r="13" spans="1:11" s="59" customFormat="1" ht="6" customHeight="1" thickBot="1" x14ac:dyDescent="0.3">
      <c r="A13" s="60"/>
      <c r="B13" s="60"/>
      <c r="C13" s="60"/>
      <c r="D13" s="38"/>
      <c r="E13" s="58"/>
      <c r="F13" s="58"/>
      <c r="G13" s="58"/>
      <c r="H13" s="54"/>
      <c r="I13" s="54"/>
    </row>
    <row r="14" spans="1:11" s="59" customFormat="1" ht="15.75" thickBot="1" x14ac:dyDescent="0.3">
      <c r="A14" s="55" t="s">
        <v>381</v>
      </c>
      <c r="B14" s="56"/>
      <c r="C14" s="56"/>
      <c r="D14" s="61"/>
      <c r="E14" s="62"/>
      <c r="F14" s="62"/>
      <c r="G14" s="129">
        <f>'[1]Суворова 15'!$G$37</f>
        <v>-260583.99779999998</v>
      </c>
      <c r="H14" s="54"/>
      <c r="I14" s="54"/>
    </row>
    <row r="15" spans="1:11" s="59" customFormat="1" ht="6.75" customHeight="1" x14ac:dyDescent="0.25"/>
    <row r="16" spans="1:11" s="66" customFormat="1" ht="52.5" customHeight="1" x14ac:dyDescent="0.25">
      <c r="A16" s="64" t="s">
        <v>11</v>
      </c>
      <c r="B16" s="64" t="s">
        <v>12</v>
      </c>
      <c r="C16" s="64" t="s">
        <v>61</v>
      </c>
      <c r="D16" s="64" t="s">
        <v>432</v>
      </c>
      <c r="E16" s="64" t="s">
        <v>433</v>
      </c>
      <c r="F16" s="65" t="s">
        <v>434</v>
      </c>
      <c r="G16" s="64" t="s">
        <v>435</v>
      </c>
    </row>
    <row r="17" spans="1:22" s="59" customFormat="1" ht="15.75" customHeight="1" x14ac:dyDescent="0.25">
      <c r="A17" s="67" t="s">
        <v>14</v>
      </c>
      <c r="B17" s="39" t="s">
        <v>379</v>
      </c>
      <c r="C17" s="120">
        <v>23.01</v>
      </c>
      <c r="D17" s="68">
        <v>918127.2</v>
      </c>
      <c r="E17" s="68">
        <v>868295.58</v>
      </c>
      <c r="F17" s="68">
        <f t="shared" ref="F17:F24" si="0">D17</f>
        <v>918127.2</v>
      </c>
      <c r="G17" s="69">
        <f>D17-E17</f>
        <v>49831.619999999995</v>
      </c>
      <c r="H17" s="130">
        <f>C17</f>
        <v>23.01</v>
      </c>
    </row>
    <row r="18" spans="1:22" s="59" customFormat="1" ht="15.75" hidden="1" customHeight="1" outlineLevel="1" x14ac:dyDescent="0.25">
      <c r="A18" s="73" t="s">
        <v>16</v>
      </c>
      <c r="B18" s="34" t="s">
        <v>17</v>
      </c>
      <c r="C18" s="89">
        <v>3.46</v>
      </c>
      <c r="D18" s="75">
        <f>D17*I18</f>
        <v>138058.24041720989</v>
      </c>
      <c r="E18" s="75">
        <f>E17*I18</f>
        <v>130565.08938722294</v>
      </c>
      <c r="F18" s="75">
        <f t="shared" si="0"/>
        <v>138058.24041720989</v>
      </c>
      <c r="G18" s="76">
        <f>D18-E18</f>
        <v>7493.1510299869551</v>
      </c>
      <c r="H18" s="130">
        <f>C18</f>
        <v>3.46</v>
      </c>
      <c r="I18" s="59">
        <f>H18/H17</f>
        <v>0.15036940460669274</v>
      </c>
    </row>
    <row r="19" spans="1:22" s="59" customFormat="1" ht="15.75" hidden="1" customHeight="1" outlineLevel="1" x14ac:dyDescent="0.25">
      <c r="A19" s="73" t="s">
        <v>18</v>
      </c>
      <c r="B19" s="34" t="s">
        <v>19</v>
      </c>
      <c r="C19" s="89">
        <v>1.69</v>
      </c>
      <c r="D19" s="75">
        <f>D17*I19</f>
        <v>67433.071186440662</v>
      </c>
      <c r="E19" s="75">
        <f>E17*I19</f>
        <v>63773.121694915244</v>
      </c>
      <c r="F19" s="75">
        <f t="shared" si="0"/>
        <v>67433.071186440662</v>
      </c>
      <c r="G19" s="76">
        <f>D19-E19</f>
        <v>3659.9494915254181</v>
      </c>
      <c r="H19" s="130">
        <f>C19</f>
        <v>1.69</v>
      </c>
      <c r="I19" s="59">
        <f>H19/H17</f>
        <v>7.3446327683615809E-2</v>
      </c>
    </row>
    <row r="20" spans="1:22" s="59" customFormat="1" ht="15.75" hidden="1" customHeight="1" outlineLevel="1" x14ac:dyDescent="0.25">
      <c r="A20" s="73" t="s">
        <v>20</v>
      </c>
      <c r="B20" s="34" t="s">
        <v>21</v>
      </c>
      <c r="C20" s="89">
        <v>1.69</v>
      </c>
      <c r="D20" s="75">
        <f>D17*I20</f>
        <v>67433.071186440662</v>
      </c>
      <c r="E20" s="75">
        <f>E17*I20</f>
        <v>63773.121694915244</v>
      </c>
      <c r="F20" s="75">
        <f t="shared" si="0"/>
        <v>67433.071186440662</v>
      </c>
      <c r="G20" s="76">
        <f>D20-E20</f>
        <v>3659.9494915254181</v>
      </c>
      <c r="H20" s="130">
        <f>C20</f>
        <v>1.69</v>
      </c>
      <c r="I20" s="59">
        <f>H20/H17</f>
        <v>7.3446327683615809E-2</v>
      </c>
    </row>
    <row r="21" spans="1:22" s="59" customFormat="1" ht="15.75" hidden="1" customHeight="1" outlineLevel="1" x14ac:dyDescent="0.25">
      <c r="A21" s="73" t="s">
        <v>22</v>
      </c>
      <c r="B21" s="34" t="s">
        <v>23</v>
      </c>
      <c r="C21" s="89">
        <v>3.04</v>
      </c>
      <c r="D21" s="75">
        <f>D17*I21</f>
        <v>121299.72568448499</v>
      </c>
      <c r="E21" s="75">
        <f>E17*I21</f>
        <v>114716.14790091263</v>
      </c>
      <c r="F21" s="75">
        <f t="shared" si="0"/>
        <v>121299.72568448499</v>
      </c>
      <c r="G21" s="76">
        <f>D21-E21</f>
        <v>6583.5777835723566</v>
      </c>
      <c r="H21" s="130">
        <f>C21</f>
        <v>3.04</v>
      </c>
      <c r="I21" s="59">
        <f>H21/H17</f>
        <v>0.13211647109952193</v>
      </c>
    </row>
    <row r="22" spans="1:22" ht="24.75" customHeight="1" collapsed="1" x14ac:dyDescent="0.25">
      <c r="A22" s="39" t="s">
        <v>25</v>
      </c>
      <c r="B22" s="125" t="s">
        <v>144</v>
      </c>
      <c r="C22" s="43">
        <v>0</v>
      </c>
      <c r="D22" s="69">
        <v>0</v>
      </c>
      <c r="E22" s="69">
        <v>0</v>
      </c>
      <c r="F22" s="69">
        <f t="shared" si="0"/>
        <v>0</v>
      </c>
      <c r="G22" s="69">
        <f t="shared" ref="G22:G32" si="1">D22-E22</f>
        <v>0</v>
      </c>
      <c r="H22" s="35">
        <f>111*130</f>
        <v>14430</v>
      </c>
      <c r="I22" s="274">
        <f>D22/H22</f>
        <v>0</v>
      </c>
    </row>
    <row r="23" spans="1:22" ht="15.75" customHeight="1" x14ac:dyDescent="0.25">
      <c r="A23" s="39" t="s">
        <v>27</v>
      </c>
      <c r="B23" s="125" t="s">
        <v>28</v>
      </c>
      <c r="C23" s="87">
        <v>0</v>
      </c>
      <c r="D23" s="69">
        <v>0</v>
      </c>
      <c r="E23" s="69">
        <v>0</v>
      </c>
      <c r="F23" s="69">
        <f t="shared" si="0"/>
        <v>0</v>
      </c>
      <c r="G23" s="69">
        <f t="shared" si="1"/>
        <v>0</v>
      </c>
    </row>
    <row r="24" spans="1:22" ht="15.75" customHeight="1" x14ac:dyDescent="0.25">
      <c r="A24" s="39" t="s">
        <v>29</v>
      </c>
      <c r="B24" s="125" t="s">
        <v>97</v>
      </c>
      <c r="C24" s="357">
        <v>0</v>
      </c>
      <c r="D24" s="69">
        <v>0</v>
      </c>
      <c r="E24" s="69">
        <v>0</v>
      </c>
      <c r="F24" s="69">
        <f t="shared" si="0"/>
        <v>0</v>
      </c>
      <c r="G24" s="69">
        <f t="shared" si="1"/>
        <v>0</v>
      </c>
      <c r="N24" s="36"/>
      <c r="O24" s="36"/>
      <c r="P24" s="36"/>
      <c r="Q24" s="36"/>
      <c r="R24" s="36"/>
      <c r="S24" s="36"/>
      <c r="T24" s="36"/>
      <c r="U24" s="36"/>
      <c r="V24" s="36"/>
    </row>
    <row r="25" spans="1:22" ht="15.75" customHeight="1" x14ac:dyDescent="0.25">
      <c r="A25" s="39" t="s">
        <v>31</v>
      </c>
      <c r="B25" s="125" t="s">
        <v>80</v>
      </c>
      <c r="C25" s="87">
        <v>8</v>
      </c>
      <c r="D25" s="69">
        <v>129014.2</v>
      </c>
      <c r="E25" s="69">
        <v>121434.88</v>
      </c>
      <c r="F25" s="79">
        <f>F41</f>
        <v>132077.47880000001</v>
      </c>
      <c r="G25" s="69">
        <f t="shared" si="1"/>
        <v>7579.3199999999924</v>
      </c>
      <c r="M25" s="144"/>
    </row>
    <row r="26" spans="1:22" ht="15.75" customHeight="1" x14ac:dyDescent="0.25">
      <c r="A26" s="39" t="s">
        <v>33</v>
      </c>
      <c r="B26" s="119" t="s">
        <v>34</v>
      </c>
      <c r="C26" s="43">
        <v>0</v>
      </c>
      <c r="D26" s="69">
        <v>0</v>
      </c>
      <c r="E26" s="69">
        <v>11.79</v>
      </c>
      <c r="F26" s="79">
        <v>0</v>
      </c>
      <c r="G26" s="69">
        <f t="shared" si="1"/>
        <v>-11.79</v>
      </c>
    </row>
    <row r="27" spans="1:22" ht="15.75" customHeight="1" x14ac:dyDescent="0.25">
      <c r="A27" s="39" t="s">
        <v>35</v>
      </c>
      <c r="B27" s="119" t="s">
        <v>36</v>
      </c>
      <c r="C27" s="87"/>
      <c r="D27" s="69">
        <f>SUM(D28:D31)</f>
        <v>2703242.09</v>
      </c>
      <c r="E27" s="69">
        <f>SUM(E28:E31)</f>
        <v>2551073.9499999997</v>
      </c>
      <c r="F27" s="69">
        <f>SUM(F28:F31)</f>
        <v>2703242.09</v>
      </c>
      <c r="G27" s="69">
        <f t="shared" si="1"/>
        <v>152168.14000000013</v>
      </c>
      <c r="M27" s="274"/>
    </row>
    <row r="28" spans="1:22" ht="15.75" customHeight="1" x14ac:dyDescent="0.25">
      <c r="A28" s="34" t="s">
        <v>37</v>
      </c>
      <c r="B28" s="34" t="s">
        <v>101</v>
      </c>
      <c r="C28" s="89">
        <v>7.36</v>
      </c>
      <c r="D28" s="76">
        <v>64327.94</v>
      </c>
      <c r="E28" s="76">
        <v>60696.72</v>
      </c>
      <c r="F28" s="76">
        <f>D28</f>
        <v>64327.94</v>
      </c>
      <c r="G28" s="76">
        <f t="shared" si="1"/>
        <v>3631.2200000000012</v>
      </c>
    </row>
    <row r="29" spans="1:22" ht="15.75" customHeight="1" x14ac:dyDescent="0.25">
      <c r="A29" s="34" t="s">
        <v>39</v>
      </c>
      <c r="B29" s="34" t="s">
        <v>84</v>
      </c>
      <c r="C29" s="89">
        <v>88.38</v>
      </c>
      <c r="D29" s="76">
        <v>1031459.85</v>
      </c>
      <c r="E29" s="76">
        <v>962220.85</v>
      </c>
      <c r="F29" s="76">
        <f>D29</f>
        <v>1031459.85</v>
      </c>
      <c r="G29" s="76">
        <f t="shared" si="1"/>
        <v>69239</v>
      </c>
    </row>
    <row r="30" spans="1:22" ht="15.75" customHeight="1" x14ac:dyDescent="0.25">
      <c r="A30" s="34" t="s">
        <v>42</v>
      </c>
      <c r="B30" s="34" t="s">
        <v>40</v>
      </c>
      <c r="C30" s="128">
        <v>0</v>
      </c>
      <c r="D30" s="76">
        <v>0</v>
      </c>
      <c r="E30" s="76">
        <v>0</v>
      </c>
      <c r="F30" s="76">
        <f>D30</f>
        <v>0</v>
      </c>
      <c r="G30" s="76">
        <f t="shared" si="1"/>
        <v>0</v>
      </c>
    </row>
    <row r="31" spans="1:22" ht="15.75" customHeight="1" x14ac:dyDescent="0.25">
      <c r="A31" s="34" t="s">
        <v>41</v>
      </c>
      <c r="B31" s="34" t="s">
        <v>43</v>
      </c>
      <c r="C31" s="89">
        <v>3352.42</v>
      </c>
      <c r="D31" s="76">
        <v>1607454.3</v>
      </c>
      <c r="E31" s="76">
        <v>1528156.38</v>
      </c>
      <c r="F31" s="76">
        <f>D31</f>
        <v>1607454.3</v>
      </c>
      <c r="G31" s="76">
        <f t="shared" si="1"/>
        <v>79297.920000000158</v>
      </c>
      <c r="H31" s="91"/>
      <c r="I31" s="91"/>
    </row>
    <row r="32" spans="1:22" ht="15.75" hidden="1" customHeight="1" outlineLevel="1" x14ac:dyDescent="0.25">
      <c r="A32" s="174" t="s">
        <v>130</v>
      </c>
      <c r="B32" s="257" t="s">
        <v>133</v>
      </c>
      <c r="C32" s="298"/>
      <c r="D32" s="248">
        <f>1000+1800</f>
        <v>2800</v>
      </c>
      <c r="E32" s="248">
        <v>1800</v>
      </c>
      <c r="F32" s="296"/>
      <c r="G32" s="248">
        <f t="shared" si="1"/>
        <v>1000</v>
      </c>
      <c r="H32" s="91"/>
      <c r="I32" s="91"/>
    </row>
    <row r="33" spans="1:10" ht="15.75" hidden="1" customHeight="1" outlineLevel="1" x14ac:dyDescent="0.25">
      <c r="A33" s="174"/>
      <c r="B33" s="295"/>
      <c r="C33" s="376" t="s">
        <v>246</v>
      </c>
      <c r="D33" s="377"/>
      <c r="E33" s="377"/>
      <c r="F33" s="377"/>
      <c r="G33" s="82">
        <f>E32-(E32*15%)</f>
        <v>1530</v>
      </c>
      <c r="H33" s="91"/>
      <c r="I33" s="91"/>
    </row>
    <row r="34" spans="1:10" ht="15.75" customHeight="1" collapsed="1" thickBot="1" x14ac:dyDescent="0.3">
      <c r="A34" s="373"/>
      <c r="B34" s="374"/>
      <c r="C34" s="374"/>
      <c r="D34" s="375"/>
      <c r="E34" s="375"/>
      <c r="F34" s="375"/>
      <c r="G34" s="155"/>
      <c r="H34" s="91"/>
      <c r="I34" s="91"/>
    </row>
    <row r="35" spans="1:10" s="92" customFormat="1" ht="14.25" thickBot="1" x14ac:dyDescent="0.3">
      <c r="A35" s="387" t="s">
        <v>427</v>
      </c>
      <c r="B35" s="388"/>
      <c r="C35" s="388"/>
      <c r="D35" s="57">
        <v>209567.29</v>
      </c>
      <c r="E35" s="58"/>
      <c r="F35" s="58"/>
      <c r="G35" s="58"/>
      <c r="H35" s="54"/>
      <c r="I35" s="54"/>
      <c r="J35" s="91"/>
    </row>
    <row r="36" spans="1:10" s="59" customFormat="1" ht="8.25" customHeight="1" thickBot="1" x14ac:dyDescent="0.3">
      <c r="A36" s="60"/>
      <c r="B36" s="60"/>
      <c r="C36" s="60"/>
      <c r="D36" s="38"/>
      <c r="E36" s="58"/>
      <c r="F36" s="58"/>
      <c r="G36" s="58"/>
      <c r="H36" s="54"/>
      <c r="I36" s="54"/>
    </row>
    <row r="37" spans="1:10" s="59" customFormat="1" ht="15.75" thickBot="1" x14ac:dyDescent="0.3">
      <c r="A37" s="55" t="s">
        <v>428</v>
      </c>
      <c r="B37" s="56"/>
      <c r="C37" s="56"/>
      <c r="D37" s="61"/>
      <c r="E37" s="62"/>
      <c r="F37" s="62"/>
      <c r="G37" s="129">
        <f>G14+E25-F25</f>
        <v>-271226.59659999999</v>
      </c>
      <c r="H37" s="54"/>
      <c r="I37" s="54"/>
    </row>
    <row r="38" spans="1:10" s="59" customFormat="1" ht="27.75" customHeight="1" x14ac:dyDescent="0.25">
      <c r="A38" s="485" t="s">
        <v>44</v>
      </c>
      <c r="B38" s="485"/>
      <c r="C38" s="485"/>
      <c r="D38" s="485"/>
      <c r="E38" s="485"/>
      <c r="F38" s="485"/>
      <c r="G38" s="485"/>
      <c r="H38" s="485"/>
      <c r="I38" s="485"/>
    </row>
    <row r="40" spans="1:10" ht="28.5" x14ac:dyDescent="0.25">
      <c r="A40" s="94" t="s">
        <v>11</v>
      </c>
      <c r="B40" s="416" t="s">
        <v>45</v>
      </c>
      <c r="C40" s="425"/>
      <c r="D40" s="94" t="s">
        <v>99</v>
      </c>
      <c r="E40" s="94" t="s">
        <v>98</v>
      </c>
      <c r="F40" s="416" t="s">
        <v>46</v>
      </c>
      <c r="G40" s="425"/>
      <c r="H40" s="156"/>
      <c r="I40" s="156"/>
    </row>
    <row r="41" spans="1:10" s="156" customFormat="1" x14ac:dyDescent="0.25">
      <c r="A41" s="98" t="s">
        <v>47</v>
      </c>
      <c r="B41" s="418" t="s">
        <v>75</v>
      </c>
      <c r="C41" s="430"/>
      <c r="D41" s="99"/>
      <c r="E41" s="99"/>
      <c r="F41" s="436">
        <f>SUM(F42:G47)</f>
        <v>132077.47880000001</v>
      </c>
      <c r="G41" s="424"/>
      <c r="H41" s="103"/>
      <c r="I41" s="103"/>
    </row>
    <row r="42" spans="1:10" s="156" customFormat="1" x14ac:dyDescent="0.25">
      <c r="A42" s="34" t="s">
        <v>16</v>
      </c>
      <c r="B42" s="406" t="s">
        <v>489</v>
      </c>
      <c r="C42" s="431"/>
      <c r="D42" s="176" t="s">
        <v>137</v>
      </c>
      <c r="E42" s="176">
        <v>0.06</v>
      </c>
      <c r="F42" s="435">
        <v>12752.16</v>
      </c>
      <c r="G42" s="435"/>
      <c r="H42" s="103"/>
      <c r="I42" s="103"/>
    </row>
    <row r="43" spans="1:10" s="156" customFormat="1" x14ac:dyDescent="0.25">
      <c r="A43" s="34" t="s">
        <v>18</v>
      </c>
      <c r="B43" s="406" t="s">
        <v>490</v>
      </c>
      <c r="C43" s="431"/>
      <c r="D43" s="176" t="s">
        <v>137</v>
      </c>
      <c r="E43" s="176">
        <v>0.05</v>
      </c>
      <c r="F43" s="435">
        <v>13503.39</v>
      </c>
      <c r="G43" s="435"/>
      <c r="H43" s="103"/>
      <c r="I43" s="103"/>
    </row>
    <row r="44" spans="1:10" s="156" customFormat="1" x14ac:dyDescent="0.25">
      <c r="A44" s="34" t="s">
        <v>20</v>
      </c>
      <c r="B44" s="406" t="s">
        <v>491</v>
      </c>
      <c r="C44" s="431"/>
      <c r="D44" s="176" t="s">
        <v>100</v>
      </c>
      <c r="E44" s="176">
        <v>4</v>
      </c>
      <c r="F44" s="435">
        <v>48987.65</v>
      </c>
      <c r="G44" s="435"/>
      <c r="H44" s="103"/>
      <c r="I44" s="103"/>
    </row>
    <row r="45" spans="1:10" s="156" customFormat="1" x14ac:dyDescent="0.25">
      <c r="A45" s="34" t="s">
        <v>22</v>
      </c>
      <c r="B45" s="406" t="s">
        <v>408</v>
      </c>
      <c r="C45" s="431"/>
      <c r="D45" s="176" t="s">
        <v>100</v>
      </c>
      <c r="E45" s="176">
        <v>1</v>
      </c>
      <c r="F45" s="435">
        <v>37656</v>
      </c>
      <c r="G45" s="435"/>
      <c r="H45" s="103"/>
      <c r="I45" s="103"/>
    </row>
    <row r="46" spans="1:10" s="156" customFormat="1" x14ac:dyDescent="0.25">
      <c r="A46" s="34" t="s">
        <v>24</v>
      </c>
      <c r="B46" s="503" t="s">
        <v>488</v>
      </c>
      <c r="C46" s="504"/>
      <c r="D46" s="182" t="s">
        <v>100</v>
      </c>
      <c r="E46" s="182">
        <v>22</v>
      </c>
      <c r="F46" s="439">
        <v>17963.93</v>
      </c>
      <c r="G46" s="439"/>
      <c r="H46" s="103"/>
      <c r="I46" s="103"/>
    </row>
    <row r="47" spans="1:10" x14ac:dyDescent="0.25">
      <c r="A47" s="34" t="s">
        <v>73</v>
      </c>
      <c r="B47" s="133" t="s">
        <v>108</v>
      </c>
      <c r="C47" s="134"/>
      <c r="D47" s="105"/>
      <c r="E47" s="105"/>
      <c r="F47" s="435">
        <f>E25*1%</f>
        <v>1214.3488</v>
      </c>
      <c r="G47" s="435"/>
    </row>
    <row r="48" spans="1:10" x14ac:dyDescent="0.25">
      <c r="A48" s="59"/>
      <c r="B48" s="59"/>
      <c r="C48" s="59"/>
      <c r="D48" s="59"/>
      <c r="E48" s="59"/>
      <c r="F48" s="59"/>
      <c r="G48" s="59"/>
      <c r="H48" s="59"/>
      <c r="I48" s="59"/>
    </row>
    <row r="49" spans="1:9" ht="15" customHeight="1" x14ac:dyDescent="0.25">
      <c r="A49" s="51" t="s">
        <v>372</v>
      </c>
      <c r="B49" s="59"/>
      <c r="C49" s="59" t="s">
        <v>49</v>
      </c>
      <c r="D49" s="59"/>
      <c r="E49" s="59"/>
      <c r="F49" s="59" t="s">
        <v>60</v>
      </c>
      <c r="G49" s="59"/>
      <c r="H49" s="59"/>
      <c r="I49" s="59"/>
    </row>
    <row r="50" spans="1:9" x14ac:dyDescent="0.25">
      <c r="A50" s="59"/>
      <c r="B50" s="59"/>
      <c r="C50" s="59"/>
      <c r="D50" s="59"/>
      <c r="E50" s="59"/>
      <c r="F50" s="111" t="s">
        <v>438</v>
      </c>
      <c r="G50" s="59"/>
      <c r="H50" s="59"/>
      <c r="I50" s="59"/>
    </row>
    <row r="51" spans="1:9" s="59" customFormat="1" x14ac:dyDescent="0.25">
      <c r="A51" s="59" t="s">
        <v>50</v>
      </c>
    </row>
    <row r="52" spans="1:9" s="59" customFormat="1" ht="13.5" customHeight="1" x14ac:dyDescent="0.25">
      <c r="C52" s="113" t="s">
        <v>51</v>
      </c>
      <c r="E52" s="113"/>
      <c r="F52" s="113"/>
      <c r="G52" s="113"/>
    </row>
    <row r="53" spans="1:9" s="59" customFormat="1" x14ac:dyDescent="0.25"/>
  </sheetData>
  <mergeCells count="26">
    <mergeCell ref="A35:C35"/>
    <mergeCell ref="A38:I38"/>
    <mergeCell ref="B40:C40"/>
    <mergeCell ref="F40:G40"/>
    <mergeCell ref="A34:F34"/>
    <mergeCell ref="C33:F33"/>
    <mergeCell ref="A1:I1"/>
    <mergeCell ref="A3:K3"/>
    <mergeCell ref="A5:I5"/>
    <mergeCell ref="A10:I10"/>
    <mergeCell ref="F47:G47"/>
    <mergeCell ref="B41:C41"/>
    <mergeCell ref="F41:G41"/>
    <mergeCell ref="A2:K2"/>
    <mergeCell ref="A11:I11"/>
    <mergeCell ref="A12:I12"/>
    <mergeCell ref="B45:C45"/>
    <mergeCell ref="F45:G45"/>
    <mergeCell ref="F46:G46"/>
    <mergeCell ref="B46:C46"/>
    <mergeCell ref="B42:C42"/>
    <mergeCell ref="F42:G42"/>
    <mergeCell ref="F43:G43"/>
    <mergeCell ref="F44:G44"/>
    <mergeCell ref="B43:C43"/>
    <mergeCell ref="B44:C44"/>
  </mergeCells>
  <pageMargins left="0" right="0" top="0" bottom="0" header="0.31496062992125984" footer="0.31496062992125984"/>
  <pageSetup paperSize="9" orientation="landscape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5827D5-6EB3-423E-86A2-F771FB4EE3ED}">
  <sheetPr>
    <tabColor rgb="FF7030A0"/>
  </sheetPr>
  <dimension ref="A1:M55"/>
  <sheetViews>
    <sheetView topLeftCell="A31" zoomScaleNormal="100" workbookViewId="0">
      <selection activeCell="A57" sqref="A57:IV58"/>
    </sheetView>
  </sheetViews>
  <sheetFormatPr defaultRowHeight="15" outlineLevelRow="1" outlineLevelCol="1" x14ac:dyDescent="0.25"/>
  <cols>
    <col min="1" max="1" width="5.5703125" style="35" customWidth="1"/>
    <col min="2" max="2" width="51" style="35" customWidth="1"/>
    <col min="3" max="3" width="13" style="35" customWidth="1"/>
    <col min="4" max="4" width="12.85546875" style="35" customWidth="1"/>
    <col min="5" max="5" width="12.7109375" style="35" customWidth="1"/>
    <col min="6" max="6" width="14" style="35" customWidth="1"/>
    <col min="7" max="7" width="13.28515625" style="35" customWidth="1"/>
    <col min="8" max="8" width="10.85546875" style="35" hidden="1" customWidth="1" outlineLevel="1"/>
    <col min="9" max="9" width="13.42578125" style="35" hidden="1" customWidth="1" outlineLevel="1"/>
    <col min="10" max="12" width="9.140625" style="35" hidden="1" customWidth="1" outlineLevel="1"/>
    <col min="13" max="13" width="9.140625" style="35" collapsed="1"/>
    <col min="14" max="16384" width="9.140625" style="35"/>
  </cols>
  <sheetData>
    <row r="1" spans="1:11" x14ac:dyDescent="0.25">
      <c r="A1" s="397" t="s">
        <v>0</v>
      </c>
      <c r="B1" s="397"/>
      <c r="C1" s="397"/>
      <c r="D1" s="397"/>
      <c r="E1" s="397"/>
      <c r="F1" s="397"/>
      <c r="G1" s="397"/>
      <c r="H1" s="397"/>
      <c r="I1" s="397"/>
    </row>
    <row r="2" spans="1:11" ht="15" customHeight="1" x14ac:dyDescent="0.25">
      <c r="A2" s="370" t="s">
        <v>152</v>
      </c>
      <c r="B2" s="370"/>
      <c r="C2" s="370"/>
      <c r="D2" s="370"/>
      <c r="E2" s="370"/>
      <c r="F2" s="370"/>
      <c r="G2" s="370"/>
      <c r="H2" s="370"/>
      <c r="I2" s="370"/>
      <c r="J2" s="370"/>
      <c r="K2" s="370"/>
    </row>
    <row r="3" spans="1:11" ht="13.5" customHeight="1" x14ac:dyDescent="0.25">
      <c r="A3" s="370" t="s">
        <v>426</v>
      </c>
      <c r="B3" s="370"/>
      <c r="C3" s="370"/>
      <c r="D3" s="370"/>
      <c r="E3" s="370"/>
      <c r="F3" s="370"/>
      <c r="G3" s="370"/>
      <c r="H3" s="370"/>
      <c r="I3" s="370"/>
      <c r="J3" s="370"/>
      <c r="K3" s="370"/>
    </row>
    <row r="4" spans="1:11" ht="7.5" customHeight="1" x14ac:dyDescent="0.25">
      <c r="A4" s="142"/>
      <c r="B4" s="142"/>
      <c r="C4" s="142"/>
      <c r="D4" s="142"/>
      <c r="E4" s="142"/>
      <c r="F4" s="142"/>
      <c r="G4" s="142"/>
      <c r="H4" s="142"/>
      <c r="I4" s="142"/>
    </row>
    <row r="5" spans="1:11" ht="15.75" customHeight="1" x14ac:dyDescent="0.25">
      <c r="A5" s="398" t="s">
        <v>1</v>
      </c>
      <c r="B5" s="397"/>
      <c r="C5" s="397"/>
      <c r="D5" s="397"/>
      <c r="E5" s="397"/>
      <c r="F5" s="397"/>
      <c r="G5" s="397"/>
      <c r="H5" s="397"/>
      <c r="I5" s="397"/>
    </row>
    <row r="6" spans="1:11" ht="6" customHeight="1" x14ac:dyDescent="0.25"/>
    <row r="7" spans="1:11" s="59" customFormat="1" ht="16.5" customHeight="1" x14ac:dyDescent="0.25">
      <c r="A7" s="59" t="s">
        <v>2</v>
      </c>
      <c r="F7" s="111" t="s">
        <v>211</v>
      </c>
    </row>
    <row r="8" spans="1:11" s="59" customFormat="1" x14ac:dyDescent="0.25">
      <c r="A8" s="59" t="s">
        <v>3</v>
      </c>
      <c r="F8" s="239" t="s">
        <v>212</v>
      </c>
      <c r="H8" s="180">
        <f>50.6+58+59.7</f>
        <v>168.3</v>
      </c>
      <c r="I8" s="59">
        <v>3209.7</v>
      </c>
      <c r="J8" s="281">
        <f>H8+I8</f>
        <v>3378</v>
      </c>
    </row>
    <row r="9" spans="1:11" s="59" customFormat="1" ht="14.25" customHeight="1" x14ac:dyDescent="0.25">
      <c r="B9" s="59" t="s">
        <v>252</v>
      </c>
      <c r="F9" s="239" t="s">
        <v>257</v>
      </c>
    </row>
    <row r="10" spans="1:11" s="59" customFormat="1" x14ac:dyDescent="0.25">
      <c r="A10" s="372" t="s">
        <v>8</v>
      </c>
      <c r="B10" s="372"/>
      <c r="C10" s="372"/>
      <c r="D10" s="372"/>
      <c r="E10" s="372"/>
      <c r="F10" s="372"/>
      <c r="G10" s="372"/>
      <c r="H10" s="372"/>
      <c r="I10" s="372"/>
    </row>
    <row r="11" spans="1:11" s="59" customFormat="1" x14ac:dyDescent="0.25">
      <c r="A11" s="372" t="s">
        <v>9</v>
      </c>
      <c r="B11" s="372"/>
      <c r="C11" s="372"/>
      <c r="D11" s="372"/>
      <c r="E11" s="372"/>
      <c r="F11" s="372"/>
      <c r="G11" s="372"/>
      <c r="H11" s="372"/>
      <c r="I11" s="372"/>
    </row>
    <row r="12" spans="1:11" s="59" customFormat="1" x14ac:dyDescent="0.25">
      <c r="A12" s="372" t="s">
        <v>10</v>
      </c>
      <c r="B12" s="372"/>
      <c r="C12" s="372"/>
      <c r="D12" s="372"/>
      <c r="E12" s="372"/>
      <c r="F12" s="372"/>
      <c r="G12" s="372"/>
      <c r="H12" s="372"/>
      <c r="I12" s="372"/>
    </row>
    <row r="13" spans="1:11" s="59" customFormat="1" ht="6" customHeight="1" thickBot="1" x14ac:dyDescent="0.3">
      <c r="A13" s="60"/>
      <c r="B13" s="60"/>
      <c r="C13" s="60"/>
      <c r="D13" s="38"/>
      <c r="E13" s="58"/>
      <c r="F13" s="58"/>
      <c r="G13" s="58"/>
      <c r="H13" s="54"/>
      <c r="I13" s="54"/>
    </row>
    <row r="14" spans="1:11" s="59" customFormat="1" ht="15.75" thickBot="1" x14ac:dyDescent="0.3">
      <c r="A14" s="55" t="s">
        <v>381</v>
      </c>
      <c r="B14" s="56"/>
      <c r="C14" s="56"/>
      <c r="D14" s="61"/>
      <c r="E14" s="62"/>
      <c r="F14" s="62"/>
      <c r="G14" s="129">
        <f>'[1]Суворова 17'!$G$38</f>
        <v>-203661.11570000002</v>
      </c>
      <c r="H14" s="54"/>
      <c r="I14" s="54"/>
    </row>
    <row r="15" spans="1:11" s="59" customFormat="1" ht="6.75" customHeight="1" x14ac:dyDescent="0.25"/>
    <row r="16" spans="1:11" s="66" customFormat="1" ht="52.5" customHeight="1" x14ac:dyDescent="0.25">
      <c r="A16" s="64" t="s">
        <v>11</v>
      </c>
      <c r="B16" s="64" t="s">
        <v>12</v>
      </c>
      <c r="C16" s="64" t="s">
        <v>61</v>
      </c>
      <c r="D16" s="64" t="s">
        <v>432</v>
      </c>
      <c r="E16" s="64" t="s">
        <v>433</v>
      </c>
      <c r="F16" s="65" t="s">
        <v>434</v>
      </c>
      <c r="G16" s="64" t="s">
        <v>435</v>
      </c>
    </row>
    <row r="17" spans="1:13" s="59" customFormat="1" ht="15.75" customHeight="1" x14ac:dyDescent="0.25">
      <c r="A17" s="67" t="s">
        <v>14</v>
      </c>
      <c r="B17" s="39" t="s">
        <v>379</v>
      </c>
      <c r="C17" s="120">
        <v>23.01</v>
      </c>
      <c r="D17" s="68">
        <v>886262.28</v>
      </c>
      <c r="E17" s="68">
        <v>864571.5</v>
      </c>
      <c r="F17" s="68">
        <f t="shared" ref="F17:F24" si="0">D17</f>
        <v>886262.28</v>
      </c>
      <c r="G17" s="69">
        <f>D17-E17</f>
        <v>21690.780000000028</v>
      </c>
      <c r="H17" s="130">
        <f>C17</f>
        <v>23.01</v>
      </c>
    </row>
    <row r="18" spans="1:13" s="59" customFormat="1" ht="15.75" hidden="1" customHeight="1" outlineLevel="1" x14ac:dyDescent="0.25">
      <c r="A18" s="73" t="s">
        <v>16</v>
      </c>
      <c r="B18" s="34" t="s">
        <v>17</v>
      </c>
      <c r="C18" s="89">
        <v>3.46</v>
      </c>
      <c r="D18" s="75">
        <f>D17*I18</f>
        <v>133266.73136897001</v>
      </c>
      <c r="E18" s="75">
        <f>E17*I18</f>
        <v>130005.10169491525</v>
      </c>
      <c r="F18" s="75">
        <f t="shared" si="0"/>
        <v>133266.73136897001</v>
      </c>
      <c r="G18" s="76">
        <f>D18-E18</f>
        <v>3261.629674054755</v>
      </c>
      <c r="H18" s="130">
        <f>C18</f>
        <v>3.46</v>
      </c>
      <c r="I18" s="59">
        <f>H18/H17</f>
        <v>0.15036940460669274</v>
      </c>
    </row>
    <row r="19" spans="1:13" s="59" customFormat="1" ht="15.75" hidden="1" customHeight="1" outlineLevel="1" x14ac:dyDescent="0.25">
      <c r="A19" s="73" t="s">
        <v>18</v>
      </c>
      <c r="B19" s="34" t="s">
        <v>19</v>
      </c>
      <c r="C19" s="89">
        <v>1.69</v>
      </c>
      <c r="D19" s="75">
        <f>D17*I19</f>
        <v>65092.709830508466</v>
      </c>
      <c r="E19" s="75">
        <f>E17*I19</f>
        <v>63499.601694915247</v>
      </c>
      <c r="F19" s="75">
        <f t="shared" si="0"/>
        <v>65092.709830508466</v>
      </c>
      <c r="G19" s="76">
        <f>D19-E19</f>
        <v>1593.1081355932183</v>
      </c>
      <c r="H19" s="130">
        <f>C19</f>
        <v>1.69</v>
      </c>
      <c r="I19" s="59">
        <f>H19/H17</f>
        <v>7.3446327683615809E-2</v>
      </c>
    </row>
    <row r="20" spans="1:13" s="59" customFormat="1" ht="15.75" hidden="1" customHeight="1" outlineLevel="1" x14ac:dyDescent="0.25">
      <c r="A20" s="73" t="s">
        <v>20</v>
      </c>
      <c r="B20" s="34" t="s">
        <v>21</v>
      </c>
      <c r="C20" s="89">
        <v>1.69</v>
      </c>
      <c r="D20" s="75">
        <f>D17*I20</f>
        <v>65092.709830508466</v>
      </c>
      <c r="E20" s="75">
        <f>E17*I20</f>
        <v>63499.601694915247</v>
      </c>
      <c r="F20" s="75">
        <f t="shared" si="0"/>
        <v>65092.709830508466</v>
      </c>
      <c r="G20" s="76">
        <f>D20-E20</f>
        <v>1593.1081355932183</v>
      </c>
      <c r="H20" s="130">
        <f>C20</f>
        <v>1.69</v>
      </c>
      <c r="I20" s="59">
        <f>H20/H17</f>
        <v>7.3446327683615809E-2</v>
      </c>
    </row>
    <row r="21" spans="1:13" s="59" customFormat="1" ht="15.75" hidden="1" customHeight="1" outlineLevel="1" x14ac:dyDescent="0.25">
      <c r="A21" s="73" t="s">
        <v>22</v>
      </c>
      <c r="B21" s="34" t="s">
        <v>23</v>
      </c>
      <c r="C21" s="89">
        <v>3.04</v>
      </c>
      <c r="D21" s="75">
        <f>D17*I21</f>
        <v>117089.84490221641</v>
      </c>
      <c r="E21" s="75">
        <f>E17*I21</f>
        <v>114224.13559322033</v>
      </c>
      <c r="F21" s="75">
        <f t="shared" si="0"/>
        <v>117089.84490221641</v>
      </c>
      <c r="G21" s="76">
        <f>D21-E21</f>
        <v>2865.7093089960836</v>
      </c>
      <c r="H21" s="130">
        <f>C21</f>
        <v>3.04</v>
      </c>
      <c r="I21" s="59">
        <f>H21/H17</f>
        <v>0.13211647109952193</v>
      </c>
    </row>
    <row r="22" spans="1:13" ht="15.75" customHeight="1" collapsed="1" x14ac:dyDescent="0.25">
      <c r="A22" s="39" t="s">
        <v>25</v>
      </c>
      <c r="B22" s="125" t="s">
        <v>144</v>
      </c>
      <c r="C22" s="46">
        <v>120</v>
      </c>
      <c r="D22" s="69">
        <v>0</v>
      </c>
      <c r="E22" s="69">
        <v>3066.35</v>
      </c>
      <c r="F22" s="69">
        <f t="shared" si="0"/>
        <v>0</v>
      </c>
      <c r="G22" s="69">
        <f t="shared" ref="G22:G33" si="1">D22-E22</f>
        <v>-3066.35</v>
      </c>
    </row>
    <row r="23" spans="1:13" ht="15.75" customHeight="1" x14ac:dyDescent="0.25">
      <c r="A23" s="39" t="s">
        <v>27</v>
      </c>
      <c r="B23" s="125" t="s">
        <v>28</v>
      </c>
      <c r="C23" s="87">
        <v>0</v>
      </c>
      <c r="D23" s="69">
        <v>0</v>
      </c>
      <c r="E23" s="69">
        <v>0</v>
      </c>
      <c r="F23" s="69">
        <f t="shared" si="0"/>
        <v>0</v>
      </c>
      <c r="G23" s="69">
        <f t="shared" si="1"/>
        <v>0</v>
      </c>
    </row>
    <row r="24" spans="1:13" ht="15.75" customHeight="1" x14ac:dyDescent="0.25">
      <c r="A24" s="39" t="s">
        <v>29</v>
      </c>
      <c r="B24" s="125" t="s">
        <v>97</v>
      </c>
      <c r="C24" s="357">
        <v>0</v>
      </c>
      <c r="D24" s="69">
        <v>0</v>
      </c>
      <c r="E24" s="69">
        <v>0</v>
      </c>
      <c r="F24" s="69">
        <f t="shared" si="0"/>
        <v>0</v>
      </c>
      <c r="G24" s="69">
        <f t="shared" si="1"/>
        <v>0</v>
      </c>
      <c r="H24" s="36"/>
      <c r="I24" s="36"/>
      <c r="J24" s="505"/>
      <c r="K24" s="506"/>
    </row>
    <row r="25" spans="1:13" ht="15.75" customHeight="1" x14ac:dyDescent="0.25">
      <c r="A25" s="39" t="s">
        <v>31</v>
      </c>
      <c r="B25" s="125" t="s">
        <v>80</v>
      </c>
      <c r="C25" s="87">
        <v>2.2799999999999998</v>
      </c>
      <c r="D25" s="69">
        <f>87817.44+D26</f>
        <v>92422.13</v>
      </c>
      <c r="E25" s="69">
        <f>86734.71+E26</f>
        <v>88368.1</v>
      </c>
      <c r="F25" s="79">
        <f>F45</f>
        <v>46943.220999999998</v>
      </c>
      <c r="G25" s="69">
        <f t="shared" si="1"/>
        <v>4054.0299999999988</v>
      </c>
      <c r="M25" s="144"/>
    </row>
    <row r="26" spans="1:13" ht="15.75" customHeight="1" x14ac:dyDescent="0.25">
      <c r="A26" s="39"/>
      <c r="B26" s="292" t="s">
        <v>244</v>
      </c>
      <c r="C26" s="293"/>
      <c r="D26" s="294">
        <f>1384.42+1586.88+1633.39</f>
        <v>4604.6900000000005</v>
      </c>
      <c r="E26" s="294">
        <f>1633.39</f>
        <v>1633.39</v>
      </c>
      <c r="F26" s="294"/>
      <c r="G26" s="248"/>
      <c r="M26" s="144"/>
    </row>
    <row r="27" spans="1:13" ht="15.75" customHeight="1" x14ac:dyDescent="0.25">
      <c r="A27" s="39" t="s">
        <v>33</v>
      </c>
      <c r="B27" s="119" t="s">
        <v>34</v>
      </c>
      <c r="C27" s="43">
        <v>0</v>
      </c>
      <c r="D27" s="69">
        <v>0</v>
      </c>
      <c r="E27" s="69">
        <v>0</v>
      </c>
      <c r="F27" s="79">
        <v>0</v>
      </c>
      <c r="G27" s="69">
        <f t="shared" si="1"/>
        <v>0</v>
      </c>
    </row>
    <row r="28" spans="1:13" ht="15.75" customHeight="1" x14ac:dyDescent="0.25">
      <c r="A28" s="39" t="s">
        <v>35</v>
      </c>
      <c r="B28" s="119" t="s">
        <v>36</v>
      </c>
      <c r="C28" s="87"/>
      <c r="D28" s="69">
        <f>SUM(D29:D32)</f>
        <v>932695.41999999993</v>
      </c>
      <c r="E28" s="69">
        <f>SUM(E29:E32)</f>
        <v>921737.85199999996</v>
      </c>
      <c r="F28" s="69">
        <f>SUM(F29:F32)</f>
        <v>932695.41999999993</v>
      </c>
      <c r="G28" s="69">
        <f t="shared" si="1"/>
        <v>10957.56799999997</v>
      </c>
    </row>
    <row r="29" spans="1:13" ht="15.75" customHeight="1" x14ac:dyDescent="0.25">
      <c r="A29" s="34" t="s">
        <v>37</v>
      </c>
      <c r="B29" s="34" t="s">
        <v>101</v>
      </c>
      <c r="C29" s="89">
        <v>7.36</v>
      </c>
      <c r="D29" s="76">
        <v>18194.57</v>
      </c>
      <c r="E29" s="76">
        <v>16917.71</v>
      </c>
      <c r="F29" s="76">
        <f>D29</f>
        <v>18194.57</v>
      </c>
      <c r="G29" s="76">
        <f t="shared" si="1"/>
        <v>1276.8600000000006</v>
      </c>
    </row>
    <row r="30" spans="1:13" ht="15.75" customHeight="1" x14ac:dyDescent="0.25">
      <c r="A30" s="34" t="s">
        <v>39</v>
      </c>
      <c r="B30" s="34" t="s">
        <v>84</v>
      </c>
      <c r="C30" s="89">
        <v>88.38</v>
      </c>
      <c r="D30" s="76">
        <v>914500.85</v>
      </c>
      <c r="E30" s="76">
        <v>896858.92200000002</v>
      </c>
      <c r="F30" s="76">
        <f>D30</f>
        <v>914500.85</v>
      </c>
      <c r="G30" s="76">
        <f t="shared" si="1"/>
        <v>17641.927999999956</v>
      </c>
    </row>
    <row r="31" spans="1:13" ht="15.75" customHeight="1" x14ac:dyDescent="0.25">
      <c r="A31" s="34" t="s">
        <v>42</v>
      </c>
      <c r="B31" s="34" t="s">
        <v>40</v>
      </c>
      <c r="C31" s="128">
        <v>0</v>
      </c>
      <c r="D31" s="76">
        <v>0</v>
      </c>
      <c r="E31" s="76">
        <v>0</v>
      </c>
      <c r="F31" s="76">
        <f>D31</f>
        <v>0</v>
      </c>
      <c r="G31" s="76">
        <f t="shared" si="1"/>
        <v>0</v>
      </c>
    </row>
    <row r="32" spans="1:13" ht="15.75" customHeight="1" x14ac:dyDescent="0.25">
      <c r="A32" s="34" t="s">
        <v>41</v>
      </c>
      <c r="B32" s="34" t="s">
        <v>43</v>
      </c>
      <c r="C32" s="89">
        <v>3352.42</v>
      </c>
      <c r="D32" s="76">
        <v>0</v>
      </c>
      <c r="E32" s="76">
        <v>7961.22</v>
      </c>
      <c r="F32" s="76">
        <f>D32</f>
        <v>0</v>
      </c>
      <c r="G32" s="76">
        <f t="shared" si="1"/>
        <v>-7961.22</v>
      </c>
      <c r="H32" s="91"/>
      <c r="I32" s="91"/>
    </row>
    <row r="33" spans="1:11" ht="15.75" hidden="1" customHeight="1" outlineLevel="1" x14ac:dyDescent="0.25">
      <c r="A33" s="174" t="s">
        <v>130</v>
      </c>
      <c r="B33" s="257" t="s">
        <v>133</v>
      </c>
      <c r="C33" s="298"/>
      <c r="D33" s="248">
        <f>1000+1800</f>
        <v>2800</v>
      </c>
      <c r="E33" s="248">
        <v>1800</v>
      </c>
      <c r="F33" s="296">
        <v>0</v>
      </c>
      <c r="G33" s="248">
        <f t="shared" si="1"/>
        <v>1000</v>
      </c>
      <c r="H33" s="91"/>
      <c r="I33" s="91"/>
    </row>
    <row r="34" spans="1:11" ht="15.75" hidden="1" customHeight="1" outlineLevel="1" x14ac:dyDescent="0.25">
      <c r="A34" s="174"/>
      <c r="B34" s="295"/>
      <c r="C34" s="376" t="s">
        <v>246</v>
      </c>
      <c r="D34" s="377"/>
      <c r="E34" s="377"/>
      <c r="F34" s="377"/>
      <c r="G34" s="82">
        <f>E33-(E33*15%)</f>
        <v>1530</v>
      </c>
      <c r="H34" s="91"/>
      <c r="I34" s="91"/>
    </row>
    <row r="35" spans="1:11" ht="15.75" customHeight="1" collapsed="1" thickBot="1" x14ac:dyDescent="0.3">
      <c r="A35" s="373"/>
      <c r="B35" s="374"/>
      <c r="C35" s="374"/>
      <c r="D35" s="375"/>
      <c r="E35" s="375"/>
      <c r="F35" s="375"/>
      <c r="G35" s="155"/>
      <c r="H35" s="91"/>
      <c r="I35" s="91"/>
    </row>
    <row r="36" spans="1:11" s="92" customFormat="1" ht="14.25" thickBot="1" x14ac:dyDescent="0.3">
      <c r="A36" s="387" t="s">
        <v>427</v>
      </c>
      <c r="B36" s="388"/>
      <c r="C36" s="388"/>
      <c r="D36" s="57">
        <v>33636.03</v>
      </c>
      <c r="E36" s="58"/>
      <c r="F36" s="58"/>
      <c r="G36" s="58"/>
      <c r="H36" s="54"/>
      <c r="I36" s="54"/>
      <c r="J36" s="91"/>
    </row>
    <row r="37" spans="1:11" s="59" customFormat="1" ht="8.25" customHeight="1" thickBot="1" x14ac:dyDescent="0.3">
      <c r="A37" s="60"/>
      <c r="B37" s="60"/>
      <c r="C37" s="60"/>
      <c r="D37" s="38"/>
      <c r="E37" s="58"/>
      <c r="F37" s="58"/>
      <c r="G37" s="58"/>
      <c r="H37" s="54"/>
      <c r="I37" s="54"/>
    </row>
    <row r="38" spans="1:11" s="59" customFormat="1" ht="15.75" thickBot="1" x14ac:dyDescent="0.3">
      <c r="A38" s="55" t="s">
        <v>428</v>
      </c>
      <c r="B38" s="56"/>
      <c r="C38" s="56"/>
      <c r="D38" s="61"/>
      <c r="E38" s="62"/>
      <c r="F38" s="62"/>
      <c r="G38" s="129">
        <f>G14+E25-F25</f>
        <v>-162236.23670000001</v>
      </c>
      <c r="H38" s="54"/>
      <c r="I38" s="54"/>
    </row>
    <row r="39" spans="1:11" s="59" customFormat="1" x14ac:dyDescent="0.25">
      <c r="A39" s="392" t="s">
        <v>90</v>
      </c>
      <c r="B39" s="392"/>
      <c r="C39" s="60"/>
      <c r="D39" s="38"/>
      <c r="E39" s="58"/>
      <c r="F39" s="58"/>
      <c r="G39" s="38"/>
      <c r="H39" s="54"/>
      <c r="I39" s="54">
        <f>59.7*H41*3</f>
        <v>4529.4390000000012</v>
      </c>
    </row>
    <row r="40" spans="1:11" s="59" customFormat="1" x14ac:dyDescent="0.25">
      <c r="A40" s="393" t="s">
        <v>91</v>
      </c>
      <c r="B40" s="394"/>
      <c r="C40" s="41" t="s">
        <v>92</v>
      </c>
      <c r="D40" s="41" t="s">
        <v>93</v>
      </c>
      <c r="E40" s="42" t="s">
        <v>94</v>
      </c>
      <c r="F40" s="40" t="s">
        <v>95</v>
      </c>
      <c r="G40" s="42" t="s">
        <v>96</v>
      </c>
      <c r="H40" s="54"/>
      <c r="I40" s="54">
        <f>58*H41*3</f>
        <v>4400.4600000000009</v>
      </c>
    </row>
    <row r="41" spans="1:11" s="59" customFormat="1" x14ac:dyDescent="0.25">
      <c r="A41" s="395"/>
      <c r="B41" s="396"/>
      <c r="C41" s="110">
        <f>50.6+58+59.7</f>
        <v>168.3</v>
      </c>
      <c r="D41" s="138">
        <f>E41/C41/12</f>
        <v>25.290017825311939</v>
      </c>
      <c r="E41" s="73">
        <f>15356.04+17601.84+18117.84</f>
        <v>51075.72</v>
      </c>
      <c r="F41" s="75">
        <f>15356.04+0+22647.3</f>
        <v>38003.339999999997</v>
      </c>
      <c r="G41" s="138">
        <f>E41-F41</f>
        <v>13072.380000000005</v>
      </c>
      <c r="H41" s="335">
        <f>C17+C25</f>
        <v>25.290000000000003</v>
      </c>
      <c r="I41" s="54">
        <f>50.6*H41*3</f>
        <v>3839.0220000000008</v>
      </c>
      <c r="J41" s="59">
        <f>10319.34+11885.1+11828.52</f>
        <v>34032.960000000006</v>
      </c>
      <c r="K41" s="59">
        <f>9121.65+5652.36</f>
        <v>14774.009999999998</v>
      </c>
    </row>
    <row r="42" spans="1:11" s="59" customFormat="1" ht="27.75" customHeight="1" x14ac:dyDescent="0.25">
      <c r="A42" s="485" t="s">
        <v>44</v>
      </c>
      <c r="B42" s="485"/>
      <c r="C42" s="485"/>
      <c r="D42" s="485"/>
      <c r="E42" s="485"/>
      <c r="F42" s="485"/>
      <c r="G42" s="485"/>
      <c r="H42" s="485"/>
      <c r="I42" s="485"/>
    </row>
    <row r="44" spans="1:11" ht="28.5" x14ac:dyDescent="0.25">
      <c r="A44" s="94" t="s">
        <v>11</v>
      </c>
      <c r="B44" s="416" t="s">
        <v>45</v>
      </c>
      <c r="C44" s="425"/>
      <c r="D44" s="94" t="s">
        <v>99</v>
      </c>
      <c r="E44" s="94" t="s">
        <v>98</v>
      </c>
      <c r="F44" s="416" t="s">
        <v>46</v>
      </c>
      <c r="G44" s="425"/>
      <c r="H44" s="156"/>
      <c r="I44" s="156"/>
    </row>
    <row r="45" spans="1:11" s="156" customFormat="1" x14ac:dyDescent="0.25">
      <c r="A45" s="98" t="s">
        <v>47</v>
      </c>
      <c r="B45" s="418" t="s">
        <v>75</v>
      </c>
      <c r="C45" s="430"/>
      <c r="D45" s="99"/>
      <c r="E45" s="99"/>
      <c r="F45" s="436">
        <f>SUM(F46:L49)</f>
        <v>46943.220999999998</v>
      </c>
      <c r="G45" s="424"/>
      <c r="H45" s="103"/>
      <c r="I45" s="103"/>
    </row>
    <row r="46" spans="1:11" s="103" customFormat="1" ht="13.5" customHeight="1" x14ac:dyDescent="0.25">
      <c r="A46" s="34" t="s">
        <v>16</v>
      </c>
      <c r="B46" s="406" t="s">
        <v>492</v>
      </c>
      <c r="C46" s="431"/>
      <c r="D46" s="176" t="s">
        <v>137</v>
      </c>
      <c r="E46" s="176">
        <v>0.03</v>
      </c>
      <c r="F46" s="435">
        <v>10574.85</v>
      </c>
      <c r="G46" s="435"/>
      <c r="H46" s="35"/>
      <c r="I46" s="35"/>
    </row>
    <row r="47" spans="1:11" ht="13.5" customHeight="1" x14ac:dyDescent="0.25">
      <c r="A47" s="34" t="s">
        <v>18</v>
      </c>
      <c r="B47" s="406" t="s">
        <v>418</v>
      </c>
      <c r="C47" s="431"/>
      <c r="D47" s="105" t="s">
        <v>100</v>
      </c>
      <c r="E47" s="107">
        <v>2</v>
      </c>
      <c r="F47" s="435">
        <v>24493.81</v>
      </c>
      <c r="G47" s="435"/>
    </row>
    <row r="48" spans="1:11" ht="13.5" customHeight="1" x14ac:dyDescent="0.25">
      <c r="A48" s="34" t="s">
        <v>20</v>
      </c>
      <c r="B48" s="406" t="s">
        <v>493</v>
      </c>
      <c r="C48" s="431"/>
      <c r="D48" s="105" t="s">
        <v>458</v>
      </c>
      <c r="E48" s="348">
        <v>2.6499999999999999E-2</v>
      </c>
      <c r="F48" s="435">
        <v>10990.88</v>
      </c>
      <c r="G48" s="435"/>
    </row>
    <row r="49" spans="1:9" x14ac:dyDescent="0.25">
      <c r="A49" s="34" t="s">
        <v>22</v>
      </c>
      <c r="B49" s="133" t="s">
        <v>108</v>
      </c>
      <c r="C49" s="134"/>
      <c r="D49" s="105"/>
      <c r="E49" s="105"/>
      <c r="F49" s="435">
        <f>E25*1%</f>
        <v>883.68100000000004</v>
      </c>
      <c r="G49" s="435"/>
    </row>
    <row r="50" spans="1:9" x14ac:dyDescent="0.25">
      <c r="A50" s="59"/>
      <c r="B50" s="59"/>
      <c r="C50" s="59"/>
      <c r="D50" s="59"/>
      <c r="E50" s="59"/>
      <c r="F50" s="59"/>
      <c r="G50" s="59"/>
      <c r="H50" s="59"/>
      <c r="I50" s="59"/>
    </row>
    <row r="51" spans="1:9" ht="15" customHeight="1" x14ac:dyDescent="0.25">
      <c r="A51" s="51" t="s">
        <v>372</v>
      </c>
      <c r="B51" s="59"/>
      <c r="C51" s="59" t="s">
        <v>49</v>
      </c>
      <c r="D51" s="59"/>
      <c r="E51" s="59"/>
      <c r="F51" s="59" t="s">
        <v>60</v>
      </c>
      <c r="G51" s="59"/>
      <c r="H51" s="59"/>
      <c r="I51" s="59"/>
    </row>
    <row r="52" spans="1:9" x14ac:dyDescent="0.25">
      <c r="A52" s="59"/>
      <c r="B52" s="59"/>
      <c r="C52" s="59"/>
      <c r="D52" s="59"/>
      <c r="E52" s="59"/>
      <c r="F52" s="111" t="s">
        <v>438</v>
      </c>
      <c r="G52" s="59"/>
      <c r="H52" s="59"/>
      <c r="I52" s="59"/>
    </row>
    <row r="53" spans="1:9" s="59" customFormat="1" x14ac:dyDescent="0.25">
      <c r="A53" s="59" t="s">
        <v>50</v>
      </c>
    </row>
    <row r="54" spans="1:9" s="59" customFormat="1" ht="13.5" customHeight="1" x14ac:dyDescent="0.25">
      <c r="C54" s="113" t="s">
        <v>51</v>
      </c>
      <c r="E54" s="113"/>
      <c r="F54" s="113"/>
      <c r="G54" s="113"/>
    </row>
    <row r="55" spans="1:9" s="59" customFormat="1" x14ac:dyDescent="0.25"/>
  </sheetData>
  <mergeCells count="25">
    <mergeCell ref="A35:F35"/>
    <mergeCell ref="F46:G46"/>
    <mergeCell ref="A36:C36"/>
    <mergeCell ref="A42:I42"/>
    <mergeCell ref="A39:B39"/>
    <mergeCell ref="A40:B41"/>
    <mergeCell ref="B46:C46"/>
    <mergeCell ref="B47:C47"/>
    <mergeCell ref="F49:G49"/>
    <mergeCell ref="B44:C44"/>
    <mergeCell ref="F44:G44"/>
    <mergeCell ref="B45:C45"/>
    <mergeCell ref="F45:G45"/>
    <mergeCell ref="F47:G47"/>
    <mergeCell ref="B48:C48"/>
    <mergeCell ref="F48:G48"/>
    <mergeCell ref="A1:I1"/>
    <mergeCell ref="A5:I5"/>
    <mergeCell ref="A10:I10"/>
    <mergeCell ref="A3:K3"/>
    <mergeCell ref="A11:I11"/>
    <mergeCell ref="C34:F34"/>
    <mergeCell ref="A2:K2"/>
    <mergeCell ref="J24:K24"/>
    <mergeCell ref="A12:I12"/>
  </mergeCells>
  <phoneticPr fontId="14" type="noConversion"/>
  <pageMargins left="0" right="0" top="0" bottom="0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9F3397-C2D6-4634-8B62-1716AA64FA0B}">
  <sheetPr>
    <tabColor rgb="FF7030A0"/>
  </sheetPr>
  <dimension ref="A1:M55"/>
  <sheetViews>
    <sheetView topLeftCell="A34" zoomScaleNormal="100" workbookViewId="0">
      <selection activeCell="A56" sqref="A56:IV57"/>
    </sheetView>
  </sheetViews>
  <sheetFormatPr defaultRowHeight="15" outlineLevelRow="1" outlineLevelCol="1" x14ac:dyDescent="0.25"/>
  <cols>
    <col min="1" max="1" width="5.5703125" style="35" customWidth="1"/>
    <col min="2" max="2" width="40.28515625" style="35" bestFit="1" customWidth="1"/>
    <col min="3" max="3" width="13.7109375" style="35" customWidth="1"/>
    <col min="4" max="4" width="13.42578125" style="35" customWidth="1"/>
    <col min="5" max="5" width="13" style="35" customWidth="1"/>
    <col min="6" max="6" width="12.7109375" style="35" customWidth="1"/>
    <col min="7" max="7" width="13.28515625" style="35" customWidth="1"/>
    <col min="8" max="8" width="10.85546875" style="35" hidden="1" customWidth="1" outlineLevel="1"/>
    <col min="9" max="9" width="13.42578125" style="35" hidden="1" customWidth="1" outlineLevel="1"/>
    <col min="10" max="12" width="9.140625" style="35" hidden="1" customWidth="1" outlineLevel="1"/>
    <col min="13" max="13" width="9.140625" style="35" collapsed="1"/>
    <col min="14" max="16384" width="9.140625" style="35"/>
  </cols>
  <sheetData>
    <row r="1" spans="1:11" x14ac:dyDescent="0.25">
      <c r="A1" s="397" t="s">
        <v>0</v>
      </c>
      <c r="B1" s="397"/>
      <c r="C1" s="397"/>
      <c r="D1" s="397"/>
      <c r="E1" s="397"/>
      <c r="F1" s="397"/>
      <c r="G1" s="397"/>
      <c r="H1" s="397"/>
      <c r="I1" s="397"/>
    </row>
    <row r="2" spans="1:11" ht="15" customHeight="1" x14ac:dyDescent="0.25">
      <c r="A2" s="370" t="s">
        <v>152</v>
      </c>
      <c r="B2" s="370"/>
      <c r="C2" s="370"/>
      <c r="D2" s="370"/>
      <c r="E2" s="370"/>
      <c r="F2" s="370"/>
      <c r="G2" s="370"/>
      <c r="H2" s="370"/>
      <c r="I2" s="370"/>
      <c r="J2" s="370"/>
      <c r="K2" s="370"/>
    </row>
    <row r="3" spans="1:11" ht="16.5" customHeight="1" x14ac:dyDescent="0.25">
      <c r="A3" s="370" t="s">
        <v>426</v>
      </c>
      <c r="B3" s="370"/>
      <c r="C3" s="370"/>
      <c r="D3" s="370"/>
      <c r="E3" s="370"/>
      <c r="F3" s="370"/>
      <c r="G3" s="370"/>
      <c r="H3" s="370"/>
      <c r="I3" s="370"/>
      <c r="J3" s="370"/>
      <c r="K3" s="370"/>
    </row>
    <row r="4" spans="1:11" ht="18.75" customHeight="1" x14ac:dyDescent="0.25">
      <c r="A4" s="142"/>
      <c r="B4" s="142"/>
      <c r="C4" s="142"/>
      <c r="D4" s="142"/>
      <c r="E4" s="142"/>
      <c r="F4" s="142"/>
      <c r="G4" s="142"/>
      <c r="H4" s="142"/>
      <c r="I4" s="142"/>
    </row>
    <row r="5" spans="1:11" ht="16.5" customHeight="1" x14ac:dyDescent="0.25">
      <c r="A5" s="398" t="s">
        <v>1</v>
      </c>
      <c r="B5" s="397"/>
      <c r="C5" s="397"/>
      <c r="D5" s="397"/>
      <c r="E5" s="397"/>
      <c r="F5" s="397"/>
      <c r="G5" s="397"/>
      <c r="H5" s="397"/>
      <c r="I5" s="397"/>
    </row>
    <row r="7" spans="1:11" s="59" customFormat="1" ht="16.5" customHeight="1" x14ac:dyDescent="0.25">
      <c r="A7" s="59" t="s">
        <v>2</v>
      </c>
      <c r="F7" s="111" t="s">
        <v>158</v>
      </c>
    </row>
    <row r="8" spans="1:11" s="59" customFormat="1" x14ac:dyDescent="0.25">
      <c r="A8" s="59" t="s">
        <v>3</v>
      </c>
      <c r="F8" s="239" t="s">
        <v>157</v>
      </c>
      <c r="I8" s="180">
        <v>60.2</v>
      </c>
      <c r="J8" s="59">
        <v>840.6</v>
      </c>
      <c r="K8" s="59">
        <f>I8+J8</f>
        <v>900.80000000000007</v>
      </c>
    </row>
    <row r="9" spans="1:11" s="59" customFormat="1" x14ac:dyDescent="0.25">
      <c r="B9" s="51" t="s">
        <v>244</v>
      </c>
      <c r="C9" s="115"/>
      <c r="D9" s="51"/>
      <c r="E9" s="51"/>
      <c r="F9" s="285" t="s">
        <v>247</v>
      </c>
    </row>
    <row r="10" spans="1:11" s="59" customFormat="1" x14ac:dyDescent="0.25">
      <c r="A10" s="372" t="s">
        <v>8</v>
      </c>
      <c r="B10" s="372"/>
      <c r="C10" s="372"/>
      <c r="D10" s="372"/>
      <c r="E10" s="372"/>
      <c r="F10" s="372"/>
      <c r="G10" s="372"/>
      <c r="H10" s="372"/>
      <c r="I10" s="372"/>
    </row>
    <row r="11" spans="1:11" s="59" customFormat="1" x14ac:dyDescent="0.25">
      <c r="A11" s="372" t="s">
        <v>9</v>
      </c>
      <c r="B11" s="372"/>
      <c r="C11" s="372"/>
      <c r="D11" s="372"/>
      <c r="E11" s="372"/>
      <c r="F11" s="372"/>
      <c r="G11" s="372"/>
      <c r="H11" s="372"/>
      <c r="I11" s="372"/>
    </row>
    <row r="12" spans="1:11" s="59" customFormat="1" x14ac:dyDescent="0.25">
      <c r="A12" s="372" t="s">
        <v>10</v>
      </c>
      <c r="B12" s="372"/>
      <c r="C12" s="372"/>
      <c r="D12" s="372"/>
      <c r="E12" s="372"/>
      <c r="F12" s="372"/>
      <c r="G12" s="372"/>
      <c r="H12" s="372"/>
      <c r="I12" s="372"/>
    </row>
    <row r="13" spans="1:11" s="59" customFormat="1" ht="6" customHeight="1" thickBot="1" x14ac:dyDescent="0.3">
      <c r="A13" s="60"/>
      <c r="B13" s="60"/>
      <c r="C13" s="60"/>
      <c r="D13" s="38"/>
      <c r="E13" s="58"/>
      <c r="F13" s="58"/>
      <c r="G13" s="58"/>
      <c r="H13" s="54"/>
      <c r="I13" s="54"/>
    </row>
    <row r="14" spans="1:11" s="59" customFormat="1" ht="15.75" thickBot="1" x14ac:dyDescent="0.3">
      <c r="A14" s="55" t="s">
        <v>381</v>
      </c>
      <c r="B14" s="56"/>
      <c r="C14" s="56"/>
      <c r="D14" s="61"/>
      <c r="E14" s="62"/>
      <c r="F14" s="62"/>
      <c r="G14" s="232">
        <f>'[1]Воронина 9'!$G$36</f>
        <v>-89965.757200000007</v>
      </c>
      <c r="H14" s="54"/>
      <c r="I14" s="54"/>
    </row>
    <row r="15" spans="1:11" s="59" customFormat="1" ht="8.25" customHeight="1" x14ac:dyDescent="0.25"/>
    <row r="16" spans="1:11" s="66" customFormat="1" ht="38.25" x14ac:dyDescent="0.25">
      <c r="A16" s="64" t="s">
        <v>11</v>
      </c>
      <c r="B16" s="64" t="s">
        <v>12</v>
      </c>
      <c r="C16" s="64" t="s">
        <v>61</v>
      </c>
      <c r="D16" s="64" t="s">
        <v>432</v>
      </c>
      <c r="E16" s="64" t="s">
        <v>433</v>
      </c>
      <c r="F16" s="65" t="s">
        <v>434</v>
      </c>
      <c r="G16" s="64" t="s">
        <v>435</v>
      </c>
      <c r="H16" s="64"/>
    </row>
    <row r="17" spans="1:9" s="152" customFormat="1" ht="14.25" x14ac:dyDescent="0.2">
      <c r="A17" s="67" t="s">
        <v>14</v>
      </c>
      <c r="B17" s="119" t="s">
        <v>379</v>
      </c>
      <c r="C17" s="120">
        <v>20.27</v>
      </c>
      <c r="D17" s="68">
        <v>186714.48</v>
      </c>
      <c r="E17" s="68">
        <v>203280.31</v>
      </c>
      <c r="F17" s="68">
        <f>D17</f>
        <v>186714.48</v>
      </c>
      <c r="G17" s="69">
        <f t="shared" ref="G17:G22" si="0">D17-E17</f>
        <v>-16565.829999999987</v>
      </c>
      <c r="H17" s="151">
        <f t="shared" ref="H17:H22" si="1">C17</f>
        <v>20.27</v>
      </c>
    </row>
    <row r="18" spans="1:9" s="59" customFormat="1" hidden="1" outlineLevel="1" x14ac:dyDescent="0.25">
      <c r="A18" s="73" t="s">
        <v>16</v>
      </c>
      <c r="B18" s="124" t="s">
        <v>17</v>
      </c>
      <c r="C18" s="89">
        <v>3.46</v>
      </c>
      <c r="D18" s="75">
        <f>D17*I18</f>
        <v>31871.341924025655</v>
      </c>
      <c r="E18" s="75">
        <f>E17*I18</f>
        <v>34699.056369018253</v>
      </c>
      <c r="F18" s="75">
        <f>D18</f>
        <v>31871.341924025655</v>
      </c>
      <c r="G18" s="76">
        <f t="shared" si="0"/>
        <v>-2827.7144449925981</v>
      </c>
      <c r="H18" s="130">
        <f t="shared" si="1"/>
        <v>3.46</v>
      </c>
      <c r="I18" s="59">
        <f>H18/H17</f>
        <v>0.17069560927479033</v>
      </c>
    </row>
    <row r="19" spans="1:9" s="59" customFormat="1" hidden="1" outlineLevel="1" x14ac:dyDescent="0.25">
      <c r="A19" s="73" t="s">
        <v>18</v>
      </c>
      <c r="B19" s="124" t="s">
        <v>19</v>
      </c>
      <c r="C19" s="89">
        <v>1.69</v>
      </c>
      <c r="D19" s="75">
        <f>D17*I19</f>
        <v>15567.216142081894</v>
      </c>
      <c r="E19" s="75">
        <f>E17*I19</f>
        <v>16948.383024173654</v>
      </c>
      <c r="F19" s="75">
        <f>D19</f>
        <v>15567.216142081894</v>
      </c>
      <c r="G19" s="76">
        <f t="shared" si="0"/>
        <v>-1381.1668820917603</v>
      </c>
      <c r="H19" s="130">
        <f t="shared" si="1"/>
        <v>1.69</v>
      </c>
      <c r="I19" s="59">
        <f>H19/H17</f>
        <v>8.3374444992599897E-2</v>
      </c>
    </row>
    <row r="20" spans="1:9" s="59" customFormat="1" hidden="1" outlineLevel="1" x14ac:dyDescent="0.25">
      <c r="A20" s="73" t="s">
        <v>20</v>
      </c>
      <c r="B20" s="124" t="s">
        <v>21</v>
      </c>
      <c r="C20" s="89">
        <v>1.69</v>
      </c>
      <c r="D20" s="75">
        <f>D17*I20</f>
        <v>15567.216142081894</v>
      </c>
      <c r="E20" s="75">
        <f>E17*I20</f>
        <v>16948.383024173654</v>
      </c>
      <c r="F20" s="75">
        <f>D20</f>
        <v>15567.216142081894</v>
      </c>
      <c r="G20" s="76">
        <f t="shared" si="0"/>
        <v>-1381.1668820917603</v>
      </c>
      <c r="H20" s="130">
        <f t="shared" si="1"/>
        <v>1.69</v>
      </c>
      <c r="I20" s="59">
        <f>H20/H17</f>
        <v>8.3374444992599897E-2</v>
      </c>
    </row>
    <row r="21" spans="1:9" s="59" customFormat="1" hidden="1" outlineLevel="1" x14ac:dyDescent="0.25">
      <c r="A21" s="73" t="s">
        <v>22</v>
      </c>
      <c r="B21" s="124" t="s">
        <v>23</v>
      </c>
      <c r="C21" s="89">
        <v>3.04</v>
      </c>
      <c r="D21" s="75">
        <f>D17*I21</f>
        <v>28002.566314750868</v>
      </c>
      <c r="E21" s="75">
        <f>E17*I21</f>
        <v>30487.032185495809</v>
      </c>
      <c r="F21" s="75">
        <f>D21</f>
        <v>28002.566314750868</v>
      </c>
      <c r="G21" s="76">
        <f t="shared" si="0"/>
        <v>-2484.4658707449416</v>
      </c>
      <c r="H21" s="130">
        <f t="shared" si="1"/>
        <v>3.04</v>
      </c>
      <c r="I21" s="59">
        <f>H21/H17</f>
        <v>0.14997533300444008</v>
      </c>
    </row>
    <row r="22" spans="1:9" s="59" customFormat="1" collapsed="1" x14ac:dyDescent="0.25">
      <c r="A22" s="67" t="s">
        <v>25</v>
      </c>
      <c r="B22" s="78" t="s">
        <v>145</v>
      </c>
      <c r="C22" s="89">
        <v>0</v>
      </c>
      <c r="D22" s="75">
        <v>0</v>
      </c>
      <c r="E22" s="75">
        <v>0</v>
      </c>
      <c r="F22" s="75">
        <v>0</v>
      </c>
      <c r="G22" s="76">
        <f t="shared" si="0"/>
        <v>0</v>
      </c>
      <c r="H22" s="130">
        <f t="shared" si="1"/>
        <v>0</v>
      </c>
    </row>
    <row r="23" spans="1:9" s="37" customFormat="1" ht="14.25" x14ac:dyDescent="0.2">
      <c r="A23" s="39" t="s">
        <v>27</v>
      </c>
      <c r="B23" s="125" t="s">
        <v>28</v>
      </c>
      <c r="C23" s="126">
        <v>0</v>
      </c>
      <c r="D23" s="69">
        <v>0</v>
      </c>
      <c r="E23" s="69">
        <v>0</v>
      </c>
      <c r="F23" s="69">
        <v>0</v>
      </c>
      <c r="G23" s="69">
        <f t="shared" ref="G23:G32" si="2">D23-E23</f>
        <v>0</v>
      </c>
    </row>
    <row r="24" spans="1:9" s="37" customFormat="1" ht="14.25" x14ac:dyDescent="0.2">
      <c r="A24" s="39" t="s">
        <v>29</v>
      </c>
      <c r="B24" s="125" t="s">
        <v>97</v>
      </c>
      <c r="C24" s="357">
        <v>0</v>
      </c>
      <c r="D24" s="69">
        <v>0</v>
      </c>
      <c r="E24" s="69">
        <v>0</v>
      </c>
      <c r="F24" s="69">
        <f>D24</f>
        <v>0</v>
      </c>
      <c r="G24" s="69">
        <f t="shared" si="2"/>
        <v>0</v>
      </c>
    </row>
    <row r="25" spans="1:9" s="37" customFormat="1" ht="14.25" x14ac:dyDescent="0.2">
      <c r="A25" s="39" t="s">
        <v>31</v>
      </c>
      <c r="B25" s="125" t="s">
        <v>80</v>
      </c>
      <c r="C25" s="126">
        <v>2</v>
      </c>
      <c r="D25" s="69">
        <f>20174.4+D26</f>
        <v>21619.200000000001</v>
      </c>
      <c r="E25" s="69">
        <f>22795.82+E26</f>
        <v>24240.62</v>
      </c>
      <c r="F25" s="79">
        <f>F43</f>
        <v>6691.5962</v>
      </c>
      <c r="G25" s="69">
        <f t="shared" si="2"/>
        <v>-2621.4199999999983</v>
      </c>
    </row>
    <row r="26" spans="1:9" s="37" customFormat="1" ht="14.25" x14ac:dyDescent="0.2">
      <c r="A26" s="39"/>
      <c r="B26" s="292" t="s">
        <v>244</v>
      </c>
      <c r="C26" s="293"/>
      <c r="D26" s="294">
        <v>1444.8</v>
      </c>
      <c r="E26" s="294">
        <v>1444.8</v>
      </c>
      <c r="F26" s="294"/>
      <c r="G26" s="248"/>
    </row>
    <row r="27" spans="1:9" s="37" customFormat="1" ht="14.25" x14ac:dyDescent="0.2">
      <c r="A27" s="39" t="s">
        <v>33</v>
      </c>
      <c r="B27" s="119" t="s">
        <v>34</v>
      </c>
      <c r="C27" s="120">
        <v>0</v>
      </c>
      <c r="D27" s="69">
        <v>0</v>
      </c>
      <c r="E27" s="69">
        <v>0</v>
      </c>
      <c r="F27" s="79">
        <f>D27</f>
        <v>0</v>
      </c>
      <c r="G27" s="69">
        <f t="shared" si="2"/>
        <v>0</v>
      </c>
    </row>
    <row r="28" spans="1:9" s="37" customFormat="1" ht="14.25" x14ac:dyDescent="0.2">
      <c r="A28" s="39" t="s">
        <v>35</v>
      </c>
      <c r="B28" s="119" t="s">
        <v>36</v>
      </c>
      <c r="C28" s="120"/>
      <c r="D28" s="69">
        <f>SUM(D29:D32)</f>
        <v>175988.99</v>
      </c>
      <c r="E28" s="69">
        <f>SUM(E29:E32)</f>
        <v>185281.35</v>
      </c>
      <c r="F28" s="69">
        <f>SUM(F29:F32)</f>
        <v>175988.99</v>
      </c>
      <c r="G28" s="69">
        <f>D28-E28</f>
        <v>-9292.3600000000151</v>
      </c>
    </row>
    <row r="29" spans="1:9" x14ac:dyDescent="0.25">
      <c r="A29" s="34" t="s">
        <v>37</v>
      </c>
      <c r="B29" s="34" t="s">
        <v>101</v>
      </c>
      <c r="C29" s="89">
        <v>7.36</v>
      </c>
      <c r="D29" s="76">
        <v>29737.46</v>
      </c>
      <c r="E29" s="76">
        <v>33259</v>
      </c>
      <c r="F29" s="188">
        <f>D29</f>
        <v>29737.46</v>
      </c>
      <c r="G29" s="76">
        <f t="shared" si="2"/>
        <v>-3521.5400000000009</v>
      </c>
    </row>
    <row r="30" spans="1:9" x14ac:dyDescent="0.25">
      <c r="A30" s="34" t="s">
        <v>39</v>
      </c>
      <c r="B30" s="34" t="s">
        <v>84</v>
      </c>
      <c r="C30" s="89">
        <v>88.38</v>
      </c>
      <c r="D30" s="76">
        <v>146251.53</v>
      </c>
      <c r="E30" s="76">
        <v>152022.35</v>
      </c>
      <c r="F30" s="188">
        <f>D30</f>
        <v>146251.53</v>
      </c>
      <c r="G30" s="76">
        <f t="shared" si="2"/>
        <v>-5770.820000000007</v>
      </c>
    </row>
    <row r="31" spans="1:9" x14ac:dyDescent="0.25">
      <c r="A31" s="34" t="s">
        <v>42</v>
      </c>
      <c r="B31" s="124" t="s">
        <v>135</v>
      </c>
      <c r="C31" s="128">
        <v>0</v>
      </c>
      <c r="D31" s="76">
        <v>0</v>
      </c>
      <c r="E31" s="76">
        <v>0</v>
      </c>
      <c r="F31" s="188">
        <f>D31</f>
        <v>0</v>
      </c>
      <c r="G31" s="76">
        <f t="shared" si="2"/>
        <v>0</v>
      </c>
    </row>
    <row r="32" spans="1:9" x14ac:dyDescent="0.25">
      <c r="A32" s="34" t="s">
        <v>41</v>
      </c>
      <c r="B32" s="34" t="s">
        <v>43</v>
      </c>
      <c r="C32" s="89">
        <v>0</v>
      </c>
      <c r="D32" s="76">
        <v>0</v>
      </c>
      <c r="E32" s="76">
        <v>0</v>
      </c>
      <c r="F32" s="188">
        <v>0</v>
      </c>
      <c r="G32" s="76">
        <f t="shared" si="2"/>
        <v>0</v>
      </c>
    </row>
    <row r="33" spans="1:10" ht="15" customHeight="1" x14ac:dyDescent="0.25">
      <c r="A33" s="373"/>
      <c r="B33" s="374"/>
      <c r="C33" s="374"/>
      <c r="D33" s="375"/>
      <c r="E33" s="375"/>
      <c r="F33" s="375"/>
      <c r="G33" s="238"/>
    </row>
    <row r="34" spans="1:10" s="59" customFormat="1" ht="15.75" thickBot="1" x14ac:dyDescent="0.3">
      <c r="A34" s="420" t="s">
        <v>427</v>
      </c>
      <c r="B34" s="421"/>
      <c r="C34" s="421"/>
      <c r="D34" s="229">
        <v>-28479.61</v>
      </c>
      <c r="E34" s="58"/>
      <c r="F34" s="58"/>
      <c r="G34" s="58"/>
      <c r="H34" s="54"/>
      <c r="I34" s="54"/>
    </row>
    <row r="35" spans="1:10" s="59" customFormat="1" ht="6" customHeight="1" thickBot="1" x14ac:dyDescent="0.3">
      <c r="A35" s="60"/>
      <c r="B35" s="60"/>
      <c r="C35" s="60"/>
      <c r="D35" s="38"/>
      <c r="E35" s="58"/>
      <c r="F35" s="58"/>
      <c r="G35" s="58"/>
      <c r="H35" s="54"/>
      <c r="I35" s="54"/>
    </row>
    <row r="36" spans="1:10" s="59" customFormat="1" ht="15.75" thickBot="1" x14ac:dyDescent="0.3">
      <c r="A36" s="55" t="s">
        <v>428</v>
      </c>
      <c r="B36" s="56"/>
      <c r="C36" s="56"/>
      <c r="D36" s="61"/>
      <c r="E36" s="62"/>
      <c r="F36" s="62"/>
      <c r="G36" s="232">
        <f>G14+E25-F25</f>
        <v>-72416.733400000012</v>
      </c>
      <c r="H36" s="54"/>
      <c r="I36" s="54"/>
    </row>
    <row r="37" spans="1:10" s="59" customFormat="1" x14ac:dyDescent="0.25">
      <c r="A37" s="392" t="s">
        <v>90</v>
      </c>
      <c r="B37" s="392"/>
      <c r="C37" s="60"/>
      <c r="D37" s="38"/>
      <c r="E37" s="58"/>
      <c r="F37" s="58"/>
      <c r="G37" s="38"/>
      <c r="H37" s="54"/>
      <c r="I37" s="54"/>
    </row>
    <row r="38" spans="1:10" s="59" customFormat="1" x14ac:dyDescent="0.25">
      <c r="A38" s="393" t="s">
        <v>91</v>
      </c>
      <c r="B38" s="394"/>
      <c r="C38" s="41" t="s">
        <v>92</v>
      </c>
      <c r="D38" s="41" t="s">
        <v>93</v>
      </c>
      <c r="E38" s="42" t="s">
        <v>94</v>
      </c>
      <c r="F38" s="40" t="s">
        <v>95</v>
      </c>
      <c r="G38" s="42" t="s">
        <v>96</v>
      </c>
      <c r="H38" s="54"/>
      <c r="I38" s="54"/>
    </row>
    <row r="39" spans="1:10" s="59" customFormat="1" x14ac:dyDescent="0.25">
      <c r="A39" s="395"/>
      <c r="B39" s="396"/>
      <c r="C39" s="305">
        <v>60.2</v>
      </c>
      <c r="D39" s="138">
        <f>E39/C39/12</f>
        <v>22.269933554817275</v>
      </c>
      <c r="E39" s="73">
        <v>16087.8</v>
      </c>
      <c r="F39" s="75">
        <v>16087.8</v>
      </c>
      <c r="G39" s="138">
        <f>E39-F39</f>
        <v>0</v>
      </c>
      <c r="H39" s="54"/>
      <c r="I39" s="335">
        <f>C17+C25</f>
        <v>22.27</v>
      </c>
      <c r="J39" s="59">
        <f>I39*C39*3</f>
        <v>4021.962</v>
      </c>
    </row>
    <row r="40" spans="1:10" ht="33.75" customHeight="1" x14ac:dyDescent="0.25">
      <c r="A40" s="371" t="s">
        <v>44</v>
      </c>
      <c r="B40" s="422"/>
      <c r="C40" s="422"/>
      <c r="D40" s="422"/>
      <c r="E40" s="422"/>
      <c r="F40" s="422"/>
      <c r="G40" s="422"/>
      <c r="H40" s="50"/>
      <c r="I40" s="50"/>
    </row>
    <row r="42" spans="1:10" s="156" customFormat="1" ht="28.5" customHeight="1" x14ac:dyDescent="0.25">
      <c r="A42" s="94" t="s">
        <v>11</v>
      </c>
      <c r="B42" s="416" t="s">
        <v>45</v>
      </c>
      <c r="C42" s="425"/>
      <c r="D42" s="94" t="s">
        <v>99</v>
      </c>
      <c r="E42" s="94" t="s">
        <v>98</v>
      </c>
      <c r="F42" s="416" t="s">
        <v>46</v>
      </c>
      <c r="G42" s="424"/>
    </row>
    <row r="43" spans="1:10" s="103" customFormat="1" ht="15" customHeight="1" x14ac:dyDescent="0.25">
      <c r="A43" s="98" t="s">
        <v>47</v>
      </c>
      <c r="B43" s="418" t="s">
        <v>75</v>
      </c>
      <c r="C43" s="430"/>
      <c r="D43" s="233"/>
      <c r="E43" s="233"/>
      <c r="F43" s="426">
        <f>SUM(F44:G47)</f>
        <v>6691.5962</v>
      </c>
      <c r="G43" s="427"/>
    </row>
    <row r="44" spans="1:10" ht="16.5" customHeight="1" x14ac:dyDescent="0.25">
      <c r="A44" s="34" t="s">
        <v>16</v>
      </c>
      <c r="B44" s="406" t="s">
        <v>436</v>
      </c>
      <c r="C44" s="431"/>
      <c r="D44" s="105" t="s">
        <v>137</v>
      </c>
      <c r="E44" s="137">
        <v>0.02</v>
      </c>
      <c r="F44" s="423">
        <v>6449.19</v>
      </c>
      <c r="G44" s="423"/>
    </row>
    <row r="45" spans="1:10" ht="23.25" customHeight="1" x14ac:dyDescent="0.25">
      <c r="A45" s="34" t="s">
        <v>18</v>
      </c>
      <c r="B45" s="412"/>
      <c r="C45" s="428"/>
      <c r="D45" s="258"/>
      <c r="E45" s="258"/>
      <c r="F45" s="429"/>
      <c r="G45" s="429"/>
    </row>
    <row r="46" spans="1:10" ht="18.75" customHeight="1" x14ac:dyDescent="0.25">
      <c r="A46" s="34" t="s">
        <v>20</v>
      </c>
      <c r="B46" s="412"/>
      <c r="C46" s="428"/>
      <c r="D46" s="258"/>
      <c r="E46" s="258"/>
      <c r="F46" s="429"/>
      <c r="G46" s="429"/>
    </row>
    <row r="47" spans="1:10" ht="15.75" customHeight="1" x14ac:dyDescent="0.25">
      <c r="A47" s="34" t="s">
        <v>22</v>
      </c>
      <c r="B47" s="401" t="s">
        <v>108</v>
      </c>
      <c r="C47" s="432"/>
      <c r="D47" s="234"/>
      <c r="E47" s="234"/>
      <c r="F47" s="423">
        <f>E25*1%</f>
        <v>242.40619999999998</v>
      </c>
      <c r="G47" s="423"/>
    </row>
    <row r="48" spans="1:10" x14ac:dyDescent="0.25">
      <c r="B48" s="139"/>
      <c r="C48" s="139"/>
      <c r="D48" s="139"/>
      <c r="E48" s="139"/>
    </row>
    <row r="49" spans="1:7" s="59" customFormat="1" x14ac:dyDescent="0.25">
      <c r="A49" s="51" t="s">
        <v>372</v>
      </c>
      <c r="C49" s="59" t="s">
        <v>49</v>
      </c>
      <c r="F49" s="59" t="s">
        <v>60</v>
      </c>
    </row>
    <row r="50" spans="1:7" s="59" customFormat="1" x14ac:dyDescent="0.25">
      <c r="F50" s="111" t="s">
        <v>382</v>
      </c>
    </row>
    <row r="51" spans="1:7" s="59" customFormat="1" x14ac:dyDescent="0.25">
      <c r="A51" s="59" t="s">
        <v>50</v>
      </c>
    </row>
    <row r="52" spans="1:7" s="59" customFormat="1" x14ac:dyDescent="0.25">
      <c r="C52" s="113" t="s">
        <v>51</v>
      </c>
      <c r="E52" s="113"/>
      <c r="F52" s="113"/>
      <c r="G52" s="113"/>
    </row>
    <row r="53" spans="1:7" s="59" customFormat="1" x14ac:dyDescent="0.25"/>
    <row r="54" spans="1:7" s="59" customFormat="1" x14ac:dyDescent="0.25">
      <c r="C54" s="110"/>
      <c r="D54" s="110"/>
      <c r="E54" s="110"/>
      <c r="F54" s="110"/>
      <c r="G54" s="110"/>
    </row>
    <row r="55" spans="1:7" x14ac:dyDescent="0.25">
      <c r="C55" s="214"/>
      <c r="D55" s="214"/>
      <c r="E55" s="214"/>
      <c r="F55" s="214"/>
      <c r="G55" s="36"/>
    </row>
  </sheetData>
  <mergeCells count="24">
    <mergeCell ref="B45:C45"/>
    <mergeCell ref="F45:G45"/>
    <mergeCell ref="F47:G47"/>
    <mergeCell ref="B43:C43"/>
    <mergeCell ref="B44:C44"/>
    <mergeCell ref="B47:C47"/>
    <mergeCell ref="B46:C46"/>
    <mergeCell ref="F46:G46"/>
    <mergeCell ref="A12:I12"/>
    <mergeCell ref="A34:C34"/>
    <mergeCell ref="A40:G40"/>
    <mergeCell ref="F44:G44"/>
    <mergeCell ref="F42:G42"/>
    <mergeCell ref="B42:C42"/>
    <mergeCell ref="F43:G43"/>
    <mergeCell ref="A33:F33"/>
    <mergeCell ref="A37:B37"/>
    <mergeCell ref="A38:B39"/>
    <mergeCell ref="A11:I11"/>
    <mergeCell ref="A1:I1"/>
    <mergeCell ref="A5:I5"/>
    <mergeCell ref="A10:I10"/>
    <mergeCell ref="A3:K3"/>
    <mergeCell ref="A2:K2"/>
  </mergeCells>
  <phoneticPr fontId="14" type="noConversion"/>
  <pageMargins left="0" right="0" top="0" bottom="0" header="0.31496062992125984" footer="0.31496062992125984"/>
  <pageSetup paperSize="9" orientation="landscape" horizontalDpi="180" verticalDpi="180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063444-154F-4CB1-88C5-CB9B84DDC5A2}">
  <sheetPr>
    <tabColor rgb="FF7030A0"/>
  </sheetPr>
  <dimension ref="A1:M51"/>
  <sheetViews>
    <sheetView topLeftCell="A28" zoomScaleNormal="100" workbookViewId="0">
      <selection activeCell="A54" sqref="A54:IV55"/>
    </sheetView>
  </sheetViews>
  <sheetFormatPr defaultRowHeight="15" outlineLevelRow="1" outlineLevelCol="1" x14ac:dyDescent="0.25"/>
  <cols>
    <col min="1" max="1" width="4.7109375" style="35" customWidth="1"/>
    <col min="2" max="2" width="48.140625" style="35" customWidth="1"/>
    <col min="3" max="3" width="13" style="35" customWidth="1"/>
    <col min="4" max="4" width="12.7109375" style="35" customWidth="1"/>
    <col min="5" max="5" width="14.140625" style="35" customWidth="1"/>
    <col min="6" max="6" width="13" style="35" customWidth="1"/>
    <col min="7" max="7" width="13.42578125" style="35" customWidth="1"/>
    <col min="8" max="8" width="10.85546875" style="35" hidden="1" customWidth="1" outlineLevel="1"/>
    <col min="9" max="9" width="13.42578125" style="35" hidden="1" customWidth="1" outlineLevel="1"/>
    <col min="10" max="12" width="9.140625" style="35" hidden="1" customWidth="1" outlineLevel="1"/>
    <col min="13" max="13" width="9.140625" style="35" collapsed="1"/>
    <col min="14" max="16384" width="9.140625" style="35"/>
  </cols>
  <sheetData>
    <row r="1" spans="1:11" x14ac:dyDescent="0.25">
      <c r="A1" s="397" t="s">
        <v>0</v>
      </c>
      <c r="B1" s="397"/>
      <c r="C1" s="397"/>
      <c r="D1" s="397"/>
      <c r="E1" s="397"/>
      <c r="F1" s="397"/>
      <c r="G1" s="397"/>
      <c r="H1" s="397"/>
      <c r="I1" s="397"/>
    </row>
    <row r="2" spans="1:11" ht="15" customHeight="1" x14ac:dyDescent="0.25">
      <c r="A2" s="370" t="s">
        <v>152</v>
      </c>
      <c r="B2" s="370"/>
      <c r="C2" s="370"/>
      <c r="D2" s="370"/>
      <c r="E2" s="370"/>
      <c r="F2" s="370"/>
      <c r="G2" s="370"/>
      <c r="H2" s="370"/>
      <c r="I2" s="370"/>
      <c r="J2" s="370"/>
      <c r="K2" s="370"/>
    </row>
    <row r="3" spans="1:11" ht="15" customHeight="1" x14ac:dyDescent="0.25">
      <c r="A3" s="370" t="s">
        <v>426</v>
      </c>
      <c r="B3" s="370"/>
      <c r="C3" s="370"/>
      <c r="D3" s="370"/>
      <c r="E3" s="370"/>
      <c r="F3" s="370"/>
      <c r="G3" s="370"/>
      <c r="H3" s="370"/>
      <c r="I3" s="370"/>
      <c r="J3" s="370"/>
      <c r="K3" s="370"/>
    </row>
    <row r="4" spans="1:11" ht="6" customHeight="1" x14ac:dyDescent="0.25">
      <c r="A4" s="142"/>
      <c r="B4" s="142"/>
      <c r="C4" s="142"/>
      <c r="D4" s="142"/>
      <c r="E4" s="142"/>
      <c r="F4" s="142"/>
      <c r="G4" s="142"/>
      <c r="H4" s="142"/>
      <c r="I4" s="142"/>
    </row>
    <row r="5" spans="1:11" ht="16.5" customHeight="1" x14ac:dyDescent="0.25">
      <c r="A5" s="398" t="s">
        <v>1</v>
      </c>
      <c r="B5" s="397"/>
      <c r="C5" s="397"/>
      <c r="D5" s="397"/>
      <c r="E5" s="397"/>
      <c r="F5" s="397"/>
      <c r="G5" s="397"/>
      <c r="H5" s="397"/>
      <c r="I5" s="397"/>
    </row>
    <row r="6" spans="1:11" ht="7.5" customHeight="1" x14ac:dyDescent="0.25"/>
    <row r="7" spans="1:11" s="59" customFormat="1" ht="16.5" customHeight="1" x14ac:dyDescent="0.25">
      <c r="A7" s="59" t="s">
        <v>2</v>
      </c>
      <c r="F7" s="111" t="s">
        <v>213</v>
      </c>
    </row>
    <row r="8" spans="1:11" s="59" customFormat="1" x14ac:dyDescent="0.25">
      <c r="A8" s="59" t="s">
        <v>3</v>
      </c>
      <c r="F8" s="239" t="s">
        <v>214</v>
      </c>
    </row>
    <row r="9" spans="1:11" s="59" customFormat="1" ht="6.75" customHeight="1" x14ac:dyDescent="0.25"/>
    <row r="10" spans="1:11" s="59" customFormat="1" x14ac:dyDescent="0.25">
      <c r="A10" s="372" t="s">
        <v>8</v>
      </c>
      <c r="B10" s="372"/>
      <c r="C10" s="372"/>
      <c r="D10" s="372"/>
      <c r="E10" s="372"/>
      <c r="F10" s="372"/>
      <c r="G10" s="372"/>
      <c r="H10" s="372"/>
      <c r="I10" s="372"/>
    </row>
    <row r="11" spans="1:11" s="59" customFormat="1" x14ac:dyDescent="0.25">
      <c r="A11" s="372" t="s">
        <v>9</v>
      </c>
      <c r="B11" s="372"/>
      <c r="C11" s="372"/>
      <c r="D11" s="372"/>
      <c r="E11" s="372"/>
      <c r="F11" s="372"/>
      <c r="G11" s="372"/>
      <c r="H11" s="372"/>
      <c r="I11" s="372"/>
    </row>
    <row r="12" spans="1:11" s="59" customFormat="1" x14ac:dyDescent="0.25">
      <c r="A12" s="372" t="s">
        <v>10</v>
      </c>
      <c r="B12" s="372"/>
      <c r="C12" s="372"/>
      <c r="D12" s="372"/>
      <c r="E12" s="372"/>
      <c r="F12" s="372"/>
      <c r="G12" s="372"/>
      <c r="H12" s="372"/>
      <c r="I12" s="372"/>
    </row>
    <row r="13" spans="1:11" s="59" customFormat="1" ht="6" customHeight="1" thickBot="1" x14ac:dyDescent="0.3">
      <c r="A13" s="60"/>
      <c r="B13" s="60"/>
      <c r="C13" s="60"/>
      <c r="D13" s="38"/>
      <c r="E13" s="58"/>
      <c r="F13" s="58"/>
      <c r="G13" s="58"/>
      <c r="H13" s="54"/>
      <c r="I13" s="54"/>
    </row>
    <row r="14" spans="1:11" s="59" customFormat="1" ht="15.75" thickBot="1" x14ac:dyDescent="0.3">
      <c r="A14" s="55" t="s">
        <v>381</v>
      </c>
      <c r="B14" s="56"/>
      <c r="C14" s="56"/>
      <c r="D14" s="61"/>
      <c r="E14" s="62"/>
      <c r="F14" s="62"/>
      <c r="G14" s="129">
        <f>'[1]Суворова 63 корп.1'!$G$35</f>
        <v>-761097.24199999997</v>
      </c>
      <c r="H14" s="54"/>
      <c r="I14" s="54"/>
    </row>
    <row r="15" spans="1:11" s="59" customFormat="1" ht="6.75" customHeight="1" x14ac:dyDescent="0.25"/>
    <row r="16" spans="1:11" s="66" customFormat="1" ht="36.75" customHeight="1" x14ac:dyDescent="0.25">
      <c r="A16" s="64" t="s">
        <v>11</v>
      </c>
      <c r="B16" s="64" t="s">
        <v>12</v>
      </c>
      <c r="C16" s="64" t="s">
        <v>61</v>
      </c>
      <c r="D16" s="64" t="s">
        <v>432</v>
      </c>
      <c r="E16" s="64" t="s">
        <v>433</v>
      </c>
      <c r="F16" s="65" t="s">
        <v>434</v>
      </c>
      <c r="G16" s="64" t="s">
        <v>435</v>
      </c>
    </row>
    <row r="17" spans="1:9" s="59" customFormat="1" x14ac:dyDescent="0.25">
      <c r="A17" s="67" t="s">
        <v>14</v>
      </c>
      <c r="B17" s="39" t="s">
        <v>379</v>
      </c>
      <c r="C17" s="120">
        <v>23.85</v>
      </c>
      <c r="D17" s="68">
        <v>666818.76</v>
      </c>
      <c r="E17" s="68">
        <v>651528.01</v>
      </c>
      <c r="F17" s="68">
        <f>D17</f>
        <v>666818.76</v>
      </c>
      <c r="G17" s="69">
        <f>D17-E17</f>
        <v>15290.75</v>
      </c>
      <c r="H17" s="70">
        <f>C17</f>
        <v>23.85</v>
      </c>
    </row>
    <row r="18" spans="1:9" s="59" customFormat="1" hidden="1" outlineLevel="1" x14ac:dyDescent="0.25">
      <c r="A18" s="73" t="s">
        <v>16</v>
      </c>
      <c r="B18" s="34" t="s">
        <v>17</v>
      </c>
      <c r="C18" s="89">
        <v>3.46</v>
      </c>
      <c r="D18" s="75">
        <f>D17*I18</f>
        <v>96737.648201257849</v>
      </c>
      <c r="E18" s="75">
        <f>E17*I18</f>
        <v>94519.367488469594</v>
      </c>
      <c r="F18" s="75">
        <f>D18</f>
        <v>96737.648201257849</v>
      </c>
      <c r="G18" s="76">
        <f>D18-E18</f>
        <v>2218.2807127882552</v>
      </c>
      <c r="H18" s="70">
        <f>C18</f>
        <v>3.46</v>
      </c>
      <c r="I18" s="59">
        <f>H18/H17</f>
        <v>0.14507337526205449</v>
      </c>
    </row>
    <row r="19" spans="1:9" s="59" customFormat="1" hidden="1" outlineLevel="1" x14ac:dyDescent="0.25">
      <c r="A19" s="73" t="s">
        <v>18</v>
      </c>
      <c r="B19" s="34" t="s">
        <v>19</v>
      </c>
      <c r="C19" s="89">
        <v>1.69</v>
      </c>
      <c r="D19" s="75">
        <f>D17*I19</f>
        <v>47250.469786163514</v>
      </c>
      <c r="E19" s="75">
        <f>E17*I19</f>
        <v>46166.974293501044</v>
      </c>
      <c r="F19" s="75">
        <f>D19</f>
        <v>47250.469786163514</v>
      </c>
      <c r="G19" s="76">
        <f>D19-E19</f>
        <v>1083.4954926624705</v>
      </c>
      <c r="H19" s="70">
        <f>C19</f>
        <v>1.69</v>
      </c>
      <c r="I19" s="59">
        <f>H19/H17</f>
        <v>7.0859538784067075E-2</v>
      </c>
    </row>
    <row r="20" spans="1:9" s="59" customFormat="1" hidden="1" outlineLevel="1" x14ac:dyDescent="0.25">
      <c r="A20" s="73" t="s">
        <v>20</v>
      </c>
      <c r="B20" s="34" t="s">
        <v>21</v>
      </c>
      <c r="C20" s="89">
        <v>2.15</v>
      </c>
      <c r="D20" s="75">
        <f>D17*I20</f>
        <v>60111.544402515719</v>
      </c>
      <c r="E20" s="75">
        <f>E17*I20</f>
        <v>58733.132976939196</v>
      </c>
      <c r="F20" s="75">
        <f>D20</f>
        <v>60111.544402515719</v>
      </c>
      <c r="G20" s="76">
        <f>D20-E20</f>
        <v>1378.4114255765235</v>
      </c>
      <c r="H20" s="70">
        <f>C20</f>
        <v>2.15</v>
      </c>
      <c r="I20" s="59">
        <f>H20/H17</f>
        <v>9.0146750524109004E-2</v>
      </c>
    </row>
    <row r="21" spans="1:9" s="59" customFormat="1" hidden="1" outlineLevel="1" x14ac:dyDescent="0.25">
      <c r="A21" s="73" t="s">
        <v>22</v>
      </c>
      <c r="B21" s="34" t="s">
        <v>23</v>
      </c>
      <c r="C21" s="89">
        <v>3.04</v>
      </c>
      <c r="D21" s="75">
        <f>D17*I21</f>
        <v>84994.927899371061</v>
      </c>
      <c r="E21" s="75">
        <f>E17*I21</f>
        <v>83045.918255765195</v>
      </c>
      <c r="F21" s="75">
        <f>D21</f>
        <v>84994.927899371061</v>
      </c>
      <c r="G21" s="76">
        <f>D21-E21</f>
        <v>1949.0096436058666</v>
      </c>
      <c r="H21" s="70">
        <f>C21</f>
        <v>3.04</v>
      </c>
      <c r="I21" s="59">
        <f>H21/H17</f>
        <v>0.12746331236897274</v>
      </c>
    </row>
    <row r="22" spans="1:9" collapsed="1" x14ac:dyDescent="0.25">
      <c r="A22" s="39" t="s">
        <v>25</v>
      </c>
      <c r="B22" s="78" t="s">
        <v>145</v>
      </c>
      <c r="C22" s="357">
        <v>120</v>
      </c>
      <c r="D22" s="69">
        <v>0</v>
      </c>
      <c r="E22" s="69">
        <v>433.58</v>
      </c>
      <c r="F22" s="69">
        <v>0</v>
      </c>
      <c r="G22" s="69">
        <f t="shared" ref="G22:G31" si="0">D22-E22</f>
        <v>-433.58</v>
      </c>
      <c r="I22" s="274">
        <v>0</v>
      </c>
    </row>
    <row r="23" spans="1:9" x14ac:dyDescent="0.25">
      <c r="A23" s="39" t="s">
        <v>27</v>
      </c>
      <c r="B23" s="125" t="s">
        <v>28</v>
      </c>
      <c r="C23" s="126">
        <v>0</v>
      </c>
      <c r="D23" s="69">
        <v>0</v>
      </c>
      <c r="E23" s="69">
        <v>0</v>
      </c>
      <c r="F23" s="69">
        <f>D23</f>
        <v>0</v>
      </c>
      <c r="G23" s="69">
        <f t="shared" si="0"/>
        <v>0</v>
      </c>
    </row>
    <row r="24" spans="1:9" x14ac:dyDescent="0.25">
      <c r="A24" s="39" t="s">
        <v>29</v>
      </c>
      <c r="B24" s="125" t="s">
        <v>97</v>
      </c>
      <c r="C24" s="357">
        <v>0</v>
      </c>
      <c r="D24" s="69">
        <v>0</v>
      </c>
      <c r="E24" s="69">
        <v>0</v>
      </c>
      <c r="F24" s="69">
        <f>D24</f>
        <v>0</v>
      </c>
      <c r="G24" s="69">
        <f t="shared" si="0"/>
        <v>0</v>
      </c>
    </row>
    <row r="25" spans="1:9" x14ac:dyDescent="0.25">
      <c r="A25" s="39" t="s">
        <v>31</v>
      </c>
      <c r="B25" s="125" t="s">
        <v>80</v>
      </c>
      <c r="C25" s="126">
        <v>6</v>
      </c>
      <c r="D25" s="69">
        <v>99906.08</v>
      </c>
      <c r="E25" s="69">
        <v>99006.8</v>
      </c>
      <c r="F25" s="79">
        <f>F41</f>
        <v>-258833.82199999999</v>
      </c>
      <c r="G25" s="69">
        <f t="shared" si="0"/>
        <v>899.27999999999884</v>
      </c>
    </row>
    <row r="26" spans="1:9" x14ac:dyDescent="0.25">
      <c r="A26" s="39" t="s">
        <v>33</v>
      </c>
      <c r="B26" s="119" t="s">
        <v>34</v>
      </c>
      <c r="C26" s="120">
        <v>0</v>
      </c>
      <c r="D26" s="69">
        <v>0</v>
      </c>
      <c r="E26" s="69">
        <v>0</v>
      </c>
      <c r="F26" s="79">
        <v>0</v>
      </c>
      <c r="G26" s="69">
        <f t="shared" si="0"/>
        <v>0</v>
      </c>
    </row>
    <row r="27" spans="1:9" x14ac:dyDescent="0.25">
      <c r="A27" s="39" t="s">
        <v>35</v>
      </c>
      <c r="B27" s="119" t="s">
        <v>36</v>
      </c>
      <c r="C27" s="120"/>
      <c r="D27" s="69">
        <f>SUM(D28:D31)</f>
        <v>423368.57</v>
      </c>
      <c r="E27" s="69">
        <f>SUM(E28:E31)</f>
        <v>395496.27999999997</v>
      </c>
      <c r="F27" s="69">
        <f>SUM(F28:F31)</f>
        <v>423368.57</v>
      </c>
      <c r="G27" s="69">
        <f t="shared" si="0"/>
        <v>27872.290000000037</v>
      </c>
    </row>
    <row r="28" spans="1:9" x14ac:dyDescent="0.25">
      <c r="A28" s="34" t="s">
        <v>37</v>
      </c>
      <c r="B28" s="34" t="s">
        <v>101</v>
      </c>
      <c r="C28" s="89">
        <v>7.36</v>
      </c>
      <c r="D28" s="76">
        <v>69003.37</v>
      </c>
      <c r="E28" s="76">
        <v>67920.990000000005</v>
      </c>
      <c r="F28" s="76">
        <f>D28</f>
        <v>69003.37</v>
      </c>
      <c r="G28" s="76">
        <f t="shared" si="0"/>
        <v>1082.3799999999901</v>
      </c>
    </row>
    <row r="29" spans="1:9" x14ac:dyDescent="0.25">
      <c r="A29" s="34" t="s">
        <v>39</v>
      </c>
      <c r="B29" s="34" t="s">
        <v>84</v>
      </c>
      <c r="C29" s="89">
        <v>88.38</v>
      </c>
      <c r="D29" s="76">
        <v>324541</v>
      </c>
      <c r="E29" s="76">
        <v>296810.36</v>
      </c>
      <c r="F29" s="76">
        <f>D29</f>
        <v>324541</v>
      </c>
      <c r="G29" s="76">
        <f t="shared" si="0"/>
        <v>27730.640000000014</v>
      </c>
    </row>
    <row r="30" spans="1:9" x14ac:dyDescent="0.25">
      <c r="A30" s="34" t="s">
        <v>42</v>
      </c>
      <c r="B30" s="34" t="s">
        <v>135</v>
      </c>
      <c r="C30" s="128">
        <v>278.94</v>
      </c>
      <c r="D30" s="76">
        <v>29824.2</v>
      </c>
      <c r="E30" s="76">
        <v>29582.49</v>
      </c>
      <c r="F30" s="76">
        <f>D30</f>
        <v>29824.2</v>
      </c>
      <c r="G30" s="76">
        <f t="shared" si="0"/>
        <v>241.70999999999913</v>
      </c>
    </row>
    <row r="31" spans="1:9" x14ac:dyDescent="0.25">
      <c r="A31" s="34" t="s">
        <v>41</v>
      </c>
      <c r="B31" s="34" t="s">
        <v>43</v>
      </c>
      <c r="C31" s="89">
        <v>3352.42</v>
      </c>
      <c r="D31" s="76">
        <v>0</v>
      </c>
      <c r="E31" s="76">
        <v>1182.44</v>
      </c>
      <c r="F31" s="76">
        <f>D31</f>
        <v>0</v>
      </c>
      <c r="G31" s="76">
        <f t="shared" si="0"/>
        <v>-1182.44</v>
      </c>
    </row>
    <row r="32" spans="1:9" ht="15.75" customHeight="1" thickBot="1" x14ac:dyDescent="0.3">
      <c r="A32" s="373"/>
      <c r="B32" s="374"/>
      <c r="C32" s="374"/>
      <c r="D32" s="375"/>
      <c r="E32" s="375"/>
      <c r="F32" s="375"/>
      <c r="G32" s="155"/>
    </row>
    <row r="33" spans="1:10" s="92" customFormat="1" ht="18.75" customHeight="1" thickBot="1" x14ac:dyDescent="0.3">
      <c r="A33" s="387" t="s">
        <v>427</v>
      </c>
      <c r="B33" s="388"/>
      <c r="C33" s="388"/>
      <c r="D33" s="57">
        <v>43628.74</v>
      </c>
      <c r="E33" s="58"/>
      <c r="F33" s="58"/>
      <c r="G33" s="58"/>
      <c r="H33" s="91"/>
      <c r="I33" s="91"/>
      <c r="J33" s="91"/>
    </row>
    <row r="34" spans="1:10" s="59" customFormat="1" ht="13.5" customHeight="1" thickBot="1" x14ac:dyDescent="0.3">
      <c r="A34" s="60"/>
      <c r="B34" s="60"/>
      <c r="C34" s="60"/>
      <c r="D34" s="38"/>
      <c r="E34" s="58"/>
      <c r="F34" s="58"/>
      <c r="G34" s="58"/>
      <c r="H34" s="54"/>
      <c r="I34" s="54"/>
    </row>
    <row r="35" spans="1:10" s="59" customFormat="1" ht="15.75" thickBot="1" x14ac:dyDescent="0.3">
      <c r="A35" s="55" t="s">
        <v>428</v>
      </c>
      <c r="B35" s="56"/>
      <c r="C35" s="56"/>
      <c r="D35" s="61"/>
      <c r="E35" s="62"/>
      <c r="F35" s="62"/>
      <c r="G35" s="129">
        <f>G14+E25-F25</f>
        <v>-403256.61999999994</v>
      </c>
      <c r="H35" s="54"/>
      <c r="I35" s="54"/>
    </row>
    <row r="36" spans="1:10" x14ac:dyDescent="0.25">
      <c r="B36" s="139"/>
      <c r="C36" s="139"/>
      <c r="D36" s="139"/>
      <c r="E36" s="139"/>
    </row>
    <row r="37" spans="1:10" ht="2.25" customHeight="1" x14ac:dyDescent="0.25">
      <c r="B37" s="139"/>
      <c r="C37" s="139"/>
      <c r="D37" s="139"/>
      <c r="E37" s="139"/>
    </row>
    <row r="38" spans="1:10" ht="24" customHeight="1" x14ac:dyDescent="0.25">
      <c r="A38" s="371" t="s">
        <v>44</v>
      </c>
      <c r="B38" s="371"/>
      <c r="C38" s="371"/>
      <c r="D38" s="371"/>
      <c r="E38" s="371"/>
      <c r="F38" s="371"/>
      <c r="G38" s="371"/>
      <c r="H38" s="371"/>
      <c r="I38" s="371"/>
    </row>
    <row r="39" spans="1:10" ht="3" customHeight="1" x14ac:dyDescent="0.25"/>
    <row r="40" spans="1:10" s="156" customFormat="1" ht="28.5" customHeight="1" x14ac:dyDescent="0.25">
      <c r="A40" s="94" t="s">
        <v>11</v>
      </c>
      <c r="B40" s="416" t="s">
        <v>45</v>
      </c>
      <c r="C40" s="425"/>
      <c r="D40" s="94" t="s">
        <v>99</v>
      </c>
      <c r="E40" s="94" t="s">
        <v>98</v>
      </c>
      <c r="F40" s="416" t="s">
        <v>46</v>
      </c>
      <c r="G40" s="425"/>
    </row>
    <row r="41" spans="1:10" s="103" customFormat="1" ht="13.5" customHeight="1" x14ac:dyDescent="0.25">
      <c r="A41" s="98" t="s">
        <v>47</v>
      </c>
      <c r="B41" s="418" t="s">
        <v>75</v>
      </c>
      <c r="C41" s="430"/>
      <c r="D41" s="99"/>
      <c r="E41" s="99"/>
      <c r="F41" s="436">
        <f>SUM(F42:L46)</f>
        <v>-258833.82199999999</v>
      </c>
      <c r="G41" s="424"/>
    </row>
    <row r="42" spans="1:10" ht="17.25" customHeight="1" x14ac:dyDescent="0.25">
      <c r="A42" s="34" t="s">
        <v>16</v>
      </c>
      <c r="B42" s="406" t="s">
        <v>494</v>
      </c>
      <c r="C42" s="431"/>
      <c r="D42" s="176" t="s">
        <v>100</v>
      </c>
      <c r="E42" s="176">
        <v>1</v>
      </c>
      <c r="F42" s="435">
        <v>7940.25</v>
      </c>
      <c r="G42" s="435"/>
    </row>
    <row r="43" spans="1:10" ht="17.25" customHeight="1" x14ac:dyDescent="0.25">
      <c r="A43" s="34" t="s">
        <v>18</v>
      </c>
      <c r="B43" s="406" t="s">
        <v>495</v>
      </c>
      <c r="C43" s="431"/>
      <c r="D43" s="176" t="s">
        <v>103</v>
      </c>
      <c r="E43" s="176">
        <v>0.1</v>
      </c>
      <c r="F43" s="435">
        <v>13686.98</v>
      </c>
      <c r="G43" s="435"/>
    </row>
    <row r="44" spans="1:10" ht="24" customHeight="1" x14ac:dyDescent="0.25">
      <c r="A44" s="34" t="s">
        <v>20</v>
      </c>
      <c r="B44" s="406" t="s">
        <v>496</v>
      </c>
      <c r="C44" s="431"/>
      <c r="D44" s="176" t="s">
        <v>540</v>
      </c>
      <c r="E44" s="176">
        <v>1.5</v>
      </c>
      <c r="F44" s="435">
        <v>-281451.12</v>
      </c>
      <c r="G44" s="435"/>
    </row>
    <row r="45" spans="1:10" ht="17.25" customHeight="1" x14ac:dyDescent="0.25">
      <c r="A45" s="34" t="s">
        <v>22</v>
      </c>
      <c r="B45" s="412"/>
      <c r="C45" s="428"/>
      <c r="D45" s="260"/>
      <c r="E45" s="260"/>
      <c r="F45" s="463"/>
      <c r="G45" s="463"/>
    </row>
    <row r="46" spans="1:10" s="59" customFormat="1" x14ac:dyDescent="0.25">
      <c r="A46" s="34" t="s">
        <v>24</v>
      </c>
      <c r="B46" s="133" t="s">
        <v>108</v>
      </c>
      <c r="C46" s="134"/>
      <c r="D46" s="105"/>
      <c r="E46" s="105"/>
      <c r="F46" s="435">
        <f>E25*1%</f>
        <v>990.0680000000001</v>
      </c>
      <c r="G46" s="435"/>
    </row>
    <row r="47" spans="1:10" x14ac:dyDescent="0.25">
      <c r="A47" s="59"/>
      <c r="B47" s="59"/>
      <c r="C47" s="59"/>
      <c r="D47" s="59"/>
      <c r="E47" s="59"/>
      <c r="F47" s="59"/>
      <c r="G47" s="59"/>
    </row>
    <row r="48" spans="1:10" x14ac:dyDescent="0.25">
      <c r="A48" s="51" t="s">
        <v>372</v>
      </c>
      <c r="B48" s="59"/>
      <c r="C48" s="59" t="s">
        <v>49</v>
      </c>
      <c r="D48" s="59"/>
      <c r="E48" s="59"/>
      <c r="F48" s="59" t="s">
        <v>60</v>
      </c>
      <c r="G48" s="59"/>
    </row>
    <row r="49" spans="1:7" x14ac:dyDescent="0.25">
      <c r="A49" s="59"/>
      <c r="B49" s="59"/>
      <c r="C49" s="59"/>
      <c r="D49" s="59"/>
      <c r="E49" s="59"/>
      <c r="F49" s="111" t="s">
        <v>438</v>
      </c>
      <c r="G49" s="59"/>
    </row>
    <row r="50" spans="1:7" x14ac:dyDescent="0.25">
      <c r="A50" s="59" t="s">
        <v>50</v>
      </c>
      <c r="B50" s="59"/>
      <c r="C50" s="59"/>
      <c r="D50" s="59"/>
      <c r="E50" s="59"/>
      <c r="F50" s="59"/>
      <c r="G50" s="59"/>
    </row>
    <row r="51" spans="1:7" x14ac:dyDescent="0.25">
      <c r="A51" s="59"/>
      <c r="B51" s="59"/>
      <c r="C51" s="113" t="s">
        <v>51</v>
      </c>
      <c r="D51" s="59"/>
      <c r="E51" s="113"/>
      <c r="F51" s="113"/>
      <c r="G51" s="113"/>
    </row>
  </sheetData>
  <mergeCells count="23">
    <mergeCell ref="A2:K2"/>
    <mergeCell ref="F46:G46"/>
    <mergeCell ref="A33:C33"/>
    <mergeCell ref="F42:G42"/>
    <mergeCell ref="A1:I1"/>
    <mergeCell ref="A5:I5"/>
    <mergeCell ref="A10:I10"/>
    <mergeCell ref="A3:K3"/>
    <mergeCell ref="A11:I11"/>
    <mergeCell ref="B42:C42"/>
    <mergeCell ref="A12:I12"/>
    <mergeCell ref="F40:G40"/>
    <mergeCell ref="B41:C41"/>
    <mergeCell ref="A32:F32"/>
    <mergeCell ref="F41:G41"/>
    <mergeCell ref="B40:C40"/>
    <mergeCell ref="A38:I38"/>
    <mergeCell ref="F43:G43"/>
    <mergeCell ref="F44:G44"/>
    <mergeCell ref="F45:G45"/>
    <mergeCell ref="B43:C43"/>
    <mergeCell ref="B44:C44"/>
    <mergeCell ref="B45:C45"/>
  </mergeCells>
  <phoneticPr fontId="14" type="noConversion"/>
  <pageMargins left="0" right="0" top="0" bottom="0" header="0.31496062992125984" footer="0.31496062992125984"/>
  <pageSetup paperSize="9" orientation="portrait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C86D4A-E44A-4BCA-B0FD-38A0CDAE3600}">
  <sheetPr>
    <tabColor rgb="FF7030A0"/>
  </sheetPr>
  <dimension ref="A1:M58"/>
  <sheetViews>
    <sheetView topLeftCell="A44" zoomScaleNormal="100" workbookViewId="0">
      <selection activeCell="A61" sqref="A61:IV62"/>
    </sheetView>
  </sheetViews>
  <sheetFormatPr defaultRowHeight="15" outlineLevelRow="1" outlineLevelCol="1" x14ac:dyDescent="0.25"/>
  <cols>
    <col min="1" max="1" width="5.7109375" style="35" customWidth="1"/>
    <col min="2" max="2" width="48.7109375" style="35" customWidth="1"/>
    <col min="3" max="3" width="14.28515625" style="35" customWidth="1"/>
    <col min="4" max="4" width="13.28515625" style="35" customWidth="1"/>
    <col min="5" max="5" width="13" style="35" customWidth="1"/>
    <col min="6" max="6" width="13.28515625" style="35" customWidth="1"/>
    <col min="7" max="7" width="14" style="35" customWidth="1"/>
    <col min="8" max="8" width="10.85546875" style="35" hidden="1" customWidth="1" outlineLevel="1"/>
    <col min="9" max="9" width="13.42578125" style="35" hidden="1" customWidth="1" outlineLevel="1"/>
    <col min="10" max="12" width="9.140625" style="35" hidden="1" customWidth="1" outlineLevel="1"/>
    <col min="13" max="13" width="9.42578125" style="35" bestFit="1" customWidth="1" collapsed="1"/>
    <col min="14" max="16384" width="9.140625" style="35"/>
  </cols>
  <sheetData>
    <row r="1" spans="1:11" x14ac:dyDescent="0.25">
      <c r="A1" s="397" t="s">
        <v>0</v>
      </c>
      <c r="B1" s="397"/>
      <c r="C1" s="397"/>
      <c r="D1" s="397"/>
      <c r="E1" s="397"/>
      <c r="F1" s="397"/>
      <c r="G1" s="397"/>
      <c r="H1" s="397"/>
      <c r="I1" s="397"/>
    </row>
    <row r="2" spans="1:11" ht="15" customHeight="1" x14ac:dyDescent="0.25">
      <c r="A2" s="370" t="s">
        <v>152</v>
      </c>
      <c r="B2" s="370"/>
      <c r="C2" s="370"/>
      <c r="D2" s="370"/>
      <c r="E2" s="370"/>
      <c r="F2" s="370"/>
      <c r="G2" s="370"/>
      <c r="H2" s="370"/>
      <c r="I2" s="370"/>
      <c r="J2" s="370"/>
      <c r="K2" s="370"/>
    </row>
    <row r="3" spans="1:11" ht="15" customHeight="1" x14ac:dyDescent="0.25">
      <c r="A3" s="370" t="s">
        <v>426</v>
      </c>
      <c r="B3" s="370"/>
      <c r="C3" s="370"/>
      <c r="D3" s="370"/>
      <c r="E3" s="370"/>
      <c r="F3" s="370"/>
      <c r="G3" s="370"/>
      <c r="H3" s="370"/>
      <c r="I3" s="370"/>
      <c r="J3" s="370"/>
      <c r="K3" s="370"/>
    </row>
    <row r="4" spans="1:11" ht="9" customHeight="1" x14ac:dyDescent="0.25">
      <c r="A4" s="142"/>
      <c r="B4" s="142"/>
      <c r="C4" s="142"/>
      <c r="D4" s="142"/>
      <c r="E4" s="142"/>
      <c r="F4" s="142"/>
      <c r="G4" s="142"/>
      <c r="H4" s="142"/>
      <c r="I4" s="142"/>
    </row>
    <row r="5" spans="1:11" ht="15.75" customHeight="1" x14ac:dyDescent="0.25">
      <c r="A5" s="398" t="s">
        <v>1</v>
      </c>
      <c r="B5" s="397"/>
      <c r="C5" s="397"/>
      <c r="D5" s="397"/>
      <c r="E5" s="397"/>
      <c r="F5" s="397"/>
      <c r="G5" s="397"/>
      <c r="H5" s="397"/>
      <c r="I5" s="397"/>
    </row>
    <row r="6" spans="1:11" ht="6.75" customHeight="1" x14ac:dyDescent="0.25"/>
    <row r="7" spans="1:11" s="59" customFormat="1" ht="16.5" customHeight="1" x14ac:dyDescent="0.25">
      <c r="A7" s="59" t="s">
        <v>2</v>
      </c>
      <c r="F7" s="111" t="s">
        <v>215</v>
      </c>
    </row>
    <row r="8" spans="1:11" s="59" customFormat="1" x14ac:dyDescent="0.25">
      <c r="A8" s="59" t="s">
        <v>3</v>
      </c>
      <c r="F8" s="239" t="s">
        <v>216</v>
      </c>
      <c r="H8" s="180">
        <v>47.1</v>
      </c>
      <c r="I8" s="59">
        <v>7639.6</v>
      </c>
      <c r="J8" s="281">
        <f>H8+I8</f>
        <v>7686.7000000000007</v>
      </c>
    </row>
    <row r="9" spans="1:11" s="59" customFormat="1" ht="14.25" customHeight="1" x14ac:dyDescent="0.25">
      <c r="B9" s="59" t="s">
        <v>252</v>
      </c>
      <c r="F9" s="239" t="s">
        <v>258</v>
      </c>
    </row>
    <row r="10" spans="1:11" s="59" customFormat="1" x14ac:dyDescent="0.25">
      <c r="A10" s="372" t="s">
        <v>8</v>
      </c>
      <c r="B10" s="372"/>
      <c r="C10" s="372"/>
      <c r="D10" s="372"/>
      <c r="E10" s="372"/>
      <c r="F10" s="372"/>
      <c r="G10" s="372"/>
      <c r="H10" s="372"/>
      <c r="I10" s="372"/>
    </row>
    <row r="11" spans="1:11" s="59" customFormat="1" x14ac:dyDescent="0.25">
      <c r="A11" s="372" t="s">
        <v>9</v>
      </c>
      <c r="B11" s="372"/>
      <c r="C11" s="372"/>
      <c r="D11" s="372"/>
      <c r="E11" s="372"/>
      <c r="F11" s="372"/>
      <c r="G11" s="372"/>
      <c r="H11" s="372"/>
      <c r="I11" s="372"/>
    </row>
    <row r="12" spans="1:11" s="59" customFormat="1" x14ac:dyDescent="0.25">
      <c r="A12" s="372" t="s">
        <v>10</v>
      </c>
      <c r="B12" s="372"/>
      <c r="C12" s="372"/>
      <c r="D12" s="372"/>
      <c r="E12" s="372"/>
      <c r="F12" s="372"/>
      <c r="G12" s="372"/>
      <c r="H12" s="372"/>
      <c r="I12" s="372"/>
    </row>
    <row r="13" spans="1:11" s="59" customFormat="1" ht="6" customHeight="1" thickBot="1" x14ac:dyDescent="0.3">
      <c r="A13" s="60"/>
      <c r="B13" s="60"/>
      <c r="C13" s="60"/>
      <c r="D13" s="38"/>
      <c r="E13" s="58"/>
      <c r="F13" s="58"/>
      <c r="G13" s="58"/>
      <c r="H13" s="54"/>
      <c r="I13" s="54"/>
    </row>
    <row r="14" spans="1:11" s="59" customFormat="1" ht="15.75" thickBot="1" x14ac:dyDescent="0.3">
      <c r="A14" s="55" t="s">
        <v>381</v>
      </c>
      <c r="B14" s="56"/>
      <c r="C14" s="56"/>
      <c r="D14" s="61"/>
      <c r="E14" s="62"/>
      <c r="F14" s="62"/>
      <c r="G14" s="129">
        <f>'[1]Суворова 69'!$G$38</f>
        <v>-19318.926000000036</v>
      </c>
    </row>
    <row r="15" spans="1:11" s="59" customFormat="1" x14ac:dyDescent="0.25"/>
    <row r="16" spans="1:11" s="66" customFormat="1" ht="38.25" x14ac:dyDescent="0.25">
      <c r="A16" s="64" t="s">
        <v>11</v>
      </c>
      <c r="B16" s="64" t="s">
        <v>12</v>
      </c>
      <c r="C16" s="64" t="s">
        <v>61</v>
      </c>
      <c r="D16" s="64" t="s">
        <v>432</v>
      </c>
      <c r="E16" s="64" t="s">
        <v>433</v>
      </c>
      <c r="F16" s="65" t="s">
        <v>434</v>
      </c>
      <c r="G16" s="64" t="s">
        <v>435</v>
      </c>
    </row>
    <row r="17" spans="1:13" s="59" customFormat="1" x14ac:dyDescent="0.25">
      <c r="A17" s="67" t="s">
        <v>14</v>
      </c>
      <c r="B17" s="39" t="s">
        <v>379</v>
      </c>
      <c r="C17" s="120">
        <v>20.32</v>
      </c>
      <c r="D17" s="68">
        <v>1862839.8</v>
      </c>
      <c r="E17" s="68">
        <v>1862140.56</v>
      </c>
      <c r="F17" s="68">
        <f t="shared" ref="F17:F24" si="0">D17</f>
        <v>1862839.8</v>
      </c>
      <c r="G17" s="69">
        <f>D17-E17</f>
        <v>699.23999999999069</v>
      </c>
      <c r="H17" s="130">
        <f>C17</f>
        <v>20.32</v>
      </c>
    </row>
    <row r="18" spans="1:13" s="59" customFormat="1" hidden="1" outlineLevel="1" x14ac:dyDescent="0.25">
      <c r="A18" s="73" t="s">
        <v>16</v>
      </c>
      <c r="B18" s="34" t="s">
        <v>17</v>
      </c>
      <c r="C18" s="89">
        <v>3.46</v>
      </c>
      <c r="D18" s="75">
        <f>D17*I18</f>
        <v>317196.14704724413</v>
      </c>
      <c r="E18" s="75">
        <f>E17*I18</f>
        <v>317077.08354330709</v>
      </c>
      <c r="F18" s="75">
        <f t="shared" si="0"/>
        <v>317196.14704724413</v>
      </c>
      <c r="G18" s="76">
        <f>D18-E18</f>
        <v>119.06350393703906</v>
      </c>
      <c r="H18" s="130">
        <f>C18</f>
        <v>3.46</v>
      </c>
      <c r="I18" s="59">
        <f>H18/H17</f>
        <v>0.17027559055118111</v>
      </c>
    </row>
    <row r="19" spans="1:13" s="59" customFormat="1" hidden="1" outlineLevel="1" x14ac:dyDescent="0.25">
      <c r="A19" s="73" t="s">
        <v>18</v>
      </c>
      <c r="B19" s="34" t="s">
        <v>19</v>
      </c>
      <c r="C19" s="89">
        <v>1.69</v>
      </c>
      <c r="D19" s="75">
        <f>D17*I19</f>
        <v>154931.06604330707</v>
      </c>
      <c r="E19" s="75">
        <f>E17*I19</f>
        <v>154872.91074803149</v>
      </c>
      <c r="F19" s="75">
        <f t="shared" si="0"/>
        <v>154931.06604330707</v>
      </c>
      <c r="G19" s="76">
        <f>D19-E19</f>
        <v>58.155295275588287</v>
      </c>
      <c r="H19" s="130">
        <f>C19</f>
        <v>1.69</v>
      </c>
      <c r="I19" s="59">
        <f>H19/H17</f>
        <v>8.3169291338582668E-2</v>
      </c>
    </row>
    <row r="20" spans="1:13" s="59" customFormat="1" hidden="1" outlineLevel="1" x14ac:dyDescent="0.25">
      <c r="A20" s="73" t="s">
        <v>20</v>
      </c>
      <c r="B20" s="34" t="s">
        <v>21</v>
      </c>
      <c r="C20" s="89">
        <v>2.15</v>
      </c>
      <c r="D20" s="75">
        <f>D17*I20</f>
        <v>197101.65206692912</v>
      </c>
      <c r="E20" s="75">
        <f>E17*I20</f>
        <v>197027.66751968503</v>
      </c>
      <c r="F20" s="75">
        <f t="shared" si="0"/>
        <v>197101.65206692912</v>
      </c>
      <c r="G20" s="76">
        <f>D20-E20</f>
        <v>73.984547244093847</v>
      </c>
      <c r="H20" s="130">
        <f>C20</f>
        <v>2.15</v>
      </c>
      <c r="I20" s="59">
        <f>H20/H17</f>
        <v>0.10580708661417322</v>
      </c>
    </row>
    <row r="21" spans="1:13" s="59" customFormat="1" hidden="1" outlineLevel="1" x14ac:dyDescent="0.25">
      <c r="A21" s="73" t="s">
        <v>22</v>
      </c>
      <c r="B21" s="34" t="s">
        <v>23</v>
      </c>
      <c r="C21" s="89">
        <v>3.04</v>
      </c>
      <c r="D21" s="75">
        <f>D17*I21</f>
        <v>278692.56850393704</v>
      </c>
      <c r="E21" s="75">
        <f>E17*I21</f>
        <v>278587.95779527561</v>
      </c>
      <c r="F21" s="75">
        <f t="shared" si="0"/>
        <v>278692.56850393704</v>
      </c>
      <c r="G21" s="76">
        <f>D21-E21</f>
        <v>104.61070866143564</v>
      </c>
      <c r="H21" s="130">
        <f>C21</f>
        <v>3.04</v>
      </c>
      <c r="I21" s="59">
        <f>H21/H17</f>
        <v>0.14960629921259844</v>
      </c>
    </row>
    <row r="22" spans="1:13" collapsed="1" x14ac:dyDescent="0.25">
      <c r="A22" s="39" t="s">
        <v>25</v>
      </c>
      <c r="B22" s="78" t="s">
        <v>145</v>
      </c>
      <c r="C22" s="46">
        <v>125</v>
      </c>
      <c r="D22" s="69">
        <v>0</v>
      </c>
      <c r="E22" s="69">
        <v>4840.1499999999996</v>
      </c>
      <c r="F22" s="69">
        <f t="shared" si="0"/>
        <v>0</v>
      </c>
      <c r="G22" s="69">
        <f t="shared" ref="G22:G33" si="1">D22-E22</f>
        <v>-4840.1499999999996</v>
      </c>
    </row>
    <row r="23" spans="1:13" x14ac:dyDescent="0.25">
      <c r="A23" s="39" t="s">
        <v>27</v>
      </c>
      <c r="B23" s="125" t="s">
        <v>26</v>
      </c>
      <c r="C23" s="87">
        <v>4.3600000000000003</v>
      </c>
      <c r="D23" s="69">
        <v>399704.12</v>
      </c>
      <c r="E23" s="69">
        <v>403627.31</v>
      </c>
      <c r="F23" s="69">
        <f t="shared" si="0"/>
        <v>399704.12</v>
      </c>
      <c r="G23" s="69">
        <f t="shared" si="1"/>
        <v>-3923.1900000000023</v>
      </c>
    </row>
    <row r="24" spans="1:13" x14ac:dyDescent="0.25">
      <c r="A24" s="39" t="s">
        <v>29</v>
      </c>
      <c r="B24" s="125" t="s">
        <v>97</v>
      </c>
      <c r="C24" s="357">
        <v>0</v>
      </c>
      <c r="D24" s="69">
        <v>0</v>
      </c>
      <c r="E24" s="69">
        <v>0</v>
      </c>
      <c r="F24" s="69">
        <f t="shared" si="0"/>
        <v>0</v>
      </c>
      <c r="G24" s="69">
        <f t="shared" si="1"/>
        <v>0</v>
      </c>
    </row>
    <row r="25" spans="1:13" x14ac:dyDescent="0.25">
      <c r="A25" s="39" t="s">
        <v>31</v>
      </c>
      <c r="B25" s="125" t="s">
        <v>80</v>
      </c>
      <c r="C25" s="87">
        <v>2.0099999999999998</v>
      </c>
      <c r="D25" s="69">
        <f>184267.08+D26</f>
        <v>185403.12999999998</v>
      </c>
      <c r="E25" s="69">
        <f>186966.99+E26</f>
        <v>187913</v>
      </c>
      <c r="F25" s="79">
        <f>F45</f>
        <v>124971.34</v>
      </c>
      <c r="G25" s="69">
        <f t="shared" si="1"/>
        <v>-2509.8700000000244</v>
      </c>
    </row>
    <row r="26" spans="1:13" x14ac:dyDescent="0.25">
      <c r="A26" s="39"/>
      <c r="B26" s="292" t="s">
        <v>244</v>
      </c>
      <c r="C26" s="293"/>
      <c r="D26" s="294">
        <v>1136.05</v>
      </c>
      <c r="E26" s="294">
        <v>946.01</v>
      </c>
      <c r="F26" s="294"/>
      <c r="G26" s="248"/>
    </row>
    <row r="27" spans="1:13" x14ac:dyDescent="0.25">
      <c r="A27" s="39" t="s">
        <v>33</v>
      </c>
      <c r="B27" s="119" t="s">
        <v>30</v>
      </c>
      <c r="C27" s="43">
        <v>0</v>
      </c>
      <c r="D27" s="69">
        <v>0</v>
      </c>
      <c r="E27" s="69">
        <v>1217.42</v>
      </c>
      <c r="F27" s="79">
        <v>0</v>
      </c>
      <c r="G27" s="69">
        <f t="shared" si="1"/>
        <v>-1217.42</v>
      </c>
    </row>
    <row r="28" spans="1:13" x14ac:dyDescent="0.25">
      <c r="A28" s="39" t="s">
        <v>35</v>
      </c>
      <c r="B28" s="119" t="s">
        <v>36</v>
      </c>
      <c r="C28" s="87"/>
      <c r="D28" s="69">
        <f>SUM(D29:D32)</f>
        <v>5811994.2700000005</v>
      </c>
      <c r="E28" s="69">
        <f>SUM(E29:E32)</f>
        <v>5825625.8300000001</v>
      </c>
      <c r="F28" s="69">
        <f>SUM(F29:F32)</f>
        <v>5811994.2700000005</v>
      </c>
      <c r="G28" s="69">
        <f t="shared" si="1"/>
        <v>-13631.55999999959</v>
      </c>
      <c r="M28" s="274"/>
    </row>
    <row r="29" spans="1:13" x14ac:dyDescent="0.25">
      <c r="A29" s="34" t="s">
        <v>37</v>
      </c>
      <c r="B29" s="34" t="s">
        <v>101</v>
      </c>
      <c r="C29" s="89">
        <v>7.36</v>
      </c>
      <c r="D29" s="186">
        <v>293521.64</v>
      </c>
      <c r="E29" s="186">
        <v>297127.07</v>
      </c>
      <c r="F29" s="186">
        <f>D29</f>
        <v>293521.64</v>
      </c>
      <c r="G29" s="76">
        <f t="shared" si="1"/>
        <v>-3605.429999999993</v>
      </c>
    </row>
    <row r="30" spans="1:13" x14ac:dyDescent="0.25">
      <c r="A30" s="34" t="s">
        <v>39</v>
      </c>
      <c r="B30" s="34" t="s">
        <v>84</v>
      </c>
      <c r="C30" s="89">
        <v>88.38</v>
      </c>
      <c r="D30" s="186">
        <v>973491.1</v>
      </c>
      <c r="E30" s="186">
        <v>961453.47</v>
      </c>
      <c r="F30" s="186">
        <f>D30</f>
        <v>973491.1</v>
      </c>
      <c r="G30" s="76">
        <f t="shared" si="1"/>
        <v>12037.630000000005</v>
      </c>
    </row>
    <row r="31" spans="1:13" x14ac:dyDescent="0.25">
      <c r="A31" s="34" t="s">
        <v>42</v>
      </c>
      <c r="B31" s="34" t="s">
        <v>135</v>
      </c>
      <c r="C31" s="128">
        <v>278.94</v>
      </c>
      <c r="D31" s="186">
        <v>1260230.54</v>
      </c>
      <c r="E31" s="186">
        <v>1240935.3</v>
      </c>
      <c r="F31" s="186">
        <f>D31</f>
        <v>1260230.54</v>
      </c>
      <c r="G31" s="76">
        <f t="shared" si="1"/>
        <v>19295.239999999991</v>
      </c>
    </row>
    <row r="32" spans="1:13" x14ac:dyDescent="0.25">
      <c r="A32" s="34" t="s">
        <v>41</v>
      </c>
      <c r="B32" s="34" t="s">
        <v>43</v>
      </c>
      <c r="C32" s="89">
        <v>3352.42</v>
      </c>
      <c r="D32" s="186">
        <v>3284750.99</v>
      </c>
      <c r="E32" s="186">
        <v>3326109.99</v>
      </c>
      <c r="F32" s="186">
        <f>D32</f>
        <v>3284750.99</v>
      </c>
      <c r="G32" s="76">
        <f t="shared" si="1"/>
        <v>-41359</v>
      </c>
      <c r="H32" s="91"/>
      <c r="I32" s="91"/>
    </row>
    <row r="33" spans="1:10" hidden="1" outlineLevel="1" x14ac:dyDescent="0.25">
      <c r="A33" s="174" t="s">
        <v>130</v>
      </c>
      <c r="B33" s="257" t="s">
        <v>133</v>
      </c>
      <c r="C33" s="298"/>
      <c r="D33" s="248">
        <f>1000+1800</f>
        <v>2800</v>
      </c>
      <c r="E33" s="248">
        <v>1800</v>
      </c>
      <c r="F33" s="296">
        <v>0</v>
      </c>
      <c r="G33" s="248">
        <f t="shared" si="1"/>
        <v>1000</v>
      </c>
      <c r="H33" s="91"/>
      <c r="I33" s="91"/>
    </row>
    <row r="34" spans="1:10" hidden="1" outlineLevel="1" x14ac:dyDescent="0.25">
      <c r="A34" s="174"/>
      <c r="B34" s="295"/>
      <c r="C34" s="376" t="s">
        <v>246</v>
      </c>
      <c r="D34" s="377"/>
      <c r="E34" s="377"/>
      <c r="F34" s="377"/>
      <c r="G34" s="82">
        <f>E33-(E33*15%)</f>
        <v>1530</v>
      </c>
      <c r="H34" s="91"/>
      <c r="I34" s="91"/>
    </row>
    <row r="35" spans="1:10" ht="15.75" customHeight="1" collapsed="1" thickBot="1" x14ac:dyDescent="0.3">
      <c r="A35" s="373"/>
      <c r="B35" s="374"/>
      <c r="C35" s="374"/>
      <c r="D35" s="375"/>
      <c r="E35" s="375"/>
      <c r="F35" s="375"/>
      <c r="G35" s="155"/>
      <c r="H35" s="91"/>
      <c r="I35" s="91"/>
    </row>
    <row r="36" spans="1:10" s="92" customFormat="1" ht="14.25" thickBot="1" x14ac:dyDescent="0.3">
      <c r="A36" s="387" t="s">
        <v>427</v>
      </c>
      <c r="B36" s="388"/>
      <c r="C36" s="388"/>
      <c r="D36" s="57">
        <v>-25422.95</v>
      </c>
      <c r="E36" s="58"/>
      <c r="F36" s="58"/>
      <c r="G36" s="58"/>
      <c r="H36" s="54"/>
      <c r="I36" s="54"/>
      <c r="J36" s="91"/>
    </row>
    <row r="37" spans="1:10" s="59" customFormat="1" ht="10.5" customHeight="1" thickBot="1" x14ac:dyDescent="0.3">
      <c r="A37" s="373"/>
      <c r="B37" s="374"/>
      <c r="C37" s="374"/>
      <c r="D37" s="375"/>
      <c r="E37" s="375"/>
      <c r="F37" s="375"/>
      <c r="G37" s="58"/>
      <c r="H37" s="54"/>
      <c r="I37" s="54"/>
    </row>
    <row r="38" spans="1:10" s="59" customFormat="1" ht="15.75" thickBot="1" x14ac:dyDescent="0.3">
      <c r="A38" s="55" t="s">
        <v>428</v>
      </c>
      <c r="B38" s="56"/>
      <c r="C38" s="56"/>
      <c r="D38" s="61"/>
      <c r="E38" s="62"/>
      <c r="F38" s="62"/>
      <c r="G38" s="129">
        <f>G14+E25-F25</f>
        <v>43622.733999999968</v>
      </c>
      <c r="H38" s="54"/>
      <c r="I38" s="54"/>
    </row>
    <row r="39" spans="1:10" s="59" customFormat="1" x14ac:dyDescent="0.25">
      <c r="A39" s="392" t="s">
        <v>90</v>
      </c>
      <c r="B39" s="392"/>
      <c r="C39" s="60"/>
      <c r="D39" s="38"/>
      <c r="E39" s="58"/>
      <c r="F39" s="58"/>
      <c r="G39" s="38"/>
      <c r="H39" s="54"/>
      <c r="I39" s="54"/>
    </row>
    <row r="40" spans="1:10" s="59" customFormat="1" x14ac:dyDescent="0.25">
      <c r="A40" s="393" t="s">
        <v>91</v>
      </c>
      <c r="B40" s="394"/>
      <c r="C40" s="41" t="s">
        <v>92</v>
      </c>
      <c r="D40" s="41" t="s">
        <v>93</v>
      </c>
      <c r="E40" s="42" t="s">
        <v>94</v>
      </c>
      <c r="F40" s="40" t="s">
        <v>95</v>
      </c>
      <c r="G40" s="42" t="s">
        <v>96</v>
      </c>
      <c r="H40" s="54"/>
      <c r="I40" s="54"/>
    </row>
    <row r="41" spans="1:10" s="59" customFormat="1" x14ac:dyDescent="0.25">
      <c r="A41" s="395"/>
      <c r="B41" s="396"/>
      <c r="C41" s="110">
        <v>47.1</v>
      </c>
      <c r="D41" s="138">
        <f>E41/C41/6</f>
        <v>53.380042462845012</v>
      </c>
      <c r="E41" s="73">
        <v>15085.2</v>
      </c>
      <c r="F41" s="75">
        <v>19071.3</v>
      </c>
      <c r="G41" s="138">
        <f>E41-F41</f>
        <v>-3986.0999999999985</v>
      </c>
      <c r="H41" s="335">
        <f>C17+C23+C25</f>
        <v>26.689999999999998</v>
      </c>
      <c r="I41" s="54">
        <f>H41*C41*3</f>
        <v>3771.2969999999996</v>
      </c>
    </row>
    <row r="42" spans="1:10" s="59" customFormat="1" ht="24" customHeight="1" x14ac:dyDescent="0.25">
      <c r="A42" s="485" t="s">
        <v>44</v>
      </c>
      <c r="B42" s="485"/>
      <c r="C42" s="485"/>
      <c r="D42" s="485"/>
      <c r="E42" s="485"/>
      <c r="F42" s="485"/>
      <c r="G42" s="485"/>
      <c r="H42" s="485"/>
      <c r="I42" s="485"/>
    </row>
    <row r="44" spans="1:10" ht="28.5" x14ac:dyDescent="0.25">
      <c r="A44" s="94" t="s">
        <v>11</v>
      </c>
      <c r="B44" s="416" t="s">
        <v>45</v>
      </c>
      <c r="C44" s="425"/>
      <c r="D44" s="94" t="s">
        <v>99</v>
      </c>
      <c r="E44" s="94" t="s">
        <v>98</v>
      </c>
      <c r="F44" s="416" t="s">
        <v>46</v>
      </c>
      <c r="G44" s="425"/>
      <c r="H44" s="156"/>
      <c r="I44" s="156"/>
    </row>
    <row r="45" spans="1:10" s="156" customFormat="1" x14ac:dyDescent="0.25">
      <c r="A45" s="98" t="s">
        <v>47</v>
      </c>
      <c r="B45" s="418" t="s">
        <v>75</v>
      </c>
      <c r="C45" s="430"/>
      <c r="D45" s="99"/>
      <c r="E45" s="99"/>
      <c r="F45" s="436">
        <f>SUM(F46:L52)</f>
        <v>124971.34</v>
      </c>
      <c r="G45" s="424"/>
      <c r="H45" s="103"/>
      <c r="I45" s="103"/>
    </row>
    <row r="46" spans="1:10" s="59" customFormat="1" x14ac:dyDescent="0.25">
      <c r="A46" s="34" t="s">
        <v>16</v>
      </c>
      <c r="B46" s="406" t="s">
        <v>497</v>
      </c>
      <c r="C46" s="431"/>
      <c r="D46" s="176" t="s">
        <v>137</v>
      </c>
      <c r="E46" s="176">
        <v>2.6499999999999999E-2</v>
      </c>
      <c r="F46" s="435">
        <v>9268.93</v>
      </c>
      <c r="G46" s="435"/>
      <c r="H46" s="35"/>
      <c r="I46" s="35"/>
    </row>
    <row r="47" spans="1:10" s="59" customFormat="1" x14ac:dyDescent="0.25">
      <c r="A47" s="34" t="s">
        <v>18</v>
      </c>
      <c r="B47" s="406" t="s">
        <v>491</v>
      </c>
      <c r="C47" s="431"/>
      <c r="D47" s="105" t="s">
        <v>100</v>
      </c>
      <c r="E47" s="105">
        <v>8</v>
      </c>
      <c r="F47" s="435">
        <v>97975.32</v>
      </c>
      <c r="G47" s="435"/>
      <c r="H47" s="35"/>
      <c r="I47" s="35"/>
    </row>
    <row r="48" spans="1:10" s="59" customFormat="1" x14ac:dyDescent="0.25">
      <c r="A48" s="34" t="s">
        <v>20</v>
      </c>
      <c r="B48" s="509" t="s">
        <v>494</v>
      </c>
      <c r="C48" s="454"/>
      <c r="D48" s="105" t="s">
        <v>100</v>
      </c>
      <c r="E48" s="105">
        <v>1</v>
      </c>
      <c r="F48" s="435">
        <v>12246.92</v>
      </c>
      <c r="G48" s="435"/>
      <c r="H48" s="35"/>
      <c r="I48" s="35"/>
    </row>
    <row r="49" spans="1:9" s="59" customFormat="1" x14ac:dyDescent="0.25">
      <c r="A49" s="34" t="s">
        <v>22</v>
      </c>
      <c r="B49" s="406" t="s">
        <v>498</v>
      </c>
      <c r="C49" s="431"/>
      <c r="D49" s="105" t="s">
        <v>103</v>
      </c>
      <c r="E49" s="348">
        <v>1.9400000000000001E-2</v>
      </c>
      <c r="F49" s="435">
        <v>3601.04</v>
      </c>
      <c r="G49" s="435"/>
      <c r="H49" s="35"/>
      <c r="I49" s="35"/>
    </row>
    <row r="50" spans="1:9" s="59" customFormat="1" x14ac:dyDescent="0.25">
      <c r="A50" s="34" t="s">
        <v>24</v>
      </c>
      <c r="B50" s="487"/>
      <c r="C50" s="508"/>
      <c r="D50" s="258"/>
      <c r="E50" s="258"/>
      <c r="F50" s="468"/>
      <c r="G50" s="507"/>
      <c r="H50" s="35"/>
      <c r="I50" s="35"/>
    </row>
    <row r="51" spans="1:9" s="59" customFormat="1" x14ac:dyDescent="0.25">
      <c r="A51" s="34" t="s">
        <v>73</v>
      </c>
      <c r="B51" s="487"/>
      <c r="C51" s="508"/>
      <c r="D51" s="258"/>
      <c r="E51" s="258"/>
      <c r="F51" s="468"/>
      <c r="G51" s="507"/>
      <c r="H51" s="35"/>
      <c r="I51" s="35"/>
    </row>
    <row r="52" spans="1:9" s="59" customFormat="1" x14ac:dyDescent="0.25">
      <c r="A52" s="34" t="s">
        <v>74</v>
      </c>
      <c r="B52" s="133" t="s">
        <v>108</v>
      </c>
      <c r="C52" s="134"/>
      <c r="D52" s="105"/>
      <c r="E52" s="105"/>
      <c r="F52" s="435">
        <f>E25*1%</f>
        <v>1879.13</v>
      </c>
      <c r="G52" s="435"/>
      <c r="H52" s="35"/>
      <c r="I52" s="35"/>
    </row>
    <row r="53" spans="1:9" s="59" customFormat="1" ht="11.25" customHeight="1" x14ac:dyDescent="0.25"/>
    <row r="54" spans="1:9" s="59" customFormat="1" x14ac:dyDescent="0.25">
      <c r="A54" s="51" t="s">
        <v>372</v>
      </c>
      <c r="C54" s="59" t="s">
        <v>49</v>
      </c>
      <c r="F54" s="59" t="s">
        <v>60</v>
      </c>
    </row>
    <row r="55" spans="1:9" s="59" customFormat="1" x14ac:dyDescent="0.25">
      <c r="F55" s="111" t="s">
        <v>438</v>
      </c>
    </row>
    <row r="56" spans="1:9" x14ac:dyDescent="0.25">
      <c r="A56" s="59" t="s">
        <v>50</v>
      </c>
      <c r="B56" s="59"/>
      <c r="C56" s="59"/>
      <c r="D56" s="59"/>
      <c r="E56" s="59"/>
      <c r="F56" s="59"/>
      <c r="G56" s="59"/>
      <c r="H56" s="59"/>
      <c r="I56" s="59"/>
    </row>
    <row r="57" spans="1:9" x14ac:dyDescent="0.25">
      <c r="A57" s="59"/>
      <c r="B57" s="59"/>
      <c r="C57" s="113" t="s">
        <v>51</v>
      </c>
      <c r="D57" s="59"/>
      <c r="E57" s="113"/>
      <c r="F57" s="113"/>
      <c r="G57" s="113"/>
      <c r="H57" s="59"/>
      <c r="I57" s="59"/>
    </row>
    <row r="58" spans="1:9" x14ac:dyDescent="0.25">
      <c r="A58" s="59"/>
      <c r="B58" s="59"/>
      <c r="C58" s="59"/>
      <c r="D58" s="59"/>
      <c r="E58" s="59"/>
      <c r="F58" s="59"/>
      <c r="G58" s="59"/>
      <c r="H58" s="59"/>
      <c r="I58" s="59"/>
    </row>
  </sheetData>
  <mergeCells count="31">
    <mergeCell ref="A36:C36"/>
    <mergeCell ref="A42:I42"/>
    <mergeCell ref="B44:C44"/>
    <mergeCell ref="A37:F37"/>
    <mergeCell ref="A39:B39"/>
    <mergeCell ref="B47:C47"/>
    <mergeCell ref="F49:G49"/>
    <mergeCell ref="F45:G45"/>
    <mergeCell ref="F48:G48"/>
    <mergeCell ref="F52:G52"/>
    <mergeCell ref="B46:C46"/>
    <mergeCell ref="F46:G46"/>
    <mergeCell ref="A1:I1"/>
    <mergeCell ref="A5:I5"/>
    <mergeCell ref="A10:I10"/>
    <mergeCell ref="A3:K3"/>
    <mergeCell ref="A2:K2"/>
    <mergeCell ref="A35:F35"/>
    <mergeCell ref="C34:F34"/>
    <mergeCell ref="A12:I12"/>
    <mergeCell ref="A11:I11"/>
    <mergeCell ref="F50:G50"/>
    <mergeCell ref="A40:B41"/>
    <mergeCell ref="F51:G51"/>
    <mergeCell ref="B51:C51"/>
    <mergeCell ref="B48:C48"/>
    <mergeCell ref="B50:C50"/>
    <mergeCell ref="B49:C49"/>
    <mergeCell ref="F44:G44"/>
    <mergeCell ref="B45:C45"/>
    <mergeCell ref="F47:G47"/>
  </mergeCells>
  <phoneticPr fontId="14" type="noConversion"/>
  <pageMargins left="0" right="0" top="0" bottom="0" header="0.31496062992125984" footer="0.31496062992125984"/>
  <pageSetup paperSize="9" orientation="portrait" verticalDpi="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80B27E-22E8-4725-8F85-8B8913027C8A}">
  <sheetPr>
    <tabColor rgb="FF7030A0"/>
  </sheetPr>
  <dimension ref="A1:M49"/>
  <sheetViews>
    <sheetView topLeftCell="A30" zoomScaleNormal="100" workbookViewId="0">
      <selection activeCell="A53" sqref="A53:IV54"/>
    </sheetView>
  </sheetViews>
  <sheetFormatPr defaultRowHeight="15" outlineLevelRow="1" outlineLevelCol="1" x14ac:dyDescent="0.25"/>
  <cols>
    <col min="1" max="1" width="6.140625" style="35" customWidth="1"/>
    <col min="2" max="2" width="48.28515625" style="35" customWidth="1"/>
    <col min="3" max="3" width="14.5703125" style="35" customWidth="1"/>
    <col min="4" max="4" width="13.140625" style="35" customWidth="1"/>
    <col min="5" max="5" width="13" style="35" customWidth="1"/>
    <col min="6" max="6" width="13.140625" style="35" customWidth="1"/>
    <col min="7" max="7" width="13.85546875" style="35" customWidth="1"/>
    <col min="8" max="8" width="10.85546875" style="35" hidden="1" customWidth="1" outlineLevel="1"/>
    <col min="9" max="9" width="13.42578125" style="35" hidden="1" customWidth="1" outlineLevel="1"/>
    <col min="10" max="12" width="9.140625" style="35" hidden="1" customWidth="1" outlineLevel="1"/>
    <col min="13" max="13" width="9.140625" style="35" collapsed="1"/>
    <col min="14" max="16384" width="9.140625" style="35"/>
  </cols>
  <sheetData>
    <row r="1" spans="1:11" ht="15" customHeight="1" x14ac:dyDescent="0.25">
      <c r="A1" s="397" t="s">
        <v>0</v>
      </c>
      <c r="B1" s="397"/>
      <c r="C1" s="397"/>
      <c r="D1" s="397"/>
      <c r="E1" s="397"/>
      <c r="F1" s="397"/>
      <c r="G1" s="397"/>
      <c r="H1" s="397"/>
      <c r="I1" s="397"/>
    </row>
    <row r="2" spans="1:11" ht="15" customHeight="1" x14ac:dyDescent="0.25">
      <c r="A2" s="370" t="s">
        <v>152</v>
      </c>
      <c r="B2" s="370"/>
      <c r="C2" s="370"/>
      <c r="D2" s="370"/>
      <c r="E2" s="370"/>
      <c r="F2" s="370"/>
      <c r="G2" s="370"/>
      <c r="H2" s="370"/>
      <c r="I2" s="370"/>
      <c r="J2" s="370"/>
      <c r="K2" s="370"/>
    </row>
    <row r="3" spans="1:11" ht="14.25" customHeight="1" x14ac:dyDescent="0.25">
      <c r="A3" s="370" t="s">
        <v>426</v>
      </c>
      <c r="B3" s="370"/>
      <c r="C3" s="370"/>
      <c r="D3" s="370"/>
      <c r="E3" s="370"/>
      <c r="F3" s="370"/>
      <c r="G3" s="370"/>
      <c r="H3" s="370"/>
      <c r="I3" s="370"/>
      <c r="J3" s="370"/>
      <c r="K3" s="370"/>
    </row>
    <row r="4" spans="1:11" ht="8.25" customHeight="1" x14ac:dyDescent="0.25">
      <c r="A4" s="142"/>
      <c r="B4" s="142"/>
      <c r="C4" s="142"/>
      <c r="D4" s="142"/>
      <c r="E4" s="142"/>
      <c r="F4" s="142"/>
      <c r="G4" s="142"/>
      <c r="H4" s="142"/>
      <c r="I4" s="142"/>
    </row>
    <row r="5" spans="1:11" ht="13.5" customHeight="1" x14ac:dyDescent="0.25">
      <c r="A5" s="398" t="s">
        <v>1</v>
      </c>
      <c r="B5" s="398"/>
      <c r="C5" s="398"/>
      <c r="D5" s="398"/>
      <c r="E5" s="398"/>
      <c r="F5" s="398"/>
      <c r="G5" s="398"/>
      <c r="H5" s="398"/>
      <c r="I5" s="398"/>
    </row>
    <row r="6" spans="1:11" ht="3.75" customHeight="1" x14ac:dyDescent="0.25"/>
    <row r="7" spans="1:11" s="59" customFormat="1" ht="16.5" customHeight="1" x14ac:dyDescent="0.25">
      <c r="A7" s="59" t="s">
        <v>2</v>
      </c>
      <c r="F7" s="111" t="s">
        <v>217</v>
      </c>
    </row>
    <row r="8" spans="1:11" s="59" customFormat="1" x14ac:dyDescent="0.25">
      <c r="A8" s="59" t="s">
        <v>3</v>
      </c>
      <c r="F8" s="239" t="s">
        <v>218</v>
      </c>
    </row>
    <row r="9" spans="1:11" s="59" customFormat="1" x14ac:dyDescent="0.25">
      <c r="A9" s="372" t="s">
        <v>8</v>
      </c>
      <c r="B9" s="372"/>
      <c r="C9" s="372"/>
      <c r="D9" s="372"/>
      <c r="E9" s="372"/>
      <c r="F9" s="372"/>
      <c r="G9" s="372"/>
      <c r="H9" s="372"/>
      <c r="I9" s="372"/>
    </row>
    <row r="10" spans="1:11" s="59" customFormat="1" x14ac:dyDescent="0.25">
      <c r="A10" s="372" t="s">
        <v>9</v>
      </c>
      <c r="B10" s="372"/>
      <c r="C10" s="372"/>
      <c r="D10" s="372"/>
      <c r="E10" s="372"/>
      <c r="F10" s="372"/>
      <c r="G10" s="372"/>
      <c r="H10" s="372"/>
      <c r="I10" s="372"/>
    </row>
    <row r="11" spans="1:11" s="59" customFormat="1" x14ac:dyDescent="0.25">
      <c r="A11" s="372" t="s">
        <v>10</v>
      </c>
      <c r="B11" s="372"/>
      <c r="C11" s="372"/>
      <c r="D11" s="372"/>
      <c r="E11" s="372"/>
      <c r="F11" s="372"/>
      <c r="G11" s="372"/>
      <c r="H11" s="372"/>
      <c r="I11" s="372"/>
    </row>
    <row r="12" spans="1:11" s="59" customFormat="1" ht="6" customHeight="1" thickBot="1" x14ac:dyDescent="0.3">
      <c r="A12" s="60"/>
      <c r="B12" s="60"/>
      <c r="C12" s="60"/>
      <c r="D12" s="38"/>
      <c r="E12" s="58"/>
      <c r="F12" s="58"/>
      <c r="G12" s="58"/>
      <c r="H12" s="54"/>
      <c r="I12" s="54"/>
    </row>
    <row r="13" spans="1:11" s="59" customFormat="1" ht="15.75" thickBot="1" x14ac:dyDescent="0.3">
      <c r="A13" s="55" t="s">
        <v>381</v>
      </c>
      <c r="B13" s="56"/>
      <c r="C13" s="56"/>
      <c r="D13" s="61"/>
      <c r="E13" s="62"/>
      <c r="F13" s="62"/>
      <c r="G13" s="129">
        <f>'[1]Суворова 9'!$G$34</f>
        <v>31409.127000000022</v>
      </c>
      <c r="H13" s="54"/>
      <c r="I13" s="54"/>
    </row>
    <row r="14" spans="1:11" s="59" customFormat="1" ht="6.75" customHeight="1" x14ac:dyDescent="0.25"/>
    <row r="15" spans="1:11" s="66" customFormat="1" ht="52.5" customHeight="1" x14ac:dyDescent="0.25">
      <c r="A15" s="64" t="s">
        <v>11</v>
      </c>
      <c r="B15" s="64" t="s">
        <v>12</v>
      </c>
      <c r="C15" s="64" t="s">
        <v>61</v>
      </c>
      <c r="D15" s="64" t="s">
        <v>432</v>
      </c>
      <c r="E15" s="64" t="s">
        <v>433</v>
      </c>
      <c r="F15" s="65" t="s">
        <v>434</v>
      </c>
      <c r="G15" s="64" t="s">
        <v>435</v>
      </c>
    </row>
    <row r="16" spans="1:11" s="59" customFormat="1" x14ac:dyDescent="0.25">
      <c r="A16" s="67" t="s">
        <v>14</v>
      </c>
      <c r="B16" s="39" t="s">
        <v>379</v>
      </c>
      <c r="C16" s="120">
        <v>23.01</v>
      </c>
      <c r="D16" s="68">
        <v>1323471.1200000001</v>
      </c>
      <c r="E16" s="68">
        <v>1351846.69</v>
      </c>
      <c r="F16" s="68">
        <f t="shared" ref="F16:F23" si="0">D16</f>
        <v>1323471.1200000001</v>
      </c>
      <c r="G16" s="69">
        <f>D16-E16</f>
        <v>-28375.569999999832</v>
      </c>
      <c r="H16" s="70">
        <f>C16</f>
        <v>23.01</v>
      </c>
    </row>
    <row r="17" spans="1:13" s="59" customFormat="1" hidden="1" outlineLevel="1" x14ac:dyDescent="0.25">
      <c r="A17" s="73" t="s">
        <v>16</v>
      </c>
      <c r="B17" s="34" t="s">
        <v>17</v>
      </c>
      <c r="C17" s="89">
        <v>3.46</v>
      </c>
      <c r="D17" s="75">
        <f>D16*I17</f>
        <v>199009.56432855281</v>
      </c>
      <c r="E17" s="75">
        <f>E16*I17</f>
        <v>203276.38189482832</v>
      </c>
      <c r="F17" s="75">
        <f t="shared" si="0"/>
        <v>199009.56432855281</v>
      </c>
      <c r="G17" s="76">
        <f>D17-E17</f>
        <v>-4266.8175662755093</v>
      </c>
      <c r="H17" s="70">
        <f>C17</f>
        <v>3.46</v>
      </c>
      <c r="I17" s="59">
        <f>H17/H16</f>
        <v>0.15036940460669274</v>
      </c>
    </row>
    <row r="18" spans="1:13" s="59" customFormat="1" hidden="1" outlineLevel="1" x14ac:dyDescent="0.25">
      <c r="A18" s="73" t="s">
        <v>18</v>
      </c>
      <c r="B18" s="34" t="s">
        <v>19</v>
      </c>
      <c r="C18" s="89">
        <v>1.69</v>
      </c>
      <c r="D18" s="75">
        <f>D16*I18</f>
        <v>97204.093559322035</v>
      </c>
      <c r="E18" s="75">
        <f>E16*I18</f>
        <v>99288.174971751389</v>
      </c>
      <c r="F18" s="75">
        <f t="shared" si="0"/>
        <v>97204.093559322035</v>
      </c>
      <c r="G18" s="76">
        <f>D18-E18</f>
        <v>-2084.0814124293538</v>
      </c>
      <c r="H18" s="70">
        <f>C18</f>
        <v>1.69</v>
      </c>
      <c r="I18" s="59">
        <f>H18/H16</f>
        <v>7.3446327683615809E-2</v>
      </c>
    </row>
    <row r="19" spans="1:13" s="59" customFormat="1" hidden="1" outlineLevel="1" x14ac:dyDescent="0.25">
      <c r="A19" s="73" t="s">
        <v>20</v>
      </c>
      <c r="B19" s="34" t="s">
        <v>21</v>
      </c>
      <c r="C19" s="89">
        <v>1.69</v>
      </c>
      <c r="D19" s="75">
        <f>D16*I19</f>
        <v>97204.093559322035</v>
      </c>
      <c r="E19" s="75">
        <f>E16*I19</f>
        <v>99288.174971751389</v>
      </c>
      <c r="F19" s="75">
        <f t="shared" si="0"/>
        <v>97204.093559322035</v>
      </c>
      <c r="G19" s="76">
        <f>D19-E19</f>
        <v>-2084.0814124293538</v>
      </c>
      <c r="H19" s="70">
        <f>C19</f>
        <v>1.69</v>
      </c>
      <c r="I19" s="59">
        <f>H19/H16</f>
        <v>7.3446327683615809E-2</v>
      </c>
    </row>
    <row r="20" spans="1:13" s="59" customFormat="1" hidden="1" outlineLevel="1" x14ac:dyDescent="0.25">
      <c r="A20" s="73" t="s">
        <v>22</v>
      </c>
      <c r="B20" s="34" t="s">
        <v>23</v>
      </c>
      <c r="C20" s="89">
        <v>3.04</v>
      </c>
      <c r="D20" s="75">
        <f>D16*I20</f>
        <v>174852.33397653193</v>
      </c>
      <c r="E20" s="75">
        <f>E16*I20</f>
        <v>178601.21415036937</v>
      </c>
      <c r="F20" s="75">
        <f t="shared" si="0"/>
        <v>174852.33397653193</v>
      </c>
      <c r="G20" s="76">
        <f>D20-E20</f>
        <v>-3748.8801738374459</v>
      </c>
      <c r="H20" s="70">
        <f>C20</f>
        <v>3.04</v>
      </c>
      <c r="I20" s="59">
        <f>H20/H16</f>
        <v>0.13211647109952193</v>
      </c>
    </row>
    <row r="21" spans="1:13" collapsed="1" x14ac:dyDescent="0.25">
      <c r="A21" s="39" t="s">
        <v>25</v>
      </c>
      <c r="B21" s="78" t="s">
        <v>145</v>
      </c>
      <c r="C21" s="357">
        <v>120</v>
      </c>
      <c r="D21" s="69">
        <v>0</v>
      </c>
      <c r="E21" s="69">
        <v>10901.44</v>
      </c>
      <c r="F21" s="69">
        <f t="shared" si="0"/>
        <v>0</v>
      </c>
      <c r="G21" s="69">
        <f t="shared" ref="G21:G30" si="1">D21-E21</f>
        <v>-10901.44</v>
      </c>
      <c r="I21" s="274"/>
    </row>
    <row r="22" spans="1:13" x14ac:dyDescent="0.25">
      <c r="A22" s="39" t="s">
        <v>27</v>
      </c>
      <c r="B22" s="125" t="s">
        <v>28</v>
      </c>
      <c r="C22" s="126">
        <v>0</v>
      </c>
      <c r="D22" s="69">
        <v>0</v>
      </c>
      <c r="E22" s="69">
        <v>0</v>
      </c>
      <c r="F22" s="69">
        <f t="shared" si="0"/>
        <v>0</v>
      </c>
      <c r="G22" s="69">
        <f t="shared" si="1"/>
        <v>0</v>
      </c>
    </row>
    <row r="23" spans="1:13" x14ac:dyDescent="0.25">
      <c r="A23" s="39" t="s">
        <v>29</v>
      </c>
      <c r="B23" s="125" t="s">
        <v>97</v>
      </c>
      <c r="C23" s="357">
        <v>0</v>
      </c>
      <c r="D23" s="69">
        <v>0</v>
      </c>
      <c r="E23" s="69">
        <v>0</v>
      </c>
      <c r="F23" s="69">
        <f t="shared" si="0"/>
        <v>0</v>
      </c>
      <c r="G23" s="69">
        <f t="shared" si="1"/>
        <v>0</v>
      </c>
    </row>
    <row r="24" spans="1:13" x14ac:dyDescent="0.25">
      <c r="A24" s="39" t="s">
        <v>31</v>
      </c>
      <c r="B24" s="125" t="s">
        <v>80</v>
      </c>
      <c r="C24" s="126">
        <v>2.2799999999999998</v>
      </c>
      <c r="D24" s="69">
        <v>131139.35999999999</v>
      </c>
      <c r="E24" s="69">
        <v>139866.32</v>
      </c>
      <c r="F24" s="79">
        <f>F39</f>
        <v>113750.78320000001</v>
      </c>
      <c r="G24" s="69">
        <f t="shared" si="1"/>
        <v>-8726.960000000021</v>
      </c>
      <c r="M24" s="144"/>
    </row>
    <row r="25" spans="1:13" x14ac:dyDescent="0.25">
      <c r="A25" s="39" t="s">
        <v>33</v>
      </c>
      <c r="B25" s="119" t="s">
        <v>34</v>
      </c>
      <c r="C25" s="120">
        <v>0</v>
      </c>
      <c r="D25" s="69">
        <v>0</v>
      </c>
      <c r="E25" s="69">
        <v>0</v>
      </c>
      <c r="F25" s="79">
        <v>0</v>
      </c>
      <c r="G25" s="69">
        <f t="shared" si="1"/>
        <v>0</v>
      </c>
    </row>
    <row r="26" spans="1:13" x14ac:dyDescent="0.25">
      <c r="A26" s="39" t="s">
        <v>35</v>
      </c>
      <c r="B26" s="119" t="s">
        <v>36</v>
      </c>
      <c r="C26" s="120"/>
      <c r="D26" s="69">
        <f>SUM(D27:D30)</f>
        <v>2983964.88</v>
      </c>
      <c r="E26" s="69">
        <f>SUM(E27:E30)</f>
        <v>2914495.4499999997</v>
      </c>
      <c r="F26" s="69">
        <f>SUM(F27:F30)</f>
        <v>2983964.88</v>
      </c>
      <c r="G26" s="69">
        <f t="shared" si="1"/>
        <v>69469.430000000168</v>
      </c>
    </row>
    <row r="27" spans="1:13" x14ac:dyDescent="0.25">
      <c r="A27" s="34" t="s">
        <v>37</v>
      </c>
      <c r="B27" s="34" t="s">
        <v>101</v>
      </c>
      <c r="C27" s="89">
        <v>7.36</v>
      </c>
      <c r="D27" s="76">
        <v>58467.6</v>
      </c>
      <c r="E27" s="76">
        <v>62157.36</v>
      </c>
      <c r="F27" s="76">
        <f>D27</f>
        <v>58467.6</v>
      </c>
      <c r="G27" s="76">
        <f t="shared" si="1"/>
        <v>-3689.760000000002</v>
      </c>
    </row>
    <row r="28" spans="1:13" x14ac:dyDescent="0.25">
      <c r="A28" s="34" t="s">
        <v>39</v>
      </c>
      <c r="B28" s="34" t="s">
        <v>84</v>
      </c>
      <c r="C28" s="89">
        <v>88.38</v>
      </c>
      <c r="D28" s="76">
        <v>1024137.84</v>
      </c>
      <c r="E28" s="76">
        <v>977406.71</v>
      </c>
      <c r="F28" s="76">
        <f>D28</f>
        <v>1024137.84</v>
      </c>
      <c r="G28" s="76">
        <f t="shared" si="1"/>
        <v>46731.130000000005</v>
      </c>
    </row>
    <row r="29" spans="1:13" x14ac:dyDescent="0.25">
      <c r="A29" s="34" t="s">
        <v>42</v>
      </c>
      <c r="B29" s="34" t="s">
        <v>135</v>
      </c>
      <c r="C29" s="128">
        <v>0</v>
      </c>
      <c r="D29" s="76">
        <v>0</v>
      </c>
      <c r="E29" s="76">
        <v>0</v>
      </c>
      <c r="F29" s="76">
        <f>D29</f>
        <v>0</v>
      </c>
      <c r="G29" s="76">
        <f t="shared" si="1"/>
        <v>0</v>
      </c>
    </row>
    <row r="30" spans="1:13" x14ac:dyDescent="0.25">
      <c r="A30" s="34" t="s">
        <v>41</v>
      </c>
      <c r="B30" s="34" t="s">
        <v>43</v>
      </c>
      <c r="C30" s="89">
        <v>3352.42</v>
      </c>
      <c r="D30" s="76">
        <v>1901359.44</v>
      </c>
      <c r="E30" s="76">
        <v>1874931.38</v>
      </c>
      <c r="F30" s="76">
        <f>D30</f>
        <v>1901359.44</v>
      </c>
      <c r="G30" s="76">
        <f t="shared" si="1"/>
        <v>26428.060000000056</v>
      </c>
    </row>
    <row r="31" spans="1:13" ht="15.75" customHeight="1" thickBot="1" x14ac:dyDescent="0.3">
      <c r="A31" s="373"/>
      <c r="B31" s="374"/>
      <c r="C31" s="374"/>
      <c r="D31" s="375"/>
      <c r="E31" s="375"/>
      <c r="F31" s="375"/>
      <c r="G31" s="155"/>
    </row>
    <row r="32" spans="1:13" s="92" customFormat="1" ht="14.25" thickBot="1" x14ac:dyDescent="0.3">
      <c r="A32" s="387" t="s">
        <v>427</v>
      </c>
      <c r="B32" s="388"/>
      <c r="C32" s="388"/>
      <c r="D32" s="57">
        <v>21465.46</v>
      </c>
      <c r="E32" s="58"/>
      <c r="F32" s="58"/>
      <c r="G32" s="58"/>
      <c r="H32" s="91"/>
      <c r="I32" s="91"/>
      <c r="J32" s="91"/>
    </row>
    <row r="33" spans="1:9" s="59" customFormat="1" ht="5.25" customHeight="1" thickBot="1" x14ac:dyDescent="0.3">
      <c r="A33" s="60"/>
      <c r="B33" s="60"/>
      <c r="C33" s="60"/>
      <c r="D33" s="38"/>
      <c r="E33" s="58"/>
      <c r="F33" s="58"/>
      <c r="G33" s="58"/>
      <c r="H33" s="54"/>
      <c r="I33" s="54"/>
    </row>
    <row r="34" spans="1:9" s="59" customFormat="1" ht="15.75" thickBot="1" x14ac:dyDescent="0.3">
      <c r="A34" s="55" t="s">
        <v>428</v>
      </c>
      <c r="B34" s="56"/>
      <c r="C34" s="56"/>
      <c r="D34" s="61"/>
      <c r="E34" s="62"/>
      <c r="F34" s="62"/>
      <c r="G34" s="129">
        <f>G13+E24-F24</f>
        <v>57524.663800000038</v>
      </c>
      <c r="H34" s="54"/>
      <c r="I34" s="54"/>
    </row>
    <row r="35" spans="1:9" s="59" customFormat="1" x14ac:dyDescent="0.25">
      <c r="A35" s="60"/>
      <c r="B35" s="60"/>
      <c r="C35" s="60"/>
      <c r="D35" s="38"/>
      <c r="E35" s="58"/>
      <c r="F35" s="58"/>
      <c r="G35" s="38"/>
      <c r="H35" s="54"/>
      <c r="I35" s="54"/>
    </row>
    <row r="36" spans="1:9" ht="24.75" customHeight="1" x14ac:dyDescent="0.25">
      <c r="A36" s="485" t="s">
        <v>44</v>
      </c>
      <c r="B36" s="485"/>
      <c r="C36" s="485"/>
      <c r="D36" s="485"/>
      <c r="E36" s="485"/>
      <c r="F36" s="485"/>
      <c r="G36" s="485"/>
      <c r="H36" s="485"/>
      <c r="I36" s="485"/>
    </row>
    <row r="37" spans="1:9" ht="3" customHeight="1" x14ac:dyDescent="0.25"/>
    <row r="38" spans="1:9" s="156" customFormat="1" ht="28.5" customHeight="1" x14ac:dyDescent="0.25">
      <c r="A38" s="94" t="s">
        <v>11</v>
      </c>
      <c r="B38" s="416" t="s">
        <v>45</v>
      </c>
      <c r="C38" s="425"/>
      <c r="D38" s="94" t="s">
        <v>99</v>
      </c>
      <c r="E38" s="94" t="s">
        <v>98</v>
      </c>
      <c r="F38" s="416" t="s">
        <v>46</v>
      </c>
      <c r="G38" s="425"/>
    </row>
    <row r="39" spans="1:9" s="103" customFormat="1" ht="13.5" customHeight="1" x14ac:dyDescent="0.25">
      <c r="A39" s="98" t="s">
        <v>47</v>
      </c>
      <c r="B39" s="418" t="s">
        <v>75</v>
      </c>
      <c r="C39" s="430"/>
      <c r="D39" s="99"/>
      <c r="E39" s="99"/>
      <c r="F39" s="436">
        <f>SUM(F40:L44)</f>
        <v>113750.78320000001</v>
      </c>
      <c r="G39" s="424"/>
    </row>
    <row r="40" spans="1:9" ht="25.5" customHeight="1" x14ac:dyDescent="0.25">
      <c r="A40" s="34" t="s">
        <v>16</v>
      </c>
      <c r="B40" s="406" t="s">
        <v>499</v>
      </c>
      <c r="C40" s="431"/>
      <c r="D40" s="176" t="s">
        <v>137</v>
      </c>
      <c r="E40" s="176">
        <v>4.4999999999999998E-2</v>
      </c>
      <c r="F40" s="435">
        <v>16250.97</v>
      </c>
      <c r="G40" s="435"/>
    </row>
    <row r="41" spans="1:9" ht="13.5" customHeight="1" x14ac:dyDescent="0.25">
      <c r="A41" s="34" t="s">
        <v>18</v>
      </c>
      <c r="B41" s="406" t="s">
        <v>500</v>
      </c>
      <c r="C41" s="431"/>
      <c r="D41" s="351" t="s">
        <v>100</v>
      </c>
      <c r="E41" s="352">
        <v>36</v>
      </c>
      <c r="F41" s="466">
        <v>41614.32</v>
      </c>
      <c r="G41" s="467"/>
    </row>
    <row r="42" spans="1:9" s="320" customFormat="1" x14ac:dyDescent="0.25">
      <c r="A42" s="34" t="s">
        <v>20</v>
      </c>
      <c r="B42" s="510" t="s">
        <v>501</v>
      </c>
      <c r="C42" s="511"/>
      <c r="D42" s="351" t="s">
        <v>137</v>
      </c>
      <c r="E42" s="352">
        <v>0.5</v>
      </c>
      <c r="F42" s="466">
        <v>38513.440000000002</v>
      </c>
      <c r="G42" s="467"/>
    </row>
    <row r="43" spans="1:9" s="320" customFormat="1" x14ac:dyDescent="0.25">
      <c r="A43" s="34" t="s">
        <v>22</v>
      </c>
      <c r="B43" s="510" t="s">
        <v>619</v>
      </c>
      <c r="C43" s="512"/>
      <c r="D43" s="351" t="s">
        <v>541</v>
      </c>
      <c r="E43" s="366">
        <v>5.2499999999999998E-2</v>
      </c>
      <c r="F43" s="466">
        <v>15973.39</v>
      </c>
      <c r="G43" s="467"/>
    </row>
    <row r="44" spans="1:9" s="59" customFormat="1" x14ac:dyDescent="0.25">
      <c r="A44" s="34" t="s">
        <v>24</v>
      </c>
      <c r="B44" s="133" t="s">
        <v>108</v>
      </c>
      <c r="C44" s="134"/>
      <c r="D44" s="105"/>
      <c r="E44" s="105"/>
      <c r="F44" s="435">
        <f>E24*1%</f>
        <v>1398.6632000000002</v>
      </c>
      <c r="G44" s="435"/>
      <c r="H44" s="35"/>
      <c r="I44" s="35"/>
    </row>
    <row r="45" spans="1:9" s="59" customFormat="1" ht="12.75" customHeight="1" x14ac:dyDescent="0.25"/>
    <row r="46" spans="1:9" s="59" customFormat="1" x14ac:dyDescent="0.25">
      <c r="A46" s="51" t="s">
        <v>372</v>
      </c>
      <c r="C46" s="59" t="s">
        <v>49</v>
      </c>
      <c r="F46" s="59" t="s">
        <v>60</v>
      </c>
    </row>
    <row r="47" spans="1:9" s="59" customFormat="1" x14ac:dyDescent="0.25">
      <c r="F47" s="111" t="s">
        <v>438</v>
      </c>
    </row>
    <row r="48" spans="1:9" x14ac:dyDescent="0.25">
      <c r="A48" s="59" t="s">
        <v>50</v>
      </c>
      <c r="B48" s="59"/>
      <c r="C48" s="59"/>
      <c r="D48" s="59"/>
      <c r="E48" s="59"/>
      <c r="F48" s="59"/>
      <c r="G48" s="59"/>
      <c r="H48" s="59"/>
      <c r="I48" s="59"/>
    </row>
    <row r="49" spans="1:9" x14ac:dyDescent="0.25">
      <c r="A49" s="59"/>
      <c r="B49" s="59"/>
      <c r="C49" s="113" t="s">
        <v>51</v>
      </c>
      <c r="D49" s="59"/>
      <c r="E49" s="113"/>
      <c r="F49" s="113"/>
      <c r="G49" s="113"/>
      <c r="H49" s="59"/>
      <c r="I49" s="59"/>
    </row>
  </sheetData>
  <mergeCells count="23">
    <mergeCell ref="A31:F31"/>
    <mergeCell ref="A36:I36"/>
    <mergeCell ref="F38:G38"/>
    <mergeCell ref="A32:C32"/>
    <mergeCell ref="B38:C38"/>
    <mergeCell ref="B39:C39"/>
    <mergeCell ref="F39:G39"/>
    <mergeCell ref="A1:I1"/>
    <mergeCell ref="A5:I5"/>
    <mergeCell ref="A9:I9"/>
    <mergeCell ref="A3:K3"/>
    <mergeCell ref="A11:I11"/>
    <mergeCell ref="A10:I10"/>
    <mergeCell ref="A2:K2"/>
    <mergeCell ref="F40:G40"/>
    <mergeCell ref="F44:G44"/>
    <mergeCell ref="B41:C41"/>
    <mergeCell ref="F41:G41"/>
    <mergeCell ref="B42:C42"/>
    <mergeCell ref="F42:G42"/>
    <mergeCell ref="F43:G43"/>
    <mergeCell ref="B43:C43"/>
    <mergeCell ref="B40:C40"/>
  </mergeCells>
  <phoneticPr fontId="14" type="noConversion"/>
  <pageMargins left="0" right="0" top="0" bottom="0" header="0.31496062992125984" footer="0.31496062992125984"/>
  <pageSetup paperSize="9" scale="99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777757-AEF5-4E96-89E4-BE35058C1254}">
  <sheetPr>
    <tabColor rgb="FF7030A0"/>
  </sheetPr>
  <dimension ref="A1:M52"/>
  <sheetViews>
    <sheetView topLeftCell="A34" zoomScaleNormal="100" workbookViewId="0">
      <selection activeCell="A54" sqref="A54:IV55"/>
    </sheetView>
  </sheetViews>
  <sheetFormatPr defaultRowHeight="15" outlineLevelRow="1" outlineLevelCol="1" x14ac:dyDescent="0.25"/>
  <cols>
    <col min="1" max="1" width="4.7109375" style="35" customWidth="1"/>
    <col min="2" max="2" width="49.28515625" style="35" customWidth="1"/>
    <col min="3" max="3" width="13.140625" style="35" customWidth="1"/>
    <col min="4" max="4" width="12.85546875" style="35" customWidth="1"/>
    <col min="5" max="5" width="13.140625" style="35" customWidth="1"/>
    <col min="6" max="6" width="12.85546875" style="35" customWidth="1"/>
    <col min="7" max="7" width="13.7109375" style="35" customWidth="1"/>
    <col min="8" max="8" width="10.85546875" style="35" hidden="1" customWidth="1" outlineLevel="1"/>
    <col min="9" max="9" width="13.42578125" style="35" hidden="1" customWidth="1" outlineLevel="1"/>
    <col min="10" max="11" width="9.140625" style="35" hidden="1" customWidth="1" outlineLevel="1"/>
    <col min="12" max="12" width="0.7109375" style="35" hidden="1" customWidth="1" outlineLevel="1"/>
    <col min="13" max="13" width="9.42578125" style="35" bestFit="1" customWidth="1" collapsed="1"/>
    <col min="14" max="16384" width="9.140625" style="35"/>
  </cols>
  <sheetData>
    <row r="1" spans="1:11" x14ac:dyDescent="0.25">
      <c r="A1" s="397" t="s">
        <v>0</v>
      </c>
      <c r="B1" s="397"/>
      <c r="C1" s="397"/>
      <c r="D1" s="397"/>
      <c r="E1" s="397"/>
      <c r="F1" s="397"/>
      <c r="G1" s="397"/>
      <c r="H1" s="397"/>
      <c r="I1" s="397"/>
    </row>
    <row r="2" spans="1:11" ht="15" customHeight="1" x14ac:dyDescent="0.25">
      <c r="A2" s="370" t="s">
        <v>152</v>
      </c>
      <c r="B2" s="370"/>
      <c r="C2" s="370"/>
      <c r="D2" s="370"/>
      <c r="E2" s="370"/>
      <c r="F2" s="370"/>
      <c r="G2" s="370"/>
      <c r="H2" s="370"/>
      <c r="I2" s="370"/>
      <c r="J2" s="370"/>
      <c r="K2" s="370"/>
    </row>
    <row r="3" spans="1:11" ht="12.75" customHeight="1" x14ac:dyDescent="0.25">
      <c r="A3" s="370" t="s">
        <v>426</v>
      </c>
      <c r="B3" s="370"/>
      <c r="C3" s="370"/>
      <c r="D3" s="370"/>
      <c r="E3" s="370"/>
      <c r="F3" s="370"/>
      <c r="G3" s="370"/>
      <c r="H3" s="370"/>
      <c r="I3" s="370"/>
      <c r="J3" s="370"/>
      <c r="K3" s="370"/>
    </row>
    <row r="4" spans="1:11" ht="6" customHeight="1" x14ac:dyDescent="0.25">
      <c r="A4" s="142"/>
      <c r="B4" s="142"/>
      <c r="C4" s="142"/>
      <c r="D4" s="142"/>
      <c r="E4" s="142"/>
      <c r="F4" s="142"/>
      <c r="G4" s="142"/>
      <c r="H4" s="142"/>
      <c r="I4" s="142"/>
    </row>
    <row r="5" spans="1:11" ht="15" customHeight="1" x14ac:dyDescent="0.25">
      <c r="A5" s="398" t="s">
        <v>1</v>
      </c>
      <c r="B5" s="397"/>
      <c r="C5" s="397"/>
      <c r="D5" s="397"/>
      <c r="E5" s="397"/>
      <c r="F5" s="397"/>
      <c r="G5" s="397"/>
      <c r="H5" s="397"/>
      <c r="I5" s="397"/>
    </row>
    <row r="6" spans="1:11" ht="4.5" customHeight="1" x14ac:dyDescent="0.25"/>
    <row r="7" spans="1:11" s="59" customFormat="1" ht="16.5" customHeight="1" x14ac:dyDescent="0.25">
      <c r="A7" s="59" t="s">
        <v>2</v>
      </c>
      <c r="F7" s="52" t="s">
        <v>219</v>
      </c>
    </row>
    <row r="8" spans="1:11" s="59" customFormat="1" x14ac:dyDescent="0.25">
      <c r="A8" s="59" t="s">
        <v>3</v>
      </c>
      <c r="F8" s="239" t="s">
        <v>220</v>
      </c>
      <c r="I8" s="180">
        <v>91.7</v>
      </c>
      <c r="J8" s="180">
        <v>270.5</v>
      </c>
      <c r="K8" s="180">
        <f>I8+J8</f>
        <v>362.2</v>
      </c>
    </row>
    <row r="9" spans="1:11" s="59" customFormat="1" ht="13.5" customHeight="1" x14ac:dyDescent="0.25">
      <c r="B9" s="59" t="s">
        <v>252</v>
      </c>
      <c r="F9" s="239" t="s">
        <v>259</v>
      </c>
    </row>
    <row r="10" spans="1:11" s="59" customFormat="1" x14ac:dyDescent="0.25">
      <c r="A10" s="372" t="s">
        <v>8</v>
      </c>
      <c r="B10" s="372"/>
      <c r="C10" s="372"/>
      <c r="D10" s="372"/>
      <c r="E10" s="372"/>
      <c r="F10" s="372"/>
      <c r="G10" s="372"/>
      <c r="H10" s="372"/>
      <c r="I10" s="372"/>
    </row>
    <row r="11" spans="1:11" s="59" customFormat="1" x14ac:dyDescent="0.25">
      <c r="A11" s="372" t="s">
        <v>9</v>
      </c>
      <c r="B11" s="372"/>
      <c r="C11" s="372"/>
      <c r="D11" s="372"/>
      <c r="E11" s="372"/>
      <c r="F11" s="372"/>
      <c r="G11" s="372"/>
      <c r="H11" s="372"/>
      <c r="I11" s="372"/>
    </row>
    <row r="12" spans="1:11" s="59" customFormat="1" x14ac:dyDescent="0.25">
      <c r="A12" s="372" t="s">
        <v>10</v>
      </c>
      <c r="B12" s="372"/>
      <c r="C12" s="372"/>
      <c r="D12" s="372"/>
      <c r="E12" s="372"/>
      <c r="F12" s="372"/>
      <c r="G12" s="372"/>
      <c r="H12" s="372"/>
      <c r="I12" s="372"/>
    </row>
    <row r="13" spans="1:11" s="59" customFormat="1" ht="6" customHeight="1" thickBot="1" x14ac:dyDescent="0.3">
      <c r="A13" s="60"/>
      <c r="B13" s="60"/>
      <c r="C13" s="60"/>
      <c r="D13" s="38"/>
      <c r="E13" s="58"/>
      <c r="F13" s="58"/>
      <c r="G13" s="58"/>
      <c r="H13" s="54"/>
      <c r="I13" s="54"/>
    </row>
    <row r="14" spans="1:11" s="59" customFormat="1" ht="15.75" thickBot="1" x14ac:dyDescent="0.3">
      <c r="A14" s="55"/>
      <c r="B14" s="55" t="s">
        <v>381</v>
      </c>
      <c r="C14" s="56"/>
      <c r="D14" s="56"/>
      <c r="E14" s="61"/>
      <c r="F14" s="62"/>
      <c r="G14" s="129">
        <f>'[1]Суворова 93 дробь 26'!$G$35</f>
        <v>-7002.8110000000024</v>
      </c>
      <c r="H14" s="54"/>
      <c r="I14" s="54"/>
    </row>
    <row r="15" spans="1:11" s="59" customFormat="1" ht="6.75" customHeight="1" x14ac:dyDescent="0.25"/>
    <row r="16" spans="1:11" s="66" customFormat="1" ht="38.25" x14ac:dyDescent="0.25">
      <c r="A16" s="64" t="s">
        <v>11</v>
      </c>
      <c r="B16" s="64" t="s">
        <v>12</v>
      </c>
      <c r="C16" s="64" t="s">
        <v>61</v>
      </c>
      <c r="D16" s="64" t="s">
        <v>432</v>
      </c>
      <c r="E16" s="64" t="s">
        <v>433</v>
      </c>
      <c r="F16" s="65" t="s">
        <v>434</v>
      </c>
      <c r="G16" s="64" t="s">
        <v>435</v>
      </c>
    </row>
    <row r="17" spans="1:13" s="59" customFormat="1" x14ac:dyDescent="0.25">
      <c r="A17" s="67" t="s">
        <v>14</v>
      </c>
      <c r="B17" s="39" t="s">
        <v>379</v>
      </c>
      <c r="C17" s="120">
        <v>20.66</v>
      </c>
      <c r="D17" s="68">
        <v>61349.4</v>
      </c>
      <c r="E17" s="68">
        <v>52059.19</v>
      </c>
      <c r="F17" s="68">
        <f>D17</f>
        <v>61349.4</v>
      </c>
      <c r="G17" s="69">
        <f>D17-E17</f>
        <v>9290.2099999999991</v>
      </c>
      <c r="H17" s="70">
        <f>C17</f>
        <v>20.66</v>
      </c>
    </row>
    <row r="18" spans="1:13" s="59" customFormat="1" hidden="1" outlineLevel="1" x14ac:dyDescent="0.25">
      <c r="A18" s="73" t="s">
        <v>16</v>
      </c>
      <c r="B18" s="34" t="s">
        <v>17</v>
      </c>
      <c r="C18" s="89">
        <v>3.46</v>
      </c>
      <c r="D18" s="75">
        <f>D17*I18</f>
        <v>10274.391287512102</v>
      </c>
      <c r="E18" s="75">
        <f>E17*I18</f>
        <v>8718.5284317521782</v>
      </c>
      <c r="F18" s="75">
        <f t="shared" ref="F18:F24" si="0">D18</f>
        <v>10274.391287512102</v>
      </c>
      <c r="G18" s="76">
        <f>D18-E18</f>
        <v>1555.8628557599241</v>
      </c>
      <c r="H18" s="70">
        <f>C18</f>
        <v>3.46</v>
      </c>
      <c r="I18" s="59">
        <f>H18/H17</f>
        <v>0.16747337850919652</v>
      </c>
    </row>
    <row r="19" spans="1:13" s="59" customFormat="1" hidden="1" outlineLevel="1" x14ac:dyDescent="0.25">
      <c r="A19" s="73" t="s">
        <v>18</v>
      </c>
      <c r="B19" s="34" t="s">
        <v>19</v>
      </c>
      <c r="C19" s="89">
        <v>1.69</v>
      </c>
      <c r="D19" s="75">
        <f>D17*I19</f>
        <v>5018.4165537270082</v>
      </c>
      <c r="E19" s="75">
        <f>E17*I19</f>
        <v>4258.4719796708614</v>
      </c>
      <c r="F19" s="75">
        <f t="shared" si="0"/>
        <v>5018.4165537270082</v>
      </c>
      <c r="G19" s="76">
        <f>D19-E19</f>
        <v>759.94457405614685</v>
      </c>
      <c r="H19" s="70">
        <f>C19</f>
        <v>1.69</v>
      </c>
      <c r="I19" s="59">
        <f>H19/H17</f>
        <v>8.1800580832526615E-2</v>
      </c>
    </row>
    <row r="20" spans="1:13" s="59" customFormat="1" hidden="1" outlineLevel="1" x14ac:dyDescent="0.25">
      <c r="A20" s="73" t="s">
        <v>20</v>
      </c>
      <c r="B20" s="34" t="s">
        <v>21</v>
      </c>
      <c r="C20" s="89">
        <v>1.69</v>
      </c>
      <c r="D20" s="75">
        <f>D17*I20</f>
        <v>5018.4165537270082</v>
      </c>
      <c r="E20" s="75">
        <f>E17*I20</f>
        <v>4258.4719796708614</v>
      </c>
      <c r="F20" s="75">
        <f t="shared" si="0"/>
        <v>5018.4165537270082</v>
      </c>
      <c r="G20" s="76">
        <f>D20-E20</f>
        <v>759.94457405614685</v>
      </c>
      <c r="H20" s="70">
        <f>C20</f>
        <v>1.69</v>
      </c>
      <c r="I20" s="59">
        <f>H20/H17</f>
        <v>8.1800580832526615E-2</v>
      </c>
    </row>
    <row r="21" spans="1:13" s="59" customFormat="1" hidden="1" outlineLevel="1" x14ac:dyDescent="0.25">
      <c r="A21" s="73" t="s">
        <v>22</v>
      </c>
      <c r="B21" s="34" t="s">
        <v>23</v>
      </c>
      <c r="C21" s="89">
        <v>3.04</v>
      </c>
      <c r="D21" s="75">
        <f>D17*I21</f>
        <v>9027.2108422071633</v>
      </c>
      <c r="E21" s="75">
        <f>E17*I21</f>
        <v>7660.2099515972895</v>
      </c>
      <c r="F21" s="75">
        <f t="shared" si="0"/>
        <v>9027.2108422071633</v>
      </c>
      <c r="G21" s="76">
        <f>D21-E21</f>
        <v>1367.0008906098737</v>
      </c>
      <c r="H21" s="70">
        <f>C21</f>
        <v>3.04</v>
      </c>
      <c r="I21" s="59">
        <f>H21/H17</f>
        <v>0.14714424007744434</v>
      </c>
    </row>
    <row r="22" spans="1:13" collapsed="1" x14ac:dyDescent="0.25">
      <c r="A22" s="39" t="s">
        <v>25</v>
      </c>
      <c r="B22" s="125" t="s">
        <v>28</v>
      </c>
      <c r="C22" s="126">
        <v>0</v>
      </c>
      <c r="D22" s="69">
        <v>0</v>
      </c>
      <c r="E22" s="69">
        <v>0</v>
      </c>
      <c r="F22" s="69">
        <f t="shared" si="0"/>
        <v>0</v>
      </c>
      <c r="G22" s="69">
        <f t="shared" ref="G22:G32" si="1">D22-E22</f>
        <v>0</v>
      </c>
    </row>
    <row r="23" spans="1:13" x14ac:dyDescent="0.25">
      <c r="A23" s="39" t="s">
        <v>27</v>
      </c>
      <c r="B23" s="78" t="s">
        <v>145</v>
      </c>
      <c r="C23" s="126">
        <v>0</v>
      </c>
      <c r="D23" s="69">
        <v>0</v>
      </c>
      <c r="E23" s="69">
        <v>0</v>
      </c>
      <c r="F23" s="69">
        <f t="shared" si="0"/>
        <v>0</v>
      </c>
      <c r="G23" s="69">
        <f t="shared" si="1"/>
        <v>0</v>
      </c>
    </row>
    <row r="24" spans="1:13" x14ac:dyDescent="0.25">
      <c r="A24" s="39" t="s">
        <v>29</v>
      </c>
      <c r="B24" s="125" t="s">
        <v>97</v>
      </c>
      <c r="C24" s="357">
        <v>0</v>
      </c>
      <c r="D24" s="69">
        <v>0</v>
      </c>
      <c r="E24" s="69">
        <v>0</v>
      </c>
      <c r="F24" s="69">
        <f t="shared" si="0"/>
        <v>0</v>
      </c>
      <c r="G24" s="69">
        <f t="shared" si="1"/>
        <v>0</v>
      </c>
    </row>
    <row r="25" spans="1:13" x14ac:dyDescent="0.25">
      <c r="A25" s="39" t="s">
        <v>31</v>
      </c>
      <c r="B25" s="125" t="s">
        <v>80</v>
      </c>
      <c r="C25" s="126">
        <v>2.04</v>
      </c>
      <c r="D25" s="69">
        <f>6621.84+D26</f>
        <v>8866.66</v>
      </c>
      <c r="E25" s="69">
        <f>5644.96+E26</f>
        <v>8450.98</v>
      </c>
      <c r="F25" s="79">
        <f>F42</f>
        <v>35289.9398</v>
      </c>
      <c r="G25" s="69">
        <f t="shared" si="1"/>
        <v>415.68000000000029</v>
      </c>
      <c r="M25" s="144"/>
    </row>
    <row r="26" spans="1:13" x14ac:dyDescent="0.25">
      <c r="A26" s="39"/>
      <c r="B26" s="292" t="s">
        <v>244</v>
      </c>
      <c r="C26" s="293"/>
      <c r="D26" s="294">
        <v>2244.8200000000002</v>
      </c>
      <c r="E26" s="294">
        <v>2806.02</v>
      </c>
      <c r="F26" s="294"/>
      <c r="G26" s="248"/>
      <c r="M26" s="144"/>
    </row>
    <row r="27" spans="1:13" x14ac:dyDescent="0.25">
      <c r="A27" s="39" t="s">
        <v>33</v>
      </c>
      <c r="B27" s="119" t="s">
        <v>34</v>
      </c>
      <c r="C27" s="120">
        <v>0</v>
      </c>
      <c r="D27" s="69">
        <v>0</v>
      </c>
      <c r="E27" s="69">
        <v>0</v>
      </c>
      <c r="F27" s="79">
        <v>0</v>
      </c>
      <c r="G27" s="69">
        <f t="shared" si="1"/>
        <v>0</v>
      </c>
    </row>
    <row r="28" spans="1:13" x14ac:dyDescent="0.25">
      <c r="A28" s="39" t="s">
        <v>35</v>
      </c>
      <c r="B28" s="119" t="s">
        <v>36</v>
      </c>
      <c r="C28" s="120"/>
      <c r="D28" s="69">
        <f>SUM(D29:D32)</f>
        <v>167575.31</v>
      </c>
      <c r="E28" s="69">
        <f>SUM(E29:E32)</f>
        <v>63517.97</v>
      </c>
      <c r="F28" s="69">
        <f>SUM(F29:F32)</f>
        <v>167575.31</v>
      </c>
      <c r="G28" s="69">
        <f t="shared" si="1"/>
        <v>104057.34</v>
      </c>
      <c r="M28" s="274"/>
    </row>
    <row r="29" spans="1:13" x14ac:dyDescent="0.25">
      <c r="A29" s="34" t="s">
        <v>37</v>
      </c>
      <c r="B29" s="34" t="s">
        <v>101</v>
      </c>
      <c r="C29" s="89">
        <v>7.36</v>
      </c>
      <c r="D29" s="76">
        <v>6949.47</v>
      </c>
      <c r="E29" s="76">
        <v>4373.32</v>
      </c>
      <c r="F29" s="76">
        <f>D29</f>
        <v>6949.47</v>
      </c>
      <c r="G29" s="76">
        <f t="shared" si="1"/>
        <v>2576.1500000000005</v>
      </c>
    </row>
    <row r="30" spans="1:13" x14ac:dyDescent="0.25">
      <c r="A30" s="34" t="s">
        <v>39</v>
      </c>
      <c r="B30" s="34" t="s">
        <v>84</v>
      </c>
      <c r="C30" s="89">
        <v>88.38</v>
      </c>
      <c r="D30" s="76">
        <v>160625.84</v>
      </c>
      <c r="E30" s="76">
        <v>59144.65</v>
      </c>
      <c r="F30" s="76">
        <f>D30</f>
        <v>160625.84</v>
      </c>
      <c r="G30" s="76">
        <f t="shared" si="1"/>
        <v>101481.19</v>
      </c>
    </row>
    <row r="31" spans="1:13" x14ac:dyDescent="0.25">
      <c r="A31" s="34" t="s">
        <v>42</v>
      </c>
      <c r="B31" s="34" t="s">
        <v>135</v>
      </c>
      <c r="C31" s="128">
        <v>0</v>
      </c>
      <c r="D31" s="76">
        <v>0</v>
      </c>
      <c r="E31" s="76">
        <v>0</v>
      </c>
      <c r="F31" s="76">
        <f>D31</f>
        <v>0</v>
      </c>
      <c r="G31" s="76">
        <f t="shared" si="1"/>
        <v>0</v>
      </c>
    </row>
    <row r="32" spans="1:13" x14ac:dyDescent="0.25">
      <c r="A32" s="34" t="s">
        <v>41</v>
      </c>
      <c r="B32" s="34" t="s">
        <v>43</v>
      </c>
      <c r="C32" s="89">
        <v>0</v>
      </c>
      <c r="D32" s="76">
        <v>0</v>
      </c>
      <c r="E32" s="76">
        <v>0</v>
      </c>
      <c r="F32" s="76">
        <f>D32</f>
        <v>0</v>
      </c>
      <c r="G32" s="76">
        <f t="shared" si="1"/>
        <v>0</v>
      </c>
    </row>
    <row r="33" spans="1:10" ht="15.75" customHeight="1" thickBot="1" x14ac:dyDescent="0.3">
      <c r="A33" s="373"/>
      <c r="B33" s="374"/>
      <c r="C33" s="374"/>
      <c r="D33" s="375"/>
      <c r="E33" s="375"/>
      <c r="F33" s="375"/>
      <c r="G33" s="155"/>
    </row>
    <row r="34" spans="1:10" s="92" customFormat="1" ht="14.25" thickBot="1" x14ac:dyDescent="0.3">
      <c r="A34" s="387" t="s">
        <v>427</v>
      </c>
      <c r="B34" s="388"/>
      <c r="C34" s="388"/>
      <c r="D34" s="57">
        <v>113763.23</v>
      </c>
      <c r="E34" s="58"/>
      <c r="F34" s="58"/>
      <c r="G34" s="58"/>
      <c r="H34" s="91"/>
      <c r="I34" s="91"/>
      <c r="J34" s="91"/>
    </row>
    <row r="35" spans="1:10" s="59" customFormat="1" ht="15.75" thickBot="1" x14ac:dyDescent="0.3">
      <c r="A35" s="55" t="s">
        <v>428</v>
      </c>
      <c r="B35" s="56"/>
      <c r="C35" s="56"/>
      <c r="D35" s="61"/>
      <c r="E35" s="62"/>
      <c r="F35" s="62"/>
      <c r="G35" s="129">
        <f>G14+E25-F25</f>
        <v>-33841.770800000006</v>
      </c>
      <c r="H35" s="54"/>
      <c r="I35" s="54"/>
    </row>
    <row r="36" spans="1:10" s="59" customFormat="1" x14ac:dyDescent="0.25">
      <c r="A36" s="392" t="s">
        <v>90</v>
      </c>
      <c r="B36" s="392"/>
      <c r="C36" s="60"/>
      <c r="D36" s="38"/>
      <c r="E36" s="58"/>
      <c r="F36" s="58"/>
      <c r="G36" s="38"/>
      <c r="H36" s="54"/>
      <c r="I36" s="54"/>
    </row>
    <row r="37" spans="1:10" s="59" customFormat="1" x14ac:dyDescent="0.25">
      <c r="A37" s="393" t="s">
        <v>91</v>
      </c>
      <c r="B37" s="394"/>
      <c r="C37" s="41" t="s">
        <v>92</v>
      </c>
      <c r="D37" s="41" t="s">
        <v>93</v>
      </c>
      <c r="E37" s="42" t="s">
        <v>94</v>
      </c>
      <c r="F37" s="40" t="s">
        <v>95</v>
      </c>
      <c r="G37" s="42" t="s">
        <v>96</v>
      </c>
      <c r="H37" s="54"/>
      <c r="I37" s="54"/>
    </row>
    <row r="38" spans="1:10" s="59" customFormat="1" x14ac:dyDescent="0.25">
      <c r="A38" s="395"/>
      <c r="B38" s="396"/>
      <c r="C38" s="305">
        <v>91.7</v>
      </c>
      <c r="D38" s="138">
        <f>E38/C38/12</f>
        <v>22.700000000000003</v>
      </c>
      <c r="E38" s="73">
        <v>24979.08</v>
      </c>
      <c r="F38" s="75">
        <v>23113.89</v>
      </c>
      <c r="G38" s="138">
        <f>E38-F38</f>
        <v>1865.1900000000023</v>
      </c>
      <c r="H38" s="335">
        <f>C17+C25</f>
        <v>22.7</v>
      </c>
      <c r="I38" s="54">
        <f>C38*H38*3</f>
        <v>6244.77</v>
      </c>
    </row>
    <row r="39" spans="1:10" s="59" customFormat="1" ht="24.75" customHeight="1" x14ac:dyDescent="0.25">
      <c r="A39" s="485" t="s">
        <v>44</v>
      </c>
      <c r="B39" s="485"/>
      <c r="C39" s="485"/>
      <c r="D39" s="485"/>
      <c r="E39" s="485"/>
      <c r="F39" s="485"/>
      <c r="G39" s="485"/>
      <c r="H39" s="485"/>
      <c r="I39" s="485"/>
    </row>
    <row r="41" spans="1:10" ht="28.5" x14ac:dyDescent="0.25">
      <c r="A41" s="94" t="s">
        <v>11</v>
      </c>
      <c r="B41" s="416" t="s">
        <v>45</v>
      </c>
      <c r="C41" s="425"/>
      <c r="D41" s="94" t="s">
        <v>99</v>
      </c>
      <c r="E41" s="94" t="s">
        <v>98</v>
      </c>
      <c r="F41" s="416" t="s">
        <v>46</v>
      </c>
      <c r="G41" s="425"/>
      <c r="H41" s="156"/>
      <c r="I41" s="156"/>
    </row>
    <row r="42" spans="1:10" s="156" customFormat="1" x14ac:dyDescent="0.25">
      <c r="A42" s="98" t="s">
        <v>47</v>
      </c>
      <c r="B42" s="418" t="s">
        <v>75</v>
      </c>
      <c r="C42" s="430"/>
      <c r="D42" s="99"/>
      <c r="E42" s="99"/>
      <c r="F42" s="436">
        <f>SUM(F43:G46)</f>
        <v>35289.9398</v>
      </c>
      <c r="G42" s="424"/>
      <c r="H42" s="103"/>
      <c r="I42" s="103"/>
    </row>
    <row r="43" spans="1:10" s="156" customFormat="1" x14ac:dyDescent="0.25">
      <c r="A43" s="181" t="s">
        <v>16</v>
      </c>
      <c r="B43" s="406" t="s">
        <v>502</v>
      </c>
      <c r="C43" s="431"/>
      <c r="D43" s="176" t="s">
        <v>100</v>
      </c>
      <c r="E43" s="176">
        <v>1</v>
      </c>
      <c r="F43" s="435">
        <v>27205.43</v>
      </c>
      <c r="G43" s="435"/>
      <c r="H43" s="103"/>
      <c r="I43" s="103"/>
    </row>
    <row r="44" spans="1:10" s="156" customFormat="1" x14ac:dyDescent="0.25">
      <c r="A44" s="181" t="s">
        <v>18</v>
      </c>
      <c r="B44" s="401" t="s">
        <v>412</v>
      </c>
      <c r="C44" s="432"/>
      <c r="D44" s="182" t="s">
        <v>100</v>
      </c>
      <c r="E44" s="350">
        <v>1</v>
      </c>
      <c r="F44" s="499">
        <v>8000</v>
      </c>
      <c r="G44" s="500"/>
      <c r="H44" s="103"/>
      <c r="I44" s="103"/>
    </row>
    <row r="45" spans="1:10" s="156" customFormat="1" x14ac:dyDescent="0.25">
      <c r="A45" s="181" t="s">
        <v>20</v>
      </c>
      <c r="B45" s="461"/>
      <c r="C45" s="462"/>
      <c r="D45" s="269"/>
      <c r="E45" s="270"/>
      <c r="F45" s="501"/>
      <c r="G45" s="513"/>
      <c r="H45" s="103"/>
      <c r="I45" s="103"/>
    </row>
    <row r="46" spans="1:10" x14ac:dyDescent="0.25">
      <c r="A46" s="181" t="s">
        <v>22</v>
      </c>
      <c r="B46" s="133" t="s">
        <v>108</v>
      </c>
      <c r="C46" s="134"/>
      <c r="D46" s="105"/>
      <c r="E46" s="105"/>
      <c r="F46" s="439">
        <f>E25*1%</f>
        <v>84.509799999999998</v>
      </c>
      <c r="G46" s="439"/>
    </row>
    <row r="47" spans="1:10" s="59" customFormat="1" x14ac:dyDescent="0.25"/>
    <row r="48" spans="1:10" s="59" customFormat="1" ht="13.5" customHeight="1" x14ac:dyDescent="0.25">
      <c r="A48" s="51" t="s">
        <v>372</v>
      </c>
      <c r="C48" s="59" t="s">
        <v>49</v>
      </c>
      <c r="F48" s="59" t="s">
        <v>60</v>
      </c>
    </row>
    <row r="49" spans="1:7" s="59" customFormat="1" ht="13.5" customHeight="1" x14ac:dyDescent="0.25">
      <c r="F49" s="111" t="s">
        <v>438</v>
      </c>
    </row>
    <row r="50" spans="1:7" s="59" customFormat="1" ht="11.25" customHeight="1" x14ac:dyDescent="0.25">
      <c r="A50" s="59" t="s">
        <v>50</v>
      </c>
    </row>
    <row r="51" spans="1:7" s="59" customFormat="1" x14ac:dyDescent="0.25">
      <c r="C51" s="113" t="s">
        <v>51</v>
      </c>
      <c r="E51" s="113"/>
      <c r="F51" s="113"/>
      <c r="G51" s="113"/>
    </row>
    <row r="52" spans="1:7" s="59" customFormat="1" x14ac:dyDescent="0.25"/>
  </sheetData>
  <mergeCells count="23">
    <mergeCell ref="A1:I1"/>
    <mergeCell ref="A5:I5"/>
    <mergeCell ref="A10:I10"/>
    <mergeCell ref="A3:K3"/>
    <mergeCell ref="A12:I12"/>
    <mergeCell ref="F41:G41"/>
    <mergeCell ref="F46:G46"/>
    <mergeCell ref="A2:K2"/>
    <mergeCell ref="A11:I11"/>
    <mergeCell ref="A39:I39"/>
    <mergeCell ref="A34:C34"/>
    <mergeCell ref="B41:C41"/>
    <mergeCell ref="B45:C45"/>
    <mergeCell ref="F45:G45"/>
    <mergeCell ref="F44:G44"/>
    <mergeCell ref="B44:C44"/>
    <mergeCell ref="A33:F33"/>
    <mergeCell ref="A36:B36"/>
    <mergeCell ref="A37:B38"/>
    <mergeCell ref="F43:G43"/>
    <mergeCell ref="F42:G42"/>
    <mergeCell ref="B42:C42"/>
    <mergeCell ref="B43:C43"/>
  </mergeCells>
  <phoneticPr fontId="14" type="noConversion"/>
  <pageMargins left="0" right="0" top="0" bottom="0" header="0.31496062992125984" footer="0.31496062992125984"/>
  <pageSetup paperSize="9" scale="98" orientation="portrait" verticalDpi="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09E208-D3D0-4773-B8EC-31261BCC2308}">
  <sheetPr>
    <tabColor rgb="FF7030A0"/>
  </sheetPr>
  <dimension ref="A1:P54"/>
  <sheetViews>
    <sheetView topLeftCell="A34" zoomScaleNormal="100" workbookViewId="0">
      <selection activeCell="A57" sqref="A57:IV58"/>
    </sheetView>
  </sheetViews>
  <sheetFormatPr defaultRowHeight="15" outlineLevelRow="1" outlineLevelCol="1" x14ac:dyDescent="0.25"/>
  <cols>
    <col min="1" max="1" width="4.7109375" style="35" customWidth="1"/>
    <col min="2" max="2" width="48.42578125" style="35" customWidth="1"/>
    <col min="3" max="3" width="13.140625" style="35" customWidth="1"/>
    <col min="4" max="4" width="13.7109375" style="35" customWidth="1"/>
    <col min="5" max="5" width="12.7109375" style="35" customWidth="1"/>
    <col min="6" max="6" width="13.42578125" style="35" customWidth="1"/>
    <col min="7" max="7" width="13.7109375" style="35" customWidth="1"/>
    <col min="8" max="8" width="10.85546875" style="35" hidden="1" customWidth="1" outlineLevel="1"/>
    <col min="9" max="9" width="13.42578125" style="35" hidden="1" customWidth="1" outlineLevel="1"/>
    <col min="10" max="12" width="9.140625" style="35" hidden="1" customWidth="1" outlineLevel="1"/>
    <col min="13" max="13" width="9.140625" style="35" collapsed="1"/>
    <col min="14" max="16384" width="9.140625" style="35"/>
  </cols>
  <sheetData>
    <row r="1" spans="1:11" x14ac:dyDescent="0.25">
      <c r="A1" s="397" t="s">
        <v>0</v>
      </c>
      <c r="B1" s="397"/>
      <c r="C1" s="397"/>
      <c r="D1" s="397"/>
      <c r="E1" s="397"/>
      <c r="F1" s="397"/>
      <c r="G1" s="397"/>
      <c r="H1" s="397"/>
      <c r="I1" s="397"/>
    </row>
    <row r="2" spans="1:11" ht="15" customHeight="1" x14ac:dyDescent="0.25">
      <c r="A2" s="370" t="s">
        <v>152</v>
      </c>
      <c r="B2" s="370"/>
      <c r="C2" s="370"/>
      <c r="D2" s="370"/>
      <c r="E2" s="370"/>
      <c r="F2" s="370"/>
      <c r="G2" s="370"/>
      <c r="H2" s="370"/>
      <c r="I2" s="370"/>
      <c r="J2" s="370"/>
      <c r="K2" s="370"/>
    </row>
    <row r="3" spans="1:11" ht="14.25" customHeight="1" x14ac:dyDescent="0.25">
      <c r="A3" s="370" t="s">
        <v>426</v>
      </c>
      <c r="B3" s="370"/>
      <c r="C3" s="370"/>
      <c r="D3" s="370"/>
      <c r="E3" s="370"/>
      <c r="F3" s="370"/>
      <c r="G3" s="370"/>
      <c r="H3" s="370"/>
      <c r="I3" s="370"/>
      <c r="J3" s="370"/>
      <c r="K3" s="370"/>
    </row>
    <row r="4" spans="1:11" ht="5.25" customHeight="1" x14ac:dyDescent="0.25">
      <c r="A4" s="142"/>
      <c r="B4" s="142"/>
      <c r="C4" s="142"/>
      <c r="D4" s="142"/>
      <c r="E4" s="142"/>
      <c r="F4" s="142"/>
      <c r="G4" s="142"/>
      <c r="H4" s="142"/>
      <c r="I4" s="142"/>
    </row>
    <row r="5" spans="1:11" ht="17.25" customHeight="1" x14ac:dyDescent="0.25">
      <c r="A5" s="398" t="s">
        <v>1</v>
      </c>
      <c r="B5" s="397"/>
      <c r="C5" s="397"/>
      <c r="D5" s="397"/>
      <c r="E5" s="397"/>
      <c r="F5" s="397"/>
      <c r="G5" s="397"/>
      <c r="H5" s="397"/>
      <c r="I5" s="397"/>
    </row>
    <row r="6" spans="1:11" ht="4.5" customHeight="1" x14ac:dyDescent="0.25"/>
    <row r="7" spans="1:11" s="59" customFormat="1" ht="16.5" customHeight="1" x14ac:dyDescent="0.25">
      <c r="A7" s="59" t="s">
        <v>2</v>
      </c>
      <c r="F7" s="111" t="s">
        <v>221</v>
      </c>
    </row>
    <row r="8" spans="1:11" s="59" customFormat="1" x14ac:dyDescent="0.25">
      <c r="A8" s="59" t="s">
        <v>3</v>
      </c>
      <c r="F8" s="239" t="s">
        <v>222</v>
      </c>
      <c r="I8" s="247">
        <v>30.5</v>
      </c>
      <c r="J8" s="247">
        <v>3327.4</v>
      </c>
      <c r="K8" s="281">
        <f>I8+J8</f>
        <v>3357.9</v>
      </c>
    </row>
    <row r="9" spans="1:11" s="59" customFormat="1" ht="15" customHeight="1" x14ac:dyDescent="0.25">
      <c r="B9" s="59" t="s">
        <v>252</v>
      </c>
      <c r="F9" s="239" t="s">
        <v>260</v>
      </c>
    </row>
    <row r="10" spans="1:11" s="59" customFormat="1" x14ac:dyDescent="0.25">
      <c r="A10" s="372" t="s">
        <v>8</v>
      </c>
      <c r="B10" s="372"/>
      <c r="C10" s="372"/>
      <c r="D10" s="372"/>
      <c r="E10" s="372"/>
      <c r="F10" s="372"/>
      <c r="G10" s="372"/>
      <c r="H10" s="372"/>
      <c r="I10" s="372"/>
    </row>
    <row r="11" spans="1:11" s="59" customFormat="1" x14ac:dyDescent="0.25">
      <c r="A11" s="372" t="s">
        <v>9</v>
      </c>
      <c r="B11" s="372"/>
      <c r="C11" s="372"/>
      <c r="D11" s="372"/>
      <c r="E11" s="372"/>
      <c r="F11" s="372"/>
      <c r="G11" s="372"/>
      <c r="H11" s="372"/>
      <c r="I11" s="372"/>
    </row>
    <row r="12" spans="1:11" s="59" customFormat="1" x14ac:dyDescent="0.25">
      <c r="A12" s="372" t="s">
        <v>10</v>
      </c>
      <c r="B12" s="372"/>
      <c r="C12" s="372"/>
      <c r="D12" s="372"/>
      <c r="E12" s="372"/>
      <c r="F12" s="372"/>
      <c r="G12" s="372"/>
      <c r="H12" s="372"/>
      <c r="I12" s="372"/>
    </row>
    <row r="13" spans="1:11" s="59" customFormat="1" ht="6" customHeight="1" thickBot="1" x14ac:dyDescent="0.3">
      <c r="A13" s="60"/>
      <c r="B13" s="60"/>
      <c r="C13" s="60"/>
      <c r="D13" s="38"/>
      <c r="E13" s="58"/>
      <c r="F13" s="58"/>
      <c r="G13" s="58"/>
      <c r="H13" s="54"/>
      <c r="I13" s="54"/>
    </row>
    <row r="14" spans="1:11" s="59" customFormat="1" ht="15.75" thickBot="1" x14ac:dyDescent="0.3">
      <c r="A14" s="55" t="s">
        <v>381</v>
      </c>
      <c r="B14" s="56"/>
      <c r="C14" s="56"/>
      <c r="D14" s="61"/>
      <c r="E14" s="62"/>
      <c r="F14" s="62"/>
      <c r="G14" s="129">
        <f>'[1]Суворова 95'!$G$36</f>
        <v>-160325.78220000002</v>
      </c>
      <c r="H14" s="54"/>
      <c r="I14" s="54"/>
    </row>
    <row r="15" spans="1:11" s="59" customFormat="1" ht="6.75" customHeight="1" x14ac:dyDescent="0.25"/>
    <row r="16" spans="1:11" s="66" customFormat="1" ht="38.25" x14ac:dyDescent="0.25">
      <c r="A16" s="64" t="s">
        <v>11</v>
      </c>
      <c r="B16" s="64" t="s">
        <v>12</v>
      </c>
      <c r="C16" s="64" t="s">
        <v>61</v>
      </c>
      <c r="D16" s="64" t="s">
        <v>432</v>
      </c>
      <c r="E16" s="64" t="s">
        <v>433</v>
      </c>
      <c r="F16" s="65" t="s">
        <v>434</v>
      </c>
      <c r="G16" s="64" t="s">
        <v>435</v>
      </c>
    </row>
    <row r="17" spans="1:16" s="59" customFormat="1" ht="16.5" customHeight="1" x14ac:dyDescent="0.25">
      <c r="A17" s="67" t="s">
        <v>14</v>
      </c>
      <c r="B17" s="39" t="s">
        <v>379</v>
      </c>
      <c r="C17" s="120">
        <v>23.01</v>
      </c>
      <c r="D17" s="68">
        <v>918761.76</v>
      </c>
      <c r="E17" s="68">
        <v>901261.55</v>
      </c>
      <c r="F17" s="68">
        <f t="shared" ref="F17:F24" si="0">D17</f>
        <v>918761.76</v>
      </c>
      <c r="G17" s="69">
        <f>D17-E17</f>
        <v>17500.209999999963</v>
      </c>
      <c r="H17" s="130">
        <f>C17</f>
        <v>23.01</v>
      </c>
      <c r="P17" s="187"/>
    </row>
    <row r="18" spans="1:16" s="59" customFormat="1" hidden="1" outlineLevel="1" x14ac:dyDescent="0.25">
      <c r="A18" s="73" t="s">
        <v>16</v>
      </c>
      <c r="B18" s="34" t="s">
        <v>17</v>
      </c>
      <c r="C18" s="89">
        <v>3.46</v>
      </c>
      <c r="D18" s="75">
        <f>D17*I18</f>
        <v>138153.65882659712</v>
      </c>
      <c r="E18" s="75">
        <f>E17*I18</f>
        <v>135522.16266840504</v>
      </c>
      <c r="F18" s="75">
        <f t="shared" si="0"/>
        <v>138153.65882659712</v>
      </c>
      <c r="G18" s="76">
        <f>D18-E18</f>
        <v>2631.4961581920797</v>
      </c>
      <c r="H18" s="130">
        <f>C18</f>
        <v>3.46</v>
      </c>
      <c r="I18" s="59">
        <f>H18/H17</f>
        <v>0.15036940460669274</v>
      </c>
    </row>
    <row r="19" spans="1:16" s="59" customFormat="1" hidden="1" outlineLevel="1" x14ac:dyDescent="0.25">
      <c r="A19" s="73" t="s">
        <v>18</v>
      </c>
      <c r="B19" s="34" t="s">
        <v>19</v>
      </c>
      <c r="C19" s="89">
        <v>1.69</v>
      </c>
      <c r="D19" s="75">
        <f>D17*I19</f>
        <v>67479.677288135586</v>
      </c>
      <c r="E19" s="75">
        <f>E17*I19</f>
        <v>66194.35112994349</v>
      </c>
      <c r="F19" s="75">
        <f t="shared" si="0"/>
        <v>67479.677288135586</v>
      </c>
      <c r="G19" s="76">
        <f>D19-E19</f>
        <v>1285.326158192096</v>
      </c>
      <c r="H19" s="130">
        <f>C19</f>
        <v>1.69</v>
      </c>
      <c r="I19" s="59">
        <f>H19/H17</f>
        <v>7.3446327683615809E-2</v>
      </c>
    </row>
    <row r="20" spans="1:16" s="59" customFormat="1" hidden="1" outlineLevel="1" x14ac:dyDescent="0.25">
      <c r="A20" s="73" t="s">
        <v>20</v>
      </c>
      <c r="B20" s="34" t="s">
        <v>21</v>
      </c>
      <c r="C20" s="89">
        <v>1.69</v>
      </c>
      <c r="D20" s="75">
        <f>D17*I20</f>
        <v>67479.677288135586</v>
      </c>
      <c r="E20" s="75">
        <f>E17*I20</f>
        <v>66194.35112994349</v>
      </c>
      <c r="F20" s="75">
        <f t="shared" si="0"/>
        <v>67479.677288135586</v>
      </c>
      <c r="G20" s="76">
        <f>D20-E20</f>
        <v>1285.326158192096</v>
      </c>
      <c r="H20" s="130">
        <f>C20</f>
        <v>1.69</v>
      </c>
      <c r="I20" s="59">
        <f>H20/H17</f>
        <v>7.3446327683615809E-2</v>
      </c>
    </row>
    <row r="21" spans="1:16" s="59" customFormat="1" hidden="1" outlineLevel="1" x14ac:dyDescent="0.25">
      <c r="A21" s="73" t="s">
        <v>22</v>
      </c>
      <c r="B21" s="34" t="s">
        <v>23</v>
      </c>
      <c r="C21" s="89">
        <v>3.04</v>
      </c>
      <c r="D21" s="75">
        <f>D17*I21</f>
        <v>121383.5615123859</v>
      </c>
      <c r="E21" s="75">
        <f>E17*I21</f>
        <v>119071.49552368534</v>
      </c>
      <c r="F21" s="75">
        <f t="shared" si="0"/>
        <v>121383.5615123859</v>
      </c>
      <c r="G21" s="76">
        <f>D21-E21</f>
        <v>2312.0659887005604</v>
      </c>
      <c r="H21" s="130">
        <f>C21</f>
        <v>3.04</v>
      </c>
      <c r="I21" s="59">
        <f>H21/H17</f>
        <v>0.13211647109952193</v>
      </c>
    </row>
    <row r="22" spans="1:16" collapsed="1" x14ac:dyDescent="0.25">
      <c r="A22" s="39" t="s">
        <v>25</v>
      </c>
      <c r="B22" s="175" t="s">
        <v>121</v>
      </c>
      <c r="C22" s="46">
        <v>125</v>
      </c>
      <c r="D22" s="69">
        <v>0</v>
      </c>
      <c r="E22" s="69">
        <v>514.24</v>
      </c>
      <c r="F22" s="69">
        <f t="shared" si="0"/>
        <v>0</v>
      </c>
      <c r="G22" s="69">
        <f t="shared" ref="G22:G32" si="1">D22-E22</f>
        <v>-514.24</v>
      </c>
      <c r="H22" s="35">
        <v>0</v>
      </c>
      <c r="I22" s="274"/>
    </row>
    <row r="23" spans="1:16" x14ac:dyDescent="0.25">
      <c r="A23" s="39" t="s">
        <v>27</v>
      </c>
      <c r="B23" s="125" t="s">
        <v>28</v>
      </c>
      <c r="C23" s="87">
        <v>0</v>
      </c>
      <c r="D23" s="69">
        <v>0</v>
      </c>
      <c r="E23" s="69">
        <v>0</v>
      </c>
      <c r="F23" s="69">
        <f t="shared" si="0"/>
        <v>0</v>
      </c>
      <c r="G23" s="69">
        <f t="shared" si="1"/>
        <v>0</v>
      </c>
    </row>
    <row r="24" spans="1:16" x14ac:dyDescent="0.25">
      <c r="A24" s="39" t="s">
        <v>29</v>
      </c>
      <c r="B24" s="125" t="s">
        <v>97</v>
      </c>
      <c r="C24" s="357">
        <v>0</v>
      </c>
      <c r="D24" s="69">
        <v>0</v>
      </c>
      <c r="E24" s="69">
        <v>0</v>
      </c>
      <c r="F24" s="69">
        <f t="shared" si="0"/>
        <v>0</v>
      </c>
      <c r="G24" s="69">
        <f t="shared" si="1"/>
        <v>0</v>
      </c>
    </row>
    <row r="25" spans="1:16" x14ac:dyDescent="0.25">
      <c r="A25" s="39" t="s">
        <v>31</v>
      </c>
      <c r="B25" s="125" t="s">
        <v>80</v>
      </c>
      <c r="C25" s="87">
        <v>2.2799999999999998</v>
      </c>
      <c r="D25" s="69">
        <f>91037.04+D26</f>
        <v>91871.51999999999</v>
      </c>
      <c r="E25" s="69">
        <f>89602.33+E26</f>
        <v>90228.19</v>
      </c>
      <c r="F25" s="79">
        <f>F43</f>
        <v>76085.221900000004</v>
      </c>
      <c r="G25" s="69">
        <f t="shared" si="1"/>
        <v>1643.3299999999872</v>
      </c>
    </row>
    <row r="26" spans="1:16" x14ac:dyDescent="0.25">
      <c r="A26" s="39"/>
      <c r="B26" s="292" t="s">
        <v>244</v>
      </c>
      <c r="C26" s="293"/>
      <c r="D26" s="294">
        <v>834.48</v>
      </c>
      <c r="E26" s="294">
        <v>625.86</v>
      </c>
      <c r="F26" s="294"/>
      <c r="G26" s="248"/>
    </row>
    <row r="27" spans="1:16" x14ac:dyDescent="0.25">
      <c r="A27" s="39" t="s">
        <v>33</v>
      </c>
      <c r="B27" s="119" t="s">
        <v>34</v>
      </c>
      <c r="C27" s="43">
        <v>0</v>
      </c>
      <c r="D27" s="69">
        <v>0</v>
      </c>
      <c r="E27" s="69">
        <v>0</v>
      </c>
      <c r="F27" s="79">
        <v>0</v>
      </c>
      <c r="G27" s="69">
        <f t="shared" si="1"/>
        <v>0</v>
      </c>
    </row>
    <row r="28" spans="1:16" x14ac:dyDescent="0.25">
      <c r="A28" s="39" t="s">
        <v>35</v>
      </c>
      <c r="B28" s="119" t="s">
        <v>36</v>
      </c>
      <c r="C28" s="87"/>
      <c r="D28" s="69">
        <f>SUM(D29:D32)</f>
        <v>2132969.79</v>
      </c>
      <c r="E28" s="69">
        <f>SUM(E29:E32)</f>
        <v>2099945.42</v>
      </c>
      <c r="F28" s="69">
        <f>SUM(F29:F32)</f>
        <v>2132969.79</v>
      </c>
      <c r="G28" s="69">
        <f t="shared" si="1"/>
        <v>33024.370000000112</v>
      </c>
      <c r="M28" s="274"/>
    </row>
    <row r="29" spans="1:16" x14ac:dyDescent="0.25">
      <c r="A29" s="34" t="s">
        <v>37</v>
      </c>
      <c r="B29" s="34" t="s">
        <v>101</v>
      </c>
      <c r="C29" s="89">
        <v>7.36</v>
      </c>
      <c r="D29" s="76">
        <v>30284.25</v>
      </c>
      <c r="E29" s="76">
        <v>30626.58</v>
      </c>
      <c r="F29" s="76">
        <f>D29</f>
        <v>30284.25</v>
      </c>
      <c r="G29" s="76">
        <f t="shared" si="1"/>
        <v>-342.33000000000175</v>
      </c>
    </row>
    <row r="30" spans="1:16" x14ac:dyDescent="0.25">
      <c r="A30" s="34" t="s">
        <v>39</v>
      </c>
      <c r="B30" s="34" t="s">
        <v>84</v>
      </c>
      <c r="C30" s="89">
        <v>88.38</v>
      </c>
      <c r="D30" s="76">
        <v>644487.43000000005</v>
      </c>
      <c r="E30" s="76">
        <v>632056.16</v>
      </c>
      <c r="F30" s="76">
        <f>D30</f>
        <v>644487.43000000005</v>
      </c>
      <c r="G30" s="76">
        <f t="shared" si="1"/>
        <v>12431.270000000019</v>
      </c>
    </row>
    <row r="31" spans="1:16" x14ac:dyDescent="0.25">
      <c r="A31" s="34" t="s">
        <v>42</v>
      </c>
      <c r="B31" s="34" t="s">
        <v>40</v>
      </c>
      <c r="C31" s="128">
        <v>0</v>
      </c>
      <c r="D31" s="76">
        <v>0</v>
      </c>
      <c r="E31" s="76">
        <v>0</v>
      </c>
      <c r="F31" s="76">
        <f>D31</f>
        <v>0</v>
      </c>
      <c r="G31" s="76">
        <f t="shared" si="1"/>
        <v>0</v>
      </c>
    </row>
    <row r="32" spans="1:16" x14ac:dyDescent="0.25">
      <c r="A32" s="34" t="s">
        <v>41</v>
      </c>
      <c r="B32" s="34" t="s">
        <v>43</v>
      </c>
      <c r="C32" s="89">
        <v>3352.42</v>
      </c>
      <c r="D32" s="76">
        <v>1458198.11</v>
      </c>
      <c r="E32" s="76">
        <v>1437262.68</v>
      </c>
      <c r="F32" s="76">
        <f>D32</f>
        <v>1458198.11</v>
      </c>
      <c r="G32" s="76">
        <f t="shared" si="1"/>
        <v>20935.430000000168</v>
      </c>
      <c r="H32" s="91"/>
      <c r="I32" s="91"/>
    </row>
    <row r="33" spans="1:10" ht="15.75" customHeight="1" thickBot="1" x14ac:dyDescent="0.3">
      <c r="A33" s="373"/>
      <c r="B33" s="374"/>
      <c r="C33" s="374"/>
      <c r="D33" s="375"/>
      <c r="E33" s="375"/>
      <c r="F33" s="375"/>
      <c r="G33" s="155"/>
      <c r="H33" s="91"/>
      <c r="I33" s="91"/>
    </row>
    <row r="34" spans="1:10" s="92" customFormat="1" ht="14.25" thickBot="1" x14ac:dyDescent="0.3">
      <c r="A34" s="387" t="s">
        <v>445</v>
      </c>
      <c r="B34" s="388"/>
      <c r="C34" s="388"/>
      <c r="D34" s="57">
        <v>51653.67</v>
      </c>
      <c r="E34" s="58"/>
      <c r="F34" s="58"/>
      <c r="G34" s="58"/>
      <c r="H34" s="54"/>
      <c r="I34" s="54"/>
      <c r="J34" s="91"/>
    </row>
    <row r="35" spans="1:10" s="59" customFormat="1" ht="8.25" customHeight="1" thickBot="1" x14ac:dyDescent="0.3">
      <c r="A35" s="60"/>
      <c r="B35" s="60"/>
      <c r="C35" s="60"/>
      <c r="D35" s="38"/>
      <c r="E35" s="58"/>
      <c r="F35" s="58"/>
      <c r="G35" s="58"/>
      <c r="H35" s="54"/>
      <c r="I35" s="54"/>
    </row>
    <row r="36" spans="1:10" s="59" customFormat="1" ht="15.75" thickBot="1" x14ac:dyDescent="0.3">
      <c r="A36" s="55" t="s">
        <v>428</v>
      </c>
      <c r="B36" s="56"/>
      <c r="C36" s="56"/>
      <c r="D36" s="61"/>
      <c r="E36" s="62"/>
      <c r="F36" s="62"/>
      <c r="G36" s="129">
        <f>G14+E25-F25</f>
        <v>-146182.81410000002</v>
      </c>
      <c r="H36" s="54"/>
      <c r="I36" s="54"/>
    </row>
    <row r="37" spans="1:10" s="59" customFormat="1" x14ac:dyDescent="0.25">
      <c r="A37" s="514" t="s">
        <v>134</v>
      </c>
      <c r="B37" s="515"/>
      <c r="C37" s="93"/>
      <c r="D37" s="93"/>
      <c r="E37" s="91"/>
      <c r="F37" s="91"/>
      <c r="G37" s="91"/>
      <c r="H37" s="54"/>
      <c r="I37" s="54"/>
    </row>
    <row r="38" spans="1:10" s="59" customFormat="1" x14ac:dyDescent="0.25">
      <c r="A38" s="393" t="s">
        <v>91</v>
      </c>
      <c r="B38" s="394"/>
      <c r="C38" s="41" t="s">
        <v>92</v>
      </c>
      <c r="D38" s="41" t="s">
        <v>93</v>
      </c>
      <c r="E38" s="42" t="s">
        <v>94</v>
      </c>
      <c r="F38" s="40" t="s">
        <v>95</v>
      </c>
      <c r="G38" s="42" t="s">
        <v>96</v>
      </c>
      <c r="H38" s="54"/>
      <c r="I38" s="255"/>
    </row>
    <row r="39" spans="1:10" s="59" customFormat="1" x14ac:dyDescent="0.25">
      <c r="A39" s="395"/>
      <c r="B39" s="396"/>
      <c r="C39" s="305">
        <v>30.5</v>
      </c>
      <c r="D39" s="138">
        <f>E39/C39/12</f>
        <v>25.290163934426232</v>
      </c>
      <c r="E39" s="358">
        <v>9256.2000000000007</v>
      </c>
      <c r="F39" s="358">
        <v>6942.15</v>
      </c>
      <c r="G39" s="138">
        <f>E39-F39</f>
        <v>2314.0500000000011</v>
      </c>
      <c r="H39" s="337">
        <f>C17+C25</f>
        <v>25.290000000000003</v>
      </c>
      <c r="I39" s="282">
        <f>C39*H39*3</f>
        <v>2314.0349999999999</v>
      </c>
    </row>
    <row r="40" spans="1:10" s="59" customFormat="1" ht="31.5" customHeight="1" x14ac:dyDescent="0.25">
      <c r="A40" s="485" t="s">
        <v>44</v>
      </c>
      <c r="B40" s="485"/>
      <c r="C40" s="485"/>
      <c r="D40" s="485"/>
      <c r="E40" s="485"/>
      <c r="F40" s="485"/>
      <c r="G40" s="485"/>
      <c r="H40" s="489"/>
      <c r="I40" s="489"/>
    </row>
    <row r="42" spans="1:10" ht="28.5" x14ac:dyDescent="0.25">
      <c r="A42" s="94" t="s">
        <v>11</v>
      </c>
      <c r="B42" s="416" t="s">
        <v>45</v>
      </c>
      <c r="C42" s="425"/>
      <c r="D42" s="94" t="s">
        <v>99</v>
      </c>
      <c r="E42" s="94" t="s">
        <v>98</v>
      </c>
      <c r="F42" s="416" t="s">
        <v>46</v>
      </c>
      <c r="G42" s="425"/>
      <c r="H42" s="156"/>
      <c r="I42" s="156"/>
    </row>
    <row r="43" spans="1:10" s="156" customFormat="1" ht="28.5" customHeight="1" x14ac:dyDescent="0.25">
      <c r="A43" s="98" t="s">
        <v>47</v>
      </c>
      <c r="B43" s="418" t="s">
        <v>75</v>
      </c>
      <c r="C43" s="430"/>
      <c r="D43" s="99"/>
      <c r="E43" s="99"/>
      <c r="F43" s="436">
        <f>SUM(F44:G47)</f>
        <v>76085.221900000004</v>
      </c>
      <c r="G43" s="424"/>
      <c r="H43" s="103"/>
      <c r="I43" s="103"/>
    </row>
    <row r="44" spans="1:10" s="156" customFormat="1" x14ac:dyDescent="0.25">
      <c r="A44" s="124" t="s">
        <v>16</v>
      </c>
      <c r="B44" s="406" t="s">
        <v>503</v>
      </c>
      <c r="C44" s="431"/>
      <c r="D44" s="176" t="s">
        <v>100</v>
      </c>
      <c r="E44" s="176">
        <v>4</v>
      </c>
      <c r="F44" s="435">
        <v>42296.800000000003</v>
      </c>
      <c r="G44" s="435"/>
      <c r="H44" s="103"/>
      <c r="I44" s="103"/>
    </row>
    <row r="45" spans="1:10" s="156" customFormat="1" x14ac:dyDescent="0.25">
      <c r="A45" s="124" t="s">
        <v>18</v>
      </c>
      <c r="B45" s="406" t="s">
        <v>504</v>
      </c>
      <c r="C45" s="431"/>
      <c r="D45" s="105" t="s">
        <v>137</v>
      </c>
      <c r="E45" s="369">
        <v>0.24</v>
      </c>
      <c r="F45" s="439">
        <v>19078.599999999999</v>
      </c>
      <c r="G45" s="439"/>
      <c r="H45" s="103"/>
      <c r="I45" s="103"/>
    </row>
    <row r="46" spans="1:10" s="156" customFormat="1" x14ac:dyDescent="0.25">
      <c r="A46" s="124" t="s">
        <v>20</v>
      </c>
      <c r="B46" s="406" t="s">
        <v>505</v>
      </c>
      <c r="C46" s="431"/>
      <c r="D46" s="105" t="s">
        <v>100</v>
      </c>
      <c r="E46" s="369">
        <v>16</v>
      </c>
      <c r="F46" s="439">
        <v>13807.54</v>
      </c>
      <c r="G46" s="439"/>
      <c r="H46" s="103"/>
      <c r="I46" s="103"/>
    </row>
    <row r="47" spans="1:10" s="103" customFormat="1" ht="13.5" customHeight="1" x14ac:dyDescent="0.25">
      <c r="A47" s="124" t="s">
        <v>22</v>
      </c>
      <c r="B47" s="378" t="s">
        <v>108</v>
      </c>
      <c r="C47" s="415"/>
      <c r="D47" s="105"/>
      <c r="E47" s="105"/>
      <c r="F47" s="439">
        <f>E25*1%</f>
        <v>902.28190000000006</v>
      </c>
      <c r="G47" s="439"/>
      <c r="H47" s="35"/>
      <c r="I47" s="35"/>
    </row>
    <row r="48" spans="1:10" ht="13.5" customHeight="1" x14ac:dyDescent="0.25">
      <c r="A48" s="59"/>
      <c r="B48" s="353"/>
      <c r="C48" s="59"/>
      <c r="D48" s="59"/>
      <c r="E48" s="59"/>
      <c r="F48" s="59"/>
      <c r="G48" s="59"/>
      <c r="H48" s="59"/>
      <c r="I48" s="59"/>
    </row>
    <row r="49" spans="1:9" ht="13.5" customHeight="1" x14ac:dyDescent="0.25">
      <c r="A49" s="51" t="s">
        <v>372</v>
      </c>
      <c r="B49" s="59"/>
      <c r="C49" s="59" t="s">
        <v>49</v>
      </c>
      <c r="D49" s="59"/>
      <c r="E49" s="59"/>
      <c r="F49" s="59" t="s">
        <v>60</v>
      </c>
      <c r="G49" s="59"/>
      <c r="H49" s="59"/>
      <c r="I49" s="59"/>
    </row>
    <row r="50" spans="1:9" ht="13.5" customHeight="1" x14ac:dyDescent="0.25">
      <c r="A50" s="59"/>
      <c r="B50" s="59"/>
      <c r="C50" s="59"/>
      <c r="D50" s="59"/>
      <c r="E50" s="59"/>
      <c r="F50" s="111" t="s">
        <v>438</v>
      </c>
      <c r="G50" s="59"/>
      <c r="H50" s="59"/>
      <c r="I50" s="59"/>
    </row>
    <row r="51" spans="1:9" ht="13.5" customHeight="1" x14ac:dyDescent="0.25">
      <c r="A51" s="59" t="s">
        <v>50</v>
      </c>
      <c r="B51" s="59"/>
      <c r="C51" s="59"/>
      <c r="D51" s="59"/>
      <c r="E51" s="59"/>
      <c r="F51" s="59"/>
      <c r="G51" s="59"/>
      <c r="H51" s="59"/>
      <c r="I51" s="59"/>
    </row>
    <row r="52" spans="1:9" ht="13.5" customHeight="1" x14ac:dyDescent="0.25">
      <c r="A52" s="59"/>
      <c r="B52" s="59"/>
      <c r="C52" s="113" t="s">
        <v>51</v>
      </c>
      <c r="D52" s="59"/>
      <c r="E52" s="113"/>
      <c r="F52" s="113"/>
      <c r="G52" s="113"/>
      <c r="H52" s="59"/>
      <c r="I52" s="59"/>
    </row>
    <row r="53" spans="1:9" ht="6.75" customHeight="1" x14ac:dyDescent="0.25">
      <c r="B53" s="139"/>
      <c r="C53" s="139"/>
      <c r="D53" s="139"/>
      <c r="E53" s="139"/>
    </row>
    <row r="54" spans="1:9" s="59" customFormat="1" x14ac:dyDescent="0.25"/>
  </sheetData>
  <mergeCells count="24">
    <mergeCell ref="A37:B37"/>
    <mergeCell ref="F42:G42"/>
    <mergeCell ref="B46:C46"/>
    <mergeCell ref="F46:G46"/>
    <mergeCell ref="F44:G44"/>
    <mergeCell ref="A12:I12"/>
    <mergeCell ref="A34:C34"/>
    <mergeCell ref="F47:G47"/>
    <mergeCell ref="B43:C43"/>
    <mergeCell ref="A38:B39"/>
    <mergeCell ref="F43:G43"/>
    <mergeCell ref="A40:I40"/>
    <mergeCell ref="B45:C45"/>
    <mergeCell ref="B44:C44"/>
    <mergeCell ref="B47:C47"/>
    <mergeCell ref="F45:G45"/>
    <mergeCell ref="B42:C42"/>
    <mergeCell ref="A1:I1"/>
    <mergeCell ref="A5:I5"/>
    <mergeCell ref="A10:I10"/>
    <mergeCell ref="A3:K3"/>
    <mergeCell ref="A33:F33"/>
    <mergeCell ref="A2:K2"/>
    <mergeCell ref="A11:I11"/>
  </mergeCells>
  <phoneticPr fontId="14" type="noConversion"/>
  <pageMargins left="0" right="0" top="0" bottom="0" header="0.31496062992125984" footer="0.31496062992125984"/>
  <pageSetup paperSize="9" scale="94" orientation="portrait" verticalDpi="0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F6955D-DFBD-418A-A9C7-51B38B34BE52}">
  <sheetPr>
    <tabColor rgb="FF7030A0"/>
  </sheetPr>
  <dimension ref="A1:P53"/>
  <sheetViews>
    <sheetView topLeftCell="A34" zoomScaleNormal="100" workbookViewId="0">
      <selection activeCell="A55" sqref="A55:IV56"/>
    </sheetView>
  </sheetViews>
  <sheetFormatPr defaultRowHeight="15" outlineLevelRow="1" outlineLevelCol="1" x14ac:dyDescent="0.25"/>
  <cols>
    <col min="1" max="1" width="4.7109375" style="35" customWidth="1"/>
    <col min="2" max="2" width="48.42578125" style="35" customWidth="1"/>
    <col min="3" max="3" width="13.140625" style="35" customWidth="1"/>
    <col min="4" max="4" width="13.7109375" style="35" customWidth="1"/>
    <col min="5" max="5" width="12.7109375" style="35" customWidth="1"/>
    <col min="6" max="6" width="11.85546875" style="35" customWidth="1"/>
    <col min="7" max="7" width="13.7109375" style="35" customWidth="1"/>
    <col min="8" max="8" width="10.85546875" style="35" hidden="1" customWidth="1" outlineLevel="1"/>
    <col min="9" max="9" width="13.42578125" style="35" hidden="1" customWidth="1" outlineLevel="1"/>
    <col min="10" max="12" width="9.140625" style="35" hidden="1" customWidth="1" outlineLevel="1"/>
    <col min="13" max="13" width="11.140625" style="35" customWidth="1" collapsed="1"/>
    <col min="14" max="16384" width="9.140625" style="35"/>
  </cols>
  <sheetData>
    <row r="1" spans="1:11" x14ac:dyDescent="0.25">
      <c r="A1" s="397" t="s">
        <v>0</v>
      </c>
      <c r="B1" s="397"/>
      <c r="C1" s="397"/>
      <c r="D1" s="397"/>
      <c r="E1" s="397"/>
      <c r="F1" s="397"/>
      <c r="G1" s="397"/>
      <c r="H1" s="397"/>
      <c r="I1" s="397"/>
    </row>
    <row r="2" spans="1:11" ht="15" customHeight="1" x14ac:dyDescent="0.25">
      <c r="A2" s="370" t="s">
        <v>152</v>
      </c>
      <c r="B2" s="370"/>
      <c r="C2" s="370"/>
      <c r="D2" s="370"/>
      <c r="E2" s="370"/>
      <c r="F2" s="370"/>
      <c r="G2" s="370"/>
      <c r="H2" s="370"/>
      <c r="I2" s="370"/>
      <c r="J2" s="370"/>
      <c r="K2" s="370"/>
    </row>
    <row r="3" spans="1:11" ht="14.25" customHeight="1" x14ac:dyDescent="0.25">
      <c r="A3" s="370" t="s">
        <v>426</v>
      </c>
      <c r="B3" s="370"/>
      <c r="C3" s="370"/>
      <c r="D3" s="370"/>
      <c r="E3" s="370"/>
      <c r="F3" s="370"/>
      <c r="G3" s="370"/>
      <c r="H3" s="370"/>
      <c r="I3" s="370"/>
      <c r="J3" s="370"/>
      <c r="K3" s="370"/>
    </row>
    <row r="4" spans="1:11" ht="5.25" customHeight="1" x14ac:dyDescent="0.25">
      <c r="A4" s="142"/>
      <c r="B4" s="142"/>
      <c r="C4" s="142"/>
      <c r="D4" s="142"/>
      <c r="E4" s="142"/>
      <c r="F4" s="142"/>
      <c r="G4" s="142"/>
      <c r="H4" s="142"/>
      <c r="I4" s="142"/>
    </row>
    <row r="5" spans="1:11" ht="17.25" customHeight="1" x14ac:dyDescent="0.25">
      <c r="A5" s="398" t="s">
        <v>1</v>
      </c>
      <c r="B5" s="397"/>
      <c r="C5" s="397"/>
      <c r="D5" s="397"/>
      <c r="E5" s="397"/>
      <c r="F5" s="397"/>
      <c r="G5" s="397"/>
      <c r="H5" s="397"/>
      <c r="I5" s="397"/>
    </row>
    <row r="6" spans="1:11" ht="4.5" customHeight="1" x14ac:dyDescent="0.25"/>
    <row r="7" spans="1:11" s="59" customFormat="1" ht="16.5" customHeight="1" x14ac:dyDescent="0.25">
      <c r="A7" s="59" t="s">
        <v>2</v>
      </c>
      <c r="F7" s="111" t="s">
        <v>223</v>
      </c>
    </row>
    <row r="8" spans="1:11" s="59" customFormat="1" x14ac:dyDescent="0.25">
      <c r="A8" s="59" t="s">
        <v>3</v>
      </c>
      <c r="F8" s="239" t="s">
        <v>224</v>
      </c>
      <c r="I8" s="180">
        <f>272.4+41</f>
        <v>313.39999999999998</v>
      </c>
      <c r="J8" s="110">
        <v>1707.8</v>
      </c>
      <c r="K8" s="283">
        <f>I8+J8</f>
        <v>2021.1999999999998</v>
      </c>
    </row>
    <row r="9" spans="1:11" s="59" customFormat="1" ht="12.75" customHeight="1" x14ac:dyDescent="0.25">
      <c r="B9" s="59" t="s">
        <v>252</v>
      </c>
      <c r="F9" s="239" t="s">
        <v>261</v>
      </c>
    </row>
    <row r="10" spans="1:11" s="59" customFormat="1" x14ac:dyDescent="0.25">
      <c r="A10" s="372" t="s">
        <v>8</v>
      </c>
      <c r="B10" s="372"/>
      <c r="C10" s="372"/>
      <c r="D10" s="372"/>
      <c r="E10" s="372"/>
      <c r="F10" s="372"/>
      <c r="G10" s="372"/>
      <c r="H10" s="372"/>
      <c r="I10" s="372"/>
    </row>
    <row r="11" spans="1:11" s="59" customFormat="1" x14ac:dyDescent="0.25">
      <c r="A11" s="372" t="s">
        <v>9</v>
      </c>
      <c r="B11" s="372"/>
      <c r="C11" s="372"/>
      <c r="D11" s="372"/>
      <c r="E11" s="372"/>
      <c r="F11" s="372"/>
      <c r="G11" s="372"/>
      <c r="H11" s="372"/>
      <c r="I11" s="372"/>
    </row>
    <row r="12" spans="1:11" s="59" customFormat="1" x14ac:dyDescent="0.25">
      <c r="A12" s="372" t="s">
        <v>10</v>
      </c>
      <c r="B12" s="372"/>
      <c r="C12" s="372"/>
      <c r="D12" s="372"/>
      <c r="E12" s="372"/>
      <c r="F12" s="372"/>
      <c r="G12" s="372"/>
      <c r="H12" s="372"/>
      <c r="I12" s="372"/>
    </row>
    <row r="13" spans="1:11" s="59" customFormat="1" ht="6" customHeight="1" thickBot="1" x14ac:dyDescent="0.3">
      <c r="A13" s="60"/>
      <c r="B13" s="60"/>
      <c r="C13" s="60"/>
      <c r="D13" s="38"/>
      <c r="E13" s="58"/>
      <c r="F13" s="58"/>
      <c r="G13" s="58"/>
      <c r="H13" s="54"/>
      <c r="I13" s="54"/>
    </row>
    <row r="14" spans="1:11" s="59" customFormat="1" ht="15.75" thickBot="1" x14ac:dyDescent="0.3">
      <c r="A14" s="55"/>
      <c r="B14" s="55" t="s">
        <v>381</v>
      </c>
      <c r="C14" s="56"/>
      <c r="D14" s="56"/>
      <c r="E14" s="61"/>
      <c r="F14" s="62"/>
      <c r="G14" s="129">
        <f>'[1]Суворова 44'!$G$36</f>
        <v>-214525.54619999998</v>
      </c>
      <c r="H14" s="54"/>
      <c r="I14" s="54"/>
    </row>
    <row r="15" spans="1:11" s="59" customFormat="1" ht="6.75" customHeight="1" x14ac:dyDescent="0.25"/>
    <row r="16" spans="1:11" s="66" customFormat="1" ht="38.25" x14ac:dyDescent="0.25">
      <c r="A16" s="64" t="s">
        <v>11</v>
      </c>
      <c r="B16" s="64" t="s">
        <v>12</v>
      </c>
      <c r="C16" s="64" t="s">
        <v>61</v>
      </c>
      <c r="D16" s="64" t="s">
        <v>432</v>
      </c>
      <c r="E16" s="64" t="s">
        <v>433</v>
      </c>
      <c r="F16" s="65" t="s">
        <v>434</v>
      </c>
      <c r="G16" s="64" t="s">
        <v>435</v>
      </c>
    </row>
    <row r="17" spans="1:16" s="59" customFormat="1" ht="16.5" customHeight="1" x14ac:dyDescent="0.25">
      <c r="A17" s="67" t="s">
        <v>14</v>
      </c>
      <c r="B17" s="39" t="s">
        <v>379</v>
      </c>
      <c r="C17" s="120">
        <v>23.85</v>
      </c>
      <c r="D17" s="68">
        <v>443686.74</v>
      </c>
      <c r="E17" s="68">
        <v>430856.68</v>
      </c>
      <c r="F17" s="68">
        <f t="shared" ref="F17:F24" si="0">D17</f>
        <v>443686.74</v>
      </c>
      <c r="G17" s="69">
        <f>D17-E17</f>
        <v>12830.059999999998</v>
      </c>
      <c r="H17" s="130">
        <f>C17</f>
        <v>23.85</v>
      </c>
      <c r="P17" s="187"/>
    </row>
    <row r="18" spans="1:16" s="59" customFormat="1" hidden="1" outlineLevel="1" x14ac:dyDescent="0.25">
      <c r="A18" s="73" t="s">
        <v>16</v>
      </c>
      <c r="B18" s="34" t="s">
        <v>17</v>
      </c>
      <c r="C18" s="89">
        <v>3.46</v>
      </c>
      <c r="D18" s="75">
        <f>D17*I18</f>
        <v>64367.132930817599</v>
      </c>
      <c r="E18" s="75">
        <f>E17*I18</f>
        <v>62505.832821802927</v>
      </c>
      <c r="F18" s="75">
        <f t="shared" si="0"/>
        <v>64367.132930817599</v>
      </c>
      <c r="G18" s="76">
        <f>D18-E18</f>
        <v>1861.3001090146718</v>
      </c>
      <c r="H18" s="130">
        <f>C18</f>
        <v>3.46</v>
      </c>
      <c r="I18" s="59">
        <f>H18/H17</f>
        <v>0.14507337526205449</v>
      </c>
    </row>
    <row r="19" spans="1:16" s="59" customFormat="1" hidden="1" outlineLevel="1" x14ac:dyDescent="0.25">
      <c r="A19" s="73" t="s">
        <v>18</v>
      </c>
      <c r="B19" s="34" t="s">
        <v>19</v>
      </c>
      <c r="C19" s="89">
        <v>1.69</v>
      </c>
      <c r="D19" s="75">
        <f>D17*I19</f>
        <v>31439.437761006284</v>
      </c>
      <c r="E19" s="75">
        <f>E17*I19</f>
        <v>30530.305626834375</v>
      </c>
      <c r="F19" s="75">
        <f t="shared" si="0"/>
        <v>31439.437761006284</v>
      </c>
      <c r="G19" s="76">
        <f>D19-E19</f>
        <v>909.13213417190855</v>
      </c>
      <c r="H19" s="130">
        <f>C19</f>
        <v>1.69</v>
      </c>
      <c r="I19" s="59">
        <f>H19/H17</f>
        <v>7.0859538784067075E-2</v>
      </c>
    </row>
    <row r="20" spans="1:16" s="59" customFormat="1" hidden="1" outlineLevel="1" x14ac:dyDescent="0.25">
      <c r="A20" s="73" t="s">
        <v>20</v>
      </c>
      <c r="B20" s="34" t="s">
        <v>21</v>
      </c>
      <c r="C20" s="89">
        <v>2.15</v>
      </c>
      <c r="D20" s="75">
        <f>D17*I20</f>
        <v>39996.917861635215</v>
      </c>
      <c r="E20" s="75">
        <f>E17*I20</f>
        <v>38840.329643605866</v>
      </c>
      <c r="F20" s="75">
        <f t="shared" si="0"/>
        <v>39996.917861635215</v>
      </c>
      <c r="G20" s="76">
        <f>D20-E20</f>
        <v>1156.5882180293484</v>
      </c>
      <c r="H20" s="130">
        <f>C20</f>
        <v>2.15</v>
      </c>
      <c r="I20" s="59">
        <f>H20/H17</f>
        <v>9.0146750524109004E-2</v>
      </c>
    </row>
    <row r="21" spans="1:16" s="59" customFormat="1" hidden="1" outlineLevel="1" x14ac:dyDescent="0.25">
      <c r="A21" s="73" t="s">
        <v>22</v>
      </c>
      <c r="B21" s="34" t="s">
        <v>23</v>
      </c>
      <c r="C21" s="89">
        <v>3.04</v>
      </c>
      <c r="D21" s="75">
        <f>D17*I21</f>
        <v>56553.781534591188</v>
      </c>
      <c r="E21" s="75">
        <f>E17*I21</f>
        <v>54918.419589098528</v>
      </c>
      <c r="F21" s="75">
        <f t="shared" si="0"/>
        <v>56553.781534591188</v>
      </c>
      <c r="G21" s="76">
        <f>D21-E21</f>
        <v>1635.3619454926593</v>
      </c>
      <c r="H21" s="130">
        <f>C21</f>
        <v>3.04</v>
      </c>
      <c r="I21" s="59">
        <f>H21/H17</f>
        <v>0.12746331236897274</v>
      </c>
    </row>
    <row r="22" spans="1:16" collapsed="1" x14ac:dyDescent="0.25">
      <c r="A22" s="39" t="s">
        <v>25</v>
      </c>
      <c r="B22" s="125" t="s">
        <v>121</v>
      </c>
      <c r="C22" s="43">
        <v>0</v>
      </c>
      <c r="D22" s="69">
        <v>0</v>
      </c>
      <c r="E22" s="69">
        <v>0</v>
      </c>
      <c r="F22" s="69">
        <f t="shared" si="0"/>
        <v>0</v>
      </c>
      <c r="G22" s="69">
        <f t="shared" ref="G22:G32" si="1">D22-E22</f>
        <v>0</v>
      </c>
      <c r="I22" s="274"/>
    </row>
    <row r="23" spans="1:16" x14ac:dyDescent="0.25">
      <c r="A23" s="39" t="s">
        <v>27</v>
      </c>
      <c r="B23" s="125" t="s">
        <v>26</v>
      </c>
      <c r="C23" s="87">
        <v>4.3600000000000003</v>
      </c>
      <c r="D23" s="69">
        <v>89352.12</v>
      </c>
      <c r="E23" s="69">
        <v>83266.789999999994</v>
      </c>
      <c r="F23" s="69">
        <f t="shared" si="0"/>
        <v>89352.12</v>
      </c>
      <c r="G23" s="69">
        <f t="shared" si="1"/>
        <v>6085.3300000000017</v>
      </c>
    </row>
    <row r="24" spans="1:16" x14ac:dyDescent="0.25">
      <c r="A24" s="39" t="s">
        <v>29</v>
      </c>
      <c r="B24" s="125" t="s">
        <v>97</v>
      </c>
      <c r="C24" s="357">
        <v>0</v>
      </c>
      <c r="D24" s="69">
        <v>0</v>
      </c>
      <c r="E24" s="69">
        <v>0</v>
      </c>
      <c r="F24" s="69">
        <f t="shared" si="0"/>
        <v>0</v>
      </c>
      <c r="G24" s="69">
        <f t="shared" si="1"/>
        <v>0</v>
      </c>
    </row>
    <row r="25" spans="1:16" x14ac:dyDescent="0.25">
      <c r="A25" s="39" t="s">
        <v>31</v>
      </c>
      <c r="B25" s="125" t="s">
        <v>80</v>
      </c>
      <c r="C25" s="87">
        <v>2.36</v>
      </c>
      <c r="D25" s="69">
        <f>48364.92+D26</f>
        <v>57240.409999999996</v>
      </c>
      <c r="E25" s="69">
        <f>45071.03+E26</f>
        <v>46232.15</v>
      </c>
      <c r="F25" s="79">
        <f>F43</f>
        <v>462.32150000000001</v>
      </c>
      <c r="G25" s="69">
        <f t="shared" si="1"/>
        <v>11008.259999999995</v>
      </c>
    </row>
    <row r="26" spans="1:16" x14ac:dyDescent="0.25">
      <c r="A26" s="39"/>
      <c r="B26" s="292" t="s">
        <v>244</v>
      </c>
      <c r="C26" s="293"/>
      <c r="D26" s="294">
        <f>1161.12+7714.37</f>
        <v>8875.49</v>
      </c>
      <c r="E26" s="294">
        <f>1161.12+0</f>
        <v>1161.1199999999999</v>
      </c>
      <c r="F26" s="294"/>
      <c r="G26" s="248"/>
    </row>
    <row r="27" spans="1:16" x14ac:dyDescent="0.25">
      <c r="A27" s="39" t="s">
        <v>33</v>
      </c>
      <c r="B27" s="119" t="s">
        <v>34</v>
      </c>
      <c r="C27" s="43">
        <v>0</v>
      </c>
      <c r="D27" s="69">
        <v>0</v>
      </c>
      <c r="E27" s="69">
        <v>0</v>
      </c>
      <c r="F27" s="79">
        <v>0</v>
      </c>
      <c r="G27" s="69">
        <f t="shared" si="1"/>
        <v>0</v>
      </c>
    </row>
    <row r="28" spans="1:16" x14ac:dyDescent="0.25">
      <c r="A28" s="39" t="s">
        <v>35</v>
      </c>
      <c r="B28" s="119" t="s">
        <v>36</v>
      </c>
      <c r="C28" s="87"/>
      <c r="D28" s="69">
        <f>SUM(D29:D32)</f>
        <v>109268.55000000002</v>
      </c>
      <c r="E28" s="69">
        <f>SUM(E29:E32)</f>
        <v>91495.63</v>
      </c>
      <c r="F28" s="69">
        <f>SUM(F29:F32)</f>
        <v>109268.55000000002</v>
      </c>
      <c r="G28" s="69">
        <f t="shared" si="1"/>
        <v>17772.920000000013</v>
      </c>
    </row>
    <row r="29" spans="1:16" x14ac:dyDescent="0.25">
      <c r="A29" s="34" t="s">
        <v>37</v>
      </c>
      <c r="B29" s="34" t="s">
        <v>101</v>
      </c>
      <c r="C29" s="89">
        <v>7.36</v>
      </c>
      <c r="D29" s="76">
        <v>89362.57</v>
      </c>
      <c r="E29" s="76">
        <v>75853.72</v>
      </c>
      <c r="F29" s="76">
        <f>D29</f>
        <v>89362.57</v>
      </c>
      <c r="G29" s="76">
        <f t="shared" si="1"/>
        <v>13508.850000000006</v>
      </c>
    </row>
    <row r="30" spans="1:16" x14ac:dyDescent="0.25">
      <c r="A30" s="34" t="s">
        <v>39</v>
      </c>
      <c r="B30" s="34" t="s">
        <v>84</v>
      </c>
      <c r="C30" s="89">
        <v>88.38</v>
      </c>
      <c r="D30" s="76">
        <v>6289.46</v>
      </c>
      <c r="E30" s="76">
        <v>4961.59</v>
      </c>
      <c r="F30" s="76">
        <f>D30</f>
        <v>6289.46</v>
      </c>
      <c r="G30" s="76">
        <f t="shared" si="1"/>
        <v>1327.87</v>
      </c>
    </row>
    <row r="31" spans="1:16" x14ac:dyDescent="0.25">
      <c r="A31" s="34" t="s">
        <v>42</v>
      </c>
      <c r="B31" s="34" t="s">
        <v>40</v>
      </c>
      <c r="C31" s="128">
        <v>262.18</v>
      </c>
      <c r="D31" s="76">
        <v>13616.52</v>
      </c>
      <c r="E31" s="76">
        <v>10680.32</v>
      </c>
      <c r="F31" s="76">
        <f>D31</f>
        <v>13616.52</v>
      </c>
      <c r="G31" s="76">
        <f t="shared" si="1"/>
        <v>2936.2000000000007</v>
      </c>
    </row>
    <row r="32" spans="1:16" x14ac:dyDescent="0.25">
      <c r="A32" s="34" t="s">
        <v>41</v>
      </c>
      <c r="B32" s="34" t="s">
        <v>43</v>
      </c>
      <c r="C32" s="89">
        <v>3352.42</v>
      </c>
      <c r="D32" s="188">
        <v>0</v>
      </c>
      <c r="E32" s="188">
        <v>0</v>
      </c>
      <c r="F32" s="76">
        <f>D32</f>
        <v>0</v>
      </c>
      <c r="G32" s="76">
        <f t="shared" si="1"/>
        <v>0</v>
      </c>
      <c r="H32" s="91"/>
      <c r="I32" s="91"/>
    </row>
    <row r="33" spans="1:12" ht="15.75" customHeight="1" thickBot="1" x14ac:dyDescent="0.3">
      <c r="A33" s="373"/>
      <c r="B33" s="374"/>
      <c r="C33" s="374"/>
      <c r="D33" s="375"/>
      <c r="E33" s="375"/>
      <c r="F33" s="375"/>
      <c r="G33" s="155"/>
      <c r="H33" s="91"/>
      <c r="I33" s="91"/>
    </row>
    <row r="34" spans="1:12" s="92" customFormat="1" ht="14.25" thickBot="1" x14ac:dyDescent="0.3">
      <c r="A34" s="387" t="s">
        <v>427</v>
      </c>
      <c r="B34" s="388"/>
      <c r="C34" s="388"/>
      <c r="D34" s="57">
        <v>47696.57</v>
      </c>
      <c r="E34" s="58"/>
      <c r="F34" s="58"/>
      <c r="G34" s="58"/>
      <c r="H34" s="54"/>
      <c r="I34" s="54"/>
      <c r="J34" s="91"/>
    </row>
    <row r="35" spans="1:12" s="59" customFormat="1" ht="8.25" customHeight="1" thickBot="1" x14ac:dyDescent="0.3">
      <c r="A35" s="60"/>
      <c r="B35" s="60"/>
      <c r="C35" s="60"/>
      <c r="D35" s="38"/>
      <c r="E35" s="58"/>
      <c r="F35" s="58"/>
      <c r="G35" s="58"/>
      <c r="H35" s="54"/>
      <c r="I35" s="54"/>
    </row>
    <row r="36" spans="1:12" s="59" customFormat="1" ht="15.75" thickBot="1" x14ac:dyDescent="0.3">
      <c r="A36" s="55" t="s">
        <v>428</v>
      </c>
      <c r="B36" s="56"/>
      <c r="C36" s="56"/>
      <c r="D36" s="61"/>
      <c r="E36" s="62"/>
      <c r="F36" s="62"/>
      <c r="G36" s="129">
        <f>G14+E25-F25</f>
        <v>-168755.71769999998</v>
      </c>
      <c r="H36" s="54"/>
      <c r="I36" s="54"/>
    </row>
    <row r="37" spans="1:12" s="59" customFormat="1" x14ac:dyDescent="0.25">
      <c r="A37" s="392" t="s">
        <v>90</v>
      </c>
      <c r="B37" s="392"/>
      <c r="C37" s="60"/>
      <c r="D37" s="38"/>
      <c r="E37" s="58"/>
      <c r="F37" s="58"/>
      <c r="G37" s="38"/>
      <c r="H37" s="54"/>
      <c r="I37" s="54"/>
    </row>
    <row r="38" spans="1:12" s="59" customFormat="1" x14ac:dyDescent="0.25">
      <c r="A38" s="393" t="s">
        <v>91</v>
      </c>
      <c r="B38" s="394"/>
      <c r="C38" s="41" t="s">
        <v>92</v>
      </c>
      <c r="D38" s="41" t="s">
        <v>93</v>
      </c>
      <c r="E38" s="42" t="s">
        <v>94</v>
      </c>
      <c r="F38" s="40" t="s">
        <v>95</v>
      </c>
      <c r="G38" s="42" t="s">
        <v>96</v>
      </c>
      <c r="H38" s="54"/>
      <c r="I38" s="54">
        <f>272.4*H39*3</f>
        <v>24981.804</v>
      </c>
    </row>
    <row r="39" spans="1:12" s="59" customFormat="1" x14ac:dyDescent="0.25">
      <c r="A39" s="395"/>
      <c r="B39" s="396"/>
      <c r="C39" s="110">
        <f>272.4+41</f>
        <v>313.39999999999998</v>
      </c>
      <c r="D39" s="138">
        <f>E39/C39/12</f>
        <v>30.569974473516272</v>
      </c>
      <c r="E39" s="73">
        <f>15040.44+99927.12</f>
        <v>114967.56</v>
      </c>
      <c r="F39" s="75">
        <v>15040.44</v>
      </c>
      <c r="G39" s="138">
        <f>E39-F39</f>
        <v>99927.12</v>
      </c>
      <c r="H39" s="335">
        <f>C17+C23+C25</f>
        <v>30.57</v>
      </c>
      <c r="I39" s="54">
        <f>41*H39*3</f>
        <v>3760.1100000000006</v>
      </c>
      <c r="J39" s="59">
        <f>71570.34+10772.34</f>
        <v>82342.679999999993</v>
      </c>
      <c r="K39" s="59">
        <f>0+8638.29</f>
        <v>8638.2900000000009</v>
      </c>
      <c r="L39" s="130">
        <f>F39-K39</f>
        <v>6402.15</v>
      </c>
    </row>
    <row r="40" spans="1:12" s="59" customFormat="1" ht="31.5" customHeight="1" x14ac:dyDescent="0.25">
      <c r="A40" s="485" t="s">
        <v>44</v>
      </c>
      <c r="B40" s="485"/>
      <c r="C40" s="485"/>
      <c r="D40" s="485"/>
      <c r="E40" s="485"/>
      <c r="F40" s="485"/>
      <c r="G40" s="485"/>
      <c r="H40" s="485"/>
      <c r="I40" s="485"/>
    </row>
    <row r="42" spans="1:12" ht="28.5" x14ac:dyDescent="0.25">
      <c r="A42" s="94" t="s">
        <v>11</v>
      </c>
      <c r="B42" s="416" t="s">
        <v>45</v>
      </c>
      <c r="C42" s="425"/>
      <c r="D42" s="94" t="s">
        <v>99</v>
      </c>
      <c r="E42" s="94" t="s">
        <v>98</v>
      </c>
      <c r="F42" s="416" t="s">
        <v>46</v>
      </c>
      <c r="G42" s="425"/>
      <c r="H42" s="156"/>
      <c r="I42" s="156"/>
    </row>
    <row r="43" spans="1:12" s="156" customFormat="1" ht="28.5" customHeight="1" x14ac:dyDescent="0.25">
      <c r="A43" s="98" t="s">
        <v>47</v>
      </c>
      <c r="B43" s="418" t="s">
        <v>75</v>
      </c>
      <c r="C43" s="430"/>
      <c r="D43" s="99"/>
      <c r="E43" s="99"/>
      <c r="F43" s="436">
        <f>SUM(F44:L46)</f>
        <v>462.32150000000001</v>
      </c>
      <c r="G43" s="424"/>
      <c r="H43" s="103"/>
      <c r="I43" s="103"/>
    </row>
    <row r="44" spans="1:12" s="156" customFormat="1" x14ac:dyDescent="0.25">
      <c r="A44" s="124" t="s">
        <v>16</v>
      </c>
      <c r="B44" s="412"/>
      <c r="C44" s="428"/>
      <c r="D44" s="260"/>
      <c r="E44" s="260"/>
      <c r="F44" s="463"/>
      <c r="G44" s="463"/>
      <c r="H44" s="103"/>
      <c r="I44" s="103"/>
    </row>
    <row r="45" spans="1:12" s="156" customFormat="1" x14ac:dyDescent="0.25">
      <c r="A45" s="124" t="s">
        <v>18</v>
      </c>
      <c r="B45" s="412"/>
      <c r="C45" s="517"/>
      <c r="D45" s="258"/>
      <c r="E45" s="262"/>
      <c r="F45" s="516"/>
      <c r="G45" s="516"/>
      <c r="H45" s="103"/>
      <c r="I45" s="103"/>
    </row>
    <row r="46" spans="1:12" s="103" customFormat="1" ht="13.5" customHeight="1" x14ac:dyDescent="0.25">
      <c r="A46" s="124" t="s">
        <v>20</v>
      </c>
      <c r="B46" s="133" t="s">
        <v>108</v>
      </c>
      <c r="C46" s="134"/>
      <c r="D46" s="105"/>
      <c r="E46" s="105"/>
      <c r="F46" s="439">
        <f>E25*1%</f>
        <v>462.32150000000001</v>
      </c>
      <c r="G46" s="439"/>
      <c r="H46" s="35"/>
      <c r="I46" s="35"/>
    </row>
    <row r="47" spans="1:12" ht="13.5" customHeight="1" x14ac:dyDescent="0.25">
      <c r="A47" s="59"/>
      <c r="B47" s="59"/>
      <c r="C47" s="59"/>
      <c r="D47" s="59"/>
      <c r="E47" s="59"/>
      <c r="F47" s="59"/>
      <c r="G47" s="59"/>
      <c r="H47" s="59"/>
      <c r="I47" s="59"/>
    </row>
    <row r="48" spans="1:12" ht="13.5" customHeight="1" x14ac:dyDescent="0.25">
      <c r="A48" s="51" t="s">
        <v>372</v>
      </c>
      <c r="B48" s="59"/>
      <c r="C48" s="59" t="s">
        <v>49</v>
      </c>
      <c r="D48" s="59"/>
      <c r="E48" s="59"/>
      <c r="F48" s="59" t="s">
        <v>60</v>
      </c>
      <c r="G48" s="59"/>
      <c r="H48" s="59"/>
      <c r="I48" s="59"/>
    </row>
    <row r="49" spans="1:9" ht="13.5" customHeight="1" x14ac:dyDescent="0.25">
      <c r="A49" s="59"/>
      <c r="B49" s="59"/>
      <c r="C49" s="59"/>
      <c r="D49" s="59"/>
      <c r="E49" s="59"/>
      <c r="F49" s="111" t="s">
        <v>438</v>
      </c>
      <c r="G49" s="59"/>
      <c r="H49" s="59"/>
      <c r="I49" s="59"/>
    </row>
    <row r="50" spans="1:9" ht="13.5" customHeight="1" x14ac:dyDescent="0.25">
      <c r="A50" s="59" t="s">
        <v>50</v>
      </c>
      <c r="B50" s="59"/>
      <c r="C50" s="59"/>
      <c r="D50" s="59"/>
      <c r="E50" s="59"/>
      <c r="F50" s="59"/>
      <c r="G50" s="59"/>
      <c r="H50" s="59"/>
      <c r="I50" s="59"/>
    </row>
    <row r="51" spans="1:9" ht="13.5" customHeight="1" x14ac:dyDescent="0.25">
      <c r="A51" s="59"/>
      <c r="B51" s="59"/>
      <c r="C51" s="113" t="s">
        <v>51</v>
      </c>
      <c r="D51" s="59"/>
      <c r="E51" s="113"/>
      <c r="F51" s="113"/>
      <c r="G51" s="113"/>
      <c r="H51" s="59"/>
      <c r="I51" s="59"/>
    </row>
    <row r="52" spans="1:9" ht="6.75" customHeight="1" x14ac:dyDescent="0.25">
      <c r="B52" s="139"/>
      <c r="C52" s="139"/>
      <c r="D52" s="139"/>
      <c r="E52" s="139"/>
    </row>
    <row r="53" spans="1:9" s="59" customFormat="1" x14ac:dyDescent="0.25"/>
  </sheetData>
  <mergeCells count="21">
    <mergeCell ref="A1:I1"/>
    <mergeCell ref="A3:K3"/>
    <mergeCell ref="A5:I5"/>
    <mergeCell ref="A10:I10"/>
    <mergeCell ref="A2:K2"/>
    <mergeCell ref="A33:F33"/>
    <mergeCell ref="F46:G46"/>
    <mergeCell ref="B42:C42"/>
    <mergeCell ref="B43:C43"/>
    <mergeCell ref="F44:G44"/>
    <mergeCell ref="F43:G43"/>
    <mergeCell ref="B44:C44"/>
    <mergeCell ref="B45:C45"/>
    <mergeCell ref="F45:G45"/>
    <mergeCell ref="A11:I11"/>
    <mergeCell ref="A12:I12"/>
    <mergeCell ref="A34:C34"/>
    <mergeCell ref="A38:B39"/>
    <mergeCell ref="A40:I40"/>
    <mergeCell ref="F42:G42"/>
    <mergeCell ref="A37:B37"/>
  </mergeCells>
  <pageMargins left="0" right="0" top="0" bottom="0" header="0.31496062992125984" footer="0.31496062992125984"/>
  <pageSetup paperSize="9" scale="94" orientation="portrait" verticalDpi="0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6A5461-0BF2-494D-AEE3-A8BEEFAA272C}">
  <sheetPr>
    <tabColor rgb="FF7030A0"/>
  </sheetPr>
  <dimension ref="A1:M53"/>
  <sheetViews>
    <sheetView topLeftCell="A37" zoomScaleNormal="100" workbookViewId="0">
      <selection activeCell="A56" sqref="A56:IV57"/>
    </sheetView>
  </sheetViews>
  <sheetFormatPr defaultRowHeight="15" outlineLevelRow="1" outlineLevelCol="1" x14ac:dyDescent="0.25"/>
  <cols>
    <col min="1" max="1" width="4.7109375" style="35" customWidth="1"/>
    <col min="2" max="2" width="48.140625" style="35" customWidth="1"/>
    <col min="3" max="3" width="13" style="35" customWidth="1"/>
    <col min="4" max="4" width="13.140625" style="35" customWidth="1"/>
    <col min="5" max="5" width="12.7109375" style="35" customWidth="1"/>
    <col min="6" max="6" width="13.140625" style="35" customWidth="1"/>
    <col min="7" max="7" width="13.85546875" style="35" customWidth="1"/>
    <col min="8" max="8" width="10.85546875" style="35" hidden="1" customWidth="1" outlineLevel="1"/>
    <col min="9" max="9" width="13.42578125" style="35" hidden="1" customWidth="1" outlineLevel="1"/>
    <col min="10" max="12" width="9.140625" style="35" hidden="1" customWidth="1" outlineLevel="1"/>
    <col min="13" max="13" width="9.140625" style="35" collapsed="1"/>
    <col min="14" max="16384" width="9.140625" style="35"/>
  </cols>
  <sheetData>
    <row r="1" spans="1:11" x14ac:dyDescent="0.25">
      <c r="A1" s="397" t="s">
        <v>0</v>
      </c>
      <c r="B1" s="397"/>
      <c r="C1" s="397"/>
      <c r="D1" s="397"/>
      <c r="E1" s="397"/>
      <c r="F1" s="397"/>
      <c r="G1" s="397"/>
      <c r="H1" s="397"/>
      <c r="I1" s="397"/>
    </row>
    <row r="2" spans="1:11" ht="15" customHeight="1" x14ac:dyDescent="0.25">
      <c r="A2" s="370" t="s">
        <v>152</v>
      </c>
      <c r="B2" s="370"/>
      <c r="C2" s="370"/>
      <c r="D2" s="370"/>
      <c r="E2" s="370"/>
      <c r="F2" s="370"/>
      <c r="G2" s="370"/>
      <c r="H2" s="370"/>
      <c r="I2" s="370"/>
      <c r="J2" s="370"/>
      <c r="K2" s="370"/>
    </row>
    <row r="3" spans="1:11" ht="15.75" customHeight="1" x14ac:dyDescent="0.25">
      <c r="A3" s="370" t="s">
        <v>426</v>
      </c>
      <c r="B3" s="370"/>
      <c r="C3" s="370"/>
      <c r="D3" s="370"/>
      <c r="E3" s="370"/>
      <c r="F3" s="370"/>
      <c r="G3" s="370"/>
      <c r="H3" s="370"/>
      <c r="I3" s="370"/>
      <c r="J3" s="370"/>
      <c r="K3" s="370"/>
    </row>
    <row r="4" spans="1:11" ht="6.75" customHeight="1" x14ac:dyDescent="0.25">
      <c r="A4" s="142"/>
      <c r="B4" s="142"/>
      <c r="C4" s="142"/>
      <c r="D4" s="142"/>
      <c r="E4" s="142"/>
      <c r="F4" s="142"/>
      <c r="G4" s="142"/>
      <c r="H4" s="142"/>
      <c r="I4" s="142"/>
    </row>
    <row r="5" spans="1:11" ht="17.25" customHeight="1" x14ac:dyDescent="0.25">
      <c r="A5" s="398" t="s">
        <v>1</v>
      </c>
      <c r="B5" s="397"/>
      <c r="C5" s="397"/>
      <c r="D5" s="397"/>
      <c r="E5" s="397"/>
      <c r="F5" s="397"/>
      <c r="G5" s="397"/>
      <c r="H5" s="397"/>
      <c r="I5" s="397"/>
    </row>
    <row r="6" spans="1:11" ht="6" customHeight="1" x14ac:dyDescent="0.25"/>
    <row r="7" spans="1:11" s="59" customFormat="1" ht="16.5" customHeight="1" x14ac:dyDescent="0.25">
      <c r="A7" s="59" t="s">
        <v>2</v>
      </c>
      <c r="F7" s="111" t="s">
        <v>225</v>
      </c>
      <c r="I7" s="110"/>
    </row>
    <row r="8" spans="1:11" s="59" customFormat="1" x14ac:dyDescent="0.25">
      <c r="A8" s="59" t="s">
        <v>3</v>
      </c>
      <c r="F8" s="239" t="s">
        <v>226</v>
      </c>
      <c r="I8" s="180">
        <f>827.5+301</f>
        <v>1128.5</v>
      </c>
      <c r="J8" s="110">
        <v>3027.2</v>
      </c>
      <c r="K8" s="283">
        <f>I8+J8+I7</f>
        <v>4155.7</v>
      </c>
    </row>
    <row r="9" spans="1:11" s="59" customFormat="1" ht="14.25" customHeight="1" x14ac:dyDescent="0.25">
      <c r="B9" s="59" t="s">
        <v>252</v>
      </c>
      <c r="F9" s="239" t="s">
        <v>262</v>
      </c>
    </row>
    <row r="10" spans="1:11" s="59" customFormat="1" x14ac:dyDescent="0.25">
      <c r="A10" s="372" t="s">
        <v>8</v>
      </c>
      <c r="B10" s="372"/>
      <c r="C10" s="372"/>
      <c r="D10" s="372"/>
      <c r="E10" s="372"/>
      <c r="F10" s="372"/>
      <c r="G10" s="372"/>
      <c r="H10" s="372"/>
      <c r="I10" s="372"/>
    </row>
    <row r="11" spans="1:11" s="59" customFormat="1" x14ac:dyDescent="0.25">
      <c r="A11" s="372" t="s">
        <v>9</v>
      </c>
      <c r="B11" s="372"/>
      <c r="C11" s="372"/>
      <c r="D11" s="372"/>
      <c r="E11" s="372"/>
      <c r="F11" s="372"/>
      <c r="G11" s="372"/>
      <c r="H11" s="372"/>
      <c r="I11" s="372"/>
    </row>
    <row r="12" spans="1:11" s="59" customFormat="1" x14ac:dyDescent="0.25">
      <c r="A12" s="372" t="s">
        <v>10</v>
      </c>
      <c r="B12" s="372"/>
      <c r="C12" s="372"/>
      <c r="D12" s="372"/>
      <c r="E12" s="372"/>
      <c r="F12" s="372"/>
      <c r="G12" s="372"/>
      <c r="H12" s="372"/>
      <c r="I12" s="372"/>
    </row>
    <row r="13" spans="1:11" s="59" customFormat="1" ht="6" customHeight="1" thickBot="1" x14ac:dyDescent="0.3">
      <c r="A13" s="60"/>
      <c r="B13" s="60"/>
      <c r="C13" s="60"/>
      <c r="D13" s="38"/>
      <c r="E13" s="58"/>
      <c r="F13" s="58"/>
      <c r="G13" s="58"/>
      <c r="H13" s="54"/>
      <c r="I13" s="54"/>
    </row>
    <row r="14" spans="1:11" s="59" customFormat="1" ht="15.75" thickBot="1" x14ac:dyDescent="0.3">
      <c r="A14" s="55"/>
      <c r="B14" s="55" t="s">
        <v>381</v>
      </c>
      <c r="C14" s="56"/>
      <c r="D14" s="56"/>
      <c r="E14" s="62"/>
      <c r="F14" s="62"/>
      <c r="G14" s="129">
        <f>'[1]Суворова 38'!$G$36</f>
        <v>3221.901700000024</v>
      </c>
      <c r="H14" s="54"/>
      <c r="I14" s="54"/>
    </row>
    <row r="15" spans="1:11" s="59" customFormat="1" ht="6.75" customHeight="1" x14ac:dyDescent="0.25"/>
    <row r="16" spans="1:11" s="66" customFormat="1" ht="38.25" x14ac:dyDescent="0.25">
      <c r="A16" s="64" t="s">
        <v>11</v>
      </c>
      <c r="B16" s="64" t="s">
        <v>12</v>
      </c>
      <c r="C16" s="64" t="s">
        <v>61</v>
      </c>
      <c r="D16" s="64" t="s">
        <v>432</v>
      </c>
      <c r="E16" s="64" t="s">
        <v>433</v>
      </c>
      <c r="F16" s="65" t="s">
        <v>434</v>
      </c>
      <c r="G16" s="64" t="s">
        <v>435</v>
      </c>
    </row>
    <row r="17" spans="1:9" s="59" customFormat="1" x14ac:dyDescent="0.25">
      <c r="A17" s="67" t="s">
        <v>14</v>
      </c>
      <c r="B17" s="39" t="s">
        <v>379</v>
      </c>
      <c r="C17" s="120">
        <v>23.85</v>
      </c>
      <c r="D17" s="68">
        <v>855729.88</v>
      </c>
      <c r="E17" s="68">
        <v>777306.71</v>
      </c>
      <c r="F17" s="68">
        <f t="shared" ref="F17:F24" si="0">D17</f>
        <v>855729.88</v>
      </c>
      <c r="G17" s="69">
        <f>D17-E17</f>
        <v>78423.170000000042</v>
      </c>
      <c r="H17" s="130">
        <f>C17</f>
        <v>23.85</v>
      </c>
    </row>
    <row r="18" spans="1:9" s="59" customFormat="1" hidden="1" outlineLevel="1" x14ac:dyDescent="0.25">
      <c r="A18" s="73" t="s">
        <v>16</v>
      </c>
      <c r="B18" s="34" t="s">
        <v>17</v>
      </c>
      <c r="C18" s="89">
        <v>3.46</v>
      </c>
      <c r="D18" s="75">
        <f>D17*I18</f>
        <v>124143.62200419286</v>
      </c>
      <c r="E18" s="75">
        <f>E17*I18</f>
        <v>112766.50803354297</v>
      </c>
      <c r="F18" s="75">
        <f t="shared" si="0"/>
        <v>124143.62200419286</v>
      </c>
      <c r="G18" s="76">
        <f>D18-E18</f>
        <v>11377.113970649894</v>
      </c>
      <c r="H18" s="130">
        <f>C18</f>
        <v>3.46</v>
      </c>
      <c r="I18" s="59">
        <f>H18/H17</f>
        <v>0.14507337526205449</v>
      </c>
    </row>
    <row r="19" spans="1:9" s="59" customFormat="1" hidden="1" outlineLevel="1" x14ac:dyDescent="0.25">
      <c r="A19" s="73" t="s">
        <v>18</v>
      </c>
      <c r="B19" s="34" t="s">
        <v>19</v>
      </c>
      <c r="C19" s="89">
        <v>1.69</v>
      </c>
      <c r="D19" s="75">
        <f>D17*I19</f>
        <v>60636.624620545066</v>
      </c>
      <c r="E19" s="75">
        <f>E17*I19</f>
        <v>55079.594964360578</v>
      </c>
      <c r="F19" s="75">
        <f t="shared" si="0"/>
        <v>60636.624620545066</v>
      </c>
      <c r="G19" s="76">
        <f t="shared" ref="G19:G32" si="1">D19-E19</f>
        <v>5557.029656184488</v>
      </c>
      <c r="H19" s="130">
        <f>C19</f>
        <v>1.69</v>
      </c>
      <c r="I19" s="59">
        <f>H19/H17</f>
        <v>7.0859538784067075E-2</v>
      </c>
    </row>
    <row r="20" spans="1:9" s="59" customFormat="1" hidden="1" outlineLevel="1" x14ac:dyDescent="0.25">
      <c r="A20" s="73" t="s">
        <v>20</v>
      </c>
      <c r="B20" s="34" t="s">
        <v>21</v>
      </c>
      <c r="C20" s="89">
        <v>2.15</v>
      </c>
      <c r="D20" s="75">
        <f>D17*I20</f>
        <v>77141.268008385741</v>
      </c>
      <c r="E20" s="75">
        <f>E17*I20</f>
        <v>70071.674067085944</v>
      </c>
      <c r="F20" s="75">
        <f t="shared" si="0"/>
        <v>77141.268008385741</v>
      </c>
      <c r="G20" s="76">
        <f t="shared" si="1"/>
        <v>7069.5939412997977</v>
      </c>
      <c r="H20" s="130">
        <f>C20</f>
        <v>2.15</v>
      </c>
      <c r="I20" s="59">
        <f>H20/H17</f>
        <v>9.0146750524109004E-2</v>
      </c>
    </row>
    <row r="21" spans="1:9" s="59" customFormat="1" hidden="1" outlineLevel="1" x14ac:dyDescent="0.25">
      <c r="A21" s="73" t="s">
        <v>22</v>
      </c>
      <c r="B21" s="34" t="s">
        <v>23</v>
      </c>
      <c r="C21" s="89">
        <v>3.04</v>
      </c>
      <c r="D21" s="75">
        <f>D17*I21</f>
        <v>109074.16499790356</v>
      </c>
      <c r="E21" s="75">
        <f>E17*I21</f>
        <v>99078.087983228499</v>
      </c>
      <c r="F21" s="75">
        <f t="shared" si="0"/>
        <v>109074.16499790356</v>
      </c>
      <c r="G21" s="76">
        <f t="shared" si="1"/>
        <v>9996.0770146750583</v>
      </c>
      <c r="H21" s="130">
        <f>C21</f>
        <v>3.04</v>
      </c>
      <c r="I21" s="59">
        <f>H21/H17</f>
        <v>0.12746331236897274</v>
      </c>
    </row>
    <row r="22" spans="1:9" collapsed="1" x14ac:dyDescent="0.25">
      <c r="A22" s="39" t="s">
        <v>25</v>
      </c>
      <c r="B22" s="125" t="s">
        <v>121</v>
      </c>
      <c r="C22" s="43">
        <v>0</v>
      </c>
      <c r="D22" s="69">
        <v>0</v>
      </c>
      <c r="E22" s="69">
        <v>0</v>
      </c>
      <c r="F22" s="69">
        <f t="shared" si="0"/>
        <v>0</v>
      </c>
      <c r="G22" s="69">
        <f t="shared" si="1"/>
        <v>0</v>
      </c>
    </row>
    <row r="23" spans="1:9" x14ac:dyDescent="0.25">
      <c r="A23" s="39" t="s">
        <v>27</v>
      </c>
      <c r="B23" s="125" t="s">
        <v>26</v>
      </c>
      <c r="C23" s="87">
        <v>4.3600000000000003</v>
      </c>
      <c r="D23" s="69">
        <v>158160.26999999999</v>
      </c>
      <c r="E23" s="69">
        <v>144359.5</v>
      </c>
      <c r="F23" s="69">
        <f>D23</f>
        <v>158160.26999999999</v>
      </c>
      <c r="G23" s="69">
        <f t="shared" si="1"/>
        <v>13800.76999999999</v>
      </c>
    </row>
    <row r="24" spans="1:9" x14ac:dyDescent="0.25">
      <c r="A24" s="39" t="s">
        <v>29</v>
      </c>
      <c r="B24" s="125" t="s">
        <v>97</v>
      </c>
      <c r="C24" s="357">
        <v>0</v>
      </c>
      <c r="D24" s="69">
        <v>0</v>
      </c>
      <c r="E24" s="69">
        <v>0</v>
      </c>
      <c r="F24" s="69">
        <f t="shared" si="0"/>
        <v>0</v>
      </c>
      <c r="G24" s="69">
        <f t="shared" si="1"/>
        <v>0</v>
      </c>
    </row>
    <row r="25" spans="1:9" x14ac:dyDescent="0.25">
      <c r="A25" s="39" t="s">
        <v>31</v>
      </c>
      <c r="B25" s="125" t="s">
        <v>80</v>
      </c>
      <c r="C25" s="87">
        <v>2.36</v>
      </c>
      <c r="D25" s="69">
        <f>85730.16+D26</f>
        <v>117689.28</v>
      </c>
      <c r="E25" s="69">
        <f>78301.01+E26</f>
        <v>101735.81</v>
      </c>
      <c r="F25" s="79">
        <f>F43</f>
        <v>30933.358100000001</v>
      </c>
      <c r="G25" s="69">
        <f t="shared" si="1"/>
        <v>15953.470000000001</v>
      </c>
    </row>
    <row r="26" spans="1:9" x14ac:dyDescent="0.25">
      <c r="A26" s="39"/>
      <c r="B26" s="292" t="s">
        <v>244</v>
      </c>
      <c r="C26" s="293"/>
      <c r="D26" s="294">
        <f>23434.8+8524.32</f>
        <v>31959.119999999999</v>
      </c>
      <c r="E26" s="294">
        <f>23434.8+0</f>
        <v>23434.799999999999</v>
      </c>
      <c r="F26" s="294"/>
      <c r="G26" s="248"/>
    </row>
    <row r="27" spans="1:9" x14ac:dyDescent="0.25">
      <c r="A27" s="39" t="s">
        <v>33</v>
      </c>
      <c r="B27" s="119" t="s">
        <v>34</v>
      </c>
      <c r="C27" s="43">
        <v>0</v>
      </c>
      <c r="D27" s="69">
        <v>0</v>
      </c>
      <c r="E27" s="69">
        <v>0</v>
      </c>
      <c r="F27" s="79">
        <v>0</v>
      </c>
      <c r="G27" s="69">
        <f t="shared" si="1"/>
        <v>0</v>
      </c>
    </row>
    <row r="28" spans="1:9" x14ac:dyDescent="0.25">
      <c r="A28" s="39" t="s">
        <v>35</v>
      </c>
      <c r="B28" s="119" t="s">
        <v>36</v>
      </c>
      <c r="C28" s="87"/>
      <c r="D28" s="69">
        <f>SUM(D29:D32)</f>
        <v>110904.26999999999</v>
      </c>
      <c r="E28" s="69">
        <f>SUM(E29:E32)</f>
        <v>74713.81</v>
      </c>
      <c r="F28" s="69">
        <f>SUM(F29:F32)</f>
        <v>110904.26999999999</v>
      </c>
      <c r="G28" s="69">
        <f t="shared" si="1"/>
        <v>36190.459999999992</v>
      </c>
    </row>
    <row r="29" spans="1:9" x14ac:dyDescent="0.25">
      <c r="A29" s="34" t="s">
        <v>37</v>
      </c>
      <c r="B29" s="34" t="s">
        <v>101</v>
      </c>
      <c r="C29" s="89">
        <v>7.36</v>
      </c>
      <c r="D29" s="76">
        <v>69899.289999999994</v>
      </c>
      <c r="E29" s="76">
        <v>47584.3</v>
      </c>
      <c r="F29" s="76">
        <f>D29</f>
        <v>69899.289999999994</v>
      </c>
      <c r="G29" s="76">
        <f t="shared" si="1"/>
        <v>22314.989999999991</v>
      </c>
    </row>
    <row r="30" spans="1:9" x14ac:dyDescent="0.25">
      <c r="A30" s="34" t="s">
        <v>39</v>
      </c>
      <c r="B30" s="34" t="s">
        <v>84</v>
      </c>
      <c r="C30" s="89">
        <v>88.38</v>
      </c>
      <c r="D30" s="76">
        <v>12955.7</v>
      </c>
      <c r="E30" s="76">
        <v>8547</v>
      </c>
      <c r="F30" s="76">
        <f>D30</f>
        <v>12955.7</v>
      </c>
      <c r="G30" s="76">
        <f t="shared" si="1"/>
        <v>4408.7000000000007</v>
      </c>
    </row>
    <row r="31" spans="1:9" x14ac:dyDescent="0.25">
      <c r="A31" s="34" t="s">
        <v>42</v>
      </c>
      <c r="B31" s="34" t="s">
        <v>40</v>
      </c>
      <c r="C31" s="128">
        <v>262.18</v>
      </c>
      <c r="D31" s="76">
        <v>28049.279999999999</v>
      </c>
      <c r="E31" s="76">
        <v>18582.509999999998</v>
      </c>
      <c r="F31" s="76">
        <f>D31</f>
        <v>28049.279999999999</v>
      </c>
      <c r="G31" s="76">
        <f t="shared" si="1"/>
        <v>9466.77</v>
      </c>
    </row>
    <row r="32" spans="1:9" x14ac:dyDescent="0.25">
      <c r="A32" s="34" t="s">
        <v>41</v>
      </c>
      <c r="B32" s="34" t="s">
        <v>43</v>
      </c>
      <c r="C32" s="89">
        <v>3352.42</v>
      </c>
      <c r="D32" s="76">
        <v>0</v>
      </c>
      <c r="E32" s="76">
        <v>0</v>
      </c>
      <c r="F32" s="76">
        <f>D32</f>
        <v>0</v>
      </c>
      <c r="G32" s="76">
        <f t="shared" si="1"/>
        <v>0</v>
      </c>
      <c r="H32" s="91"/>
      <c r="I32" s="91"/>
    </row>
    <row r="33" spans="1:11" ht="15.75" customHeight="1" thickBot="1" x14ac:dyDescent="0.3">
      <c r="A33" s="373"/>
      <c r="B33" s="374"/>
      <c r="C33" s="374"/>
      <c r="D33" s="375"/>
      <c r="E33" s="375"/>
      <c r="F33" s="375"/>
      <c r="G33" s="155"/>
      <c r="H33" s="91"/>
      <c r="I33" s="91"/>
    </row>
    <row r="34" spans="1:11" s="92" customFormat="1" ht="14.25" thickBot="1" x14ac:dyDescent="0.3">
      <c r="A34" s="387" t="s">
        <v>427</v>
      </c>
      <c r="B34" s="388"/>
      <c r="C34" s="388"/>
      <c r="D34" s="57">
        <v>144367.87</v>
      </c>
      <c r="E34" s="58"/>
      <c r="F34" s="58"/>
      <c r="G34" s="58"/>
      <c r="H34" s="54"/>
      <c r="I34" s="54"/>
      <c r="J34" s="91"/>
    </row>
    <row r="35" spans="1:11" s="59" customFormat="1" ht="7.5" customHeight="1" thickBot="1" x14ac:dyDescent="0.3">
      <c r="A35" s="60"/>
      <c r="B35" s="60"/>
      <c r="C35" s="60"/>
      <c r="D35" s="38"/>
      <c r="E35" s="58"/>
      <c r="F35" s="58"/>
      <c r="G35" s="58"/>
      <c r="H35" s="54"/>
      <c r="I35" s="54"/>
    </row>
    <row r="36" spans="1:11" s="59" customFormat="1" ht="15.75" thickBot="1" x14ac:dyDescent="0.3">
      <c r="A36" s="55" t="s">
        <v>428</v>
      </c>
      <c r="B36" s="56"/>
      <c r="C36" s="56"/>
      <c r="D36" s="61"/>
      <c r="E36" s="62"/>
      <c r="F36" s="62"/>
      <c r="G36" s="129">
        <f>G14+E25-F25</f>
        <v>74024.353600000017</v>
      </c>
      <c r="H36" s="54"/>
      <c r="I36" s="54"/>
    </row>
    <row r="37" spans="1:11" s="59" customFormat="1" x14ac:dyDescent="0.25">
      <c r="A37" s="392" t="s">
        <v>90</v>
      </c>
      <c r="B37" s="392"/>
      <c r="C37" s="60"/>
      <c r="D37" s="38"/>
      <c r="E37" s="58"/>
      <c r="F37" s="58"/>
      <c r="G37" s="38"/>
      <c r="H37" s="54"/>
      <c r="I37" s="54"/>
    </row>
    <row r="38" spans="1:11" s="59" customFormat="1" x14ac:dyDescent="0.25">
      <c r="A38" s="393" t="s">
        <v>91</v>
      </c>
      <c r="B38" s="394"/>
      <c r="C38" s="41" t="s">
        <v>92</v>
      </c>
      <c r="D38" s="41" t="s">
        <v>93</v>
      </c>
      <c r="E38" s="42" t="s">
        <v>94</v>
      </c>
      <c r="F38" s="40" t="s">
        <v>95</v>
      </c>
      <c r="G38" s="42" t="s">
        <v>96</v>
      </c>
      <c r="H38" s="54"/>
      <c r="I38" s="54">
        <f>301*H39*3</f>
        <v>27604.71</v>
      </c>
      <c r="J38" s="59">
        <v>14718.26</v>
      </c>
      <c r="K38" s="59">
        <v>14718.26</v>
      </c>
    </row>
    <row r="39" spans="1:11" s="59" customFormat="1" x14ac:dyDescent="0.25">
      <c r="A39" s="395"/>
      <c r="B39" s="396"/>
      <c r="C39" s="110">
        <f>827.5+301</f>
        <v>1128.5</v>
      </c>
      <c r="D39" s="138">
        <f>E39/C39/12</f>
        <v>36.541304090976219</v>
      </c>
      <c r="E39" s="73">
        <f>191282.18+303560.16</f>
        <v>494842.33999999997</v>
      </c>
      <c r="F39" s="75">
        <v>345087.5</v>
      </c>
      <c r="G39" s="138">
        <f>E39-F39</f>
        <v>149754.83999999997</v>
      </c>
      <c r="H39" s="335">
        <f>C17+C23+C25</f>
        <v>30.57</v>
      </c>
      <c r="I39" s="54">
        <f>827.5*H39*3</f>
        <v>75890.024999999994</v>
      </c>
      <c r="J39" s="59">
        <f>217417.38</f>
        <v>217417.38</v>
      </c>
      <c r="K39" s="59">
        <f>121879.1</f>
        <v>121879.1</v>
      </c>
    </row>
    <row r="40" spans="1:11" s="59" customFormat="1" ht="31.5" customHeight="1" x14ac:dyDescent="0.25">
      <c r="A40" s="485" t="s">
        <v>44</v>
      </c>
      <c r="B40" s="485"/>
      <c r="C40" s="485"/>
      <c r="D40" s="485"/>
      <c r="E40" s="485"/>
      <c r="F40" s="485"/>
      <c r="G40" s="485"/>
      <c r="H40" s="485"/>
      <c r="I40" s="485"/>
    </row>
    <row r="42" spans="1:11" ht="28.5" x14ac:dyDescent="0.25">
      <c r="A42" s="94" t="s">
        <v>11</v>
      </c>
      <c r="B42" s="416" t="s">
        <v>45</v>
      </c>
      <c r="C42" s="425"/>
      <c r="D42" s="94" t="s">
        <v>99</v>
      </c>
      <c r="E42" s="94" t="s">
        <v>98</v>
      </c>
      <c r="F42" s="416" t="s">
        <v>46</v>
      </c>
      <c r="G42" s="425"/>
      <c r="H42" s="156"/>
      <c r="I42" s="156"/>
    </row>
    <row r="43" spans="1:11" s="156" customFormat="1" x14ac:dyDescent="0.25">
      <c r="A43" s="98" t="s">
        <v>47</v>
      </c>
      <c r="B43" s="418" t="s">
        <v>75</v>
      </c>
      <c r="C43" s="430"/>
      <c r="D43" s="99"/>
      <c r="E43" s="99"/>
      <c r="F43" s="436">
        <f>SUM(F44:G46)</f>
        <v>30933.358100000001</v>
      </c>
      <c r="G43" s="424"/>
      <c r="H43" s="103"/>
      <c r="I43" s="103"/>
    </row>
    <row r="44" spans="1:11" s="156" customFormat="1" x14ac:dyDescent="0.25">
      <c r="A44" s="124" t="s">
        <v>16</v>
      </c>
      <c r="B44" s="401" t="s">
        <v>408</v>
      </c>
      <c r="C44" s="432"/>
      <c r="D44" s="182" t="s">
        <v>100</v>
      </c>
      <c r="E44" s="182">
        <v>1</v>
      </c>
      <c r="F44" s="520">
        <v>29916</v>
      </c>
      <c r="G44" s="424"/>
      <c r="H44" s="103"/>
      <c r="I44" s="103"/>
    </row>
    <row r="45" spans="1:11" s="156" customFormat="1" x14ac:dyDescent="0.25">
      <c r="A45" s="124" t="s">
        <v>18</v>
      </c>
      <c r="B45" s="461"/>
      <c r="C45" s="462"/>
      <c r="D45" s="269"/>
      <c r="E45" s="269"/>
      <c r="F45" s="518"/>
      <c r="G45" s="519"/>
      <c r="H45" s="103"/>
      <c r="I45" s="103"/>
    </row>
    <row r="46" spans="1:11" s="103" customFormat="1" ht="13.5" customHeight="1" x14ac:dyDescent="0.25">
      <c r="A46" s="124" t="s">
        <v>20</v>
      </c>
      <c r="B46" s="133" t="s">
        <v>108</v>
      </c>
      <c r="C46" s="134"/>
      <c r="D46" s="105"/>
      <c r="E46" s="105"/>
      <c r="F46" s="439">
        <f>E25*1%</f>
        <v>1017.3581</v>
      </c>
      <c r="G46" s="439"/>
      <c r="H46" s="35"/>
      <c r="I46" s="35"/>
    </row>
    <row r="47" spans="1:11" ht="13.5" customHeight="1" x14ac:dyDescent="0.25">
      <c r="A47" s="59"/>
      <c r="B47" s="59"/>
      <c r="C47" s="59"/>
      <c r="D47" s="59"/>
      <c r="E47" s="59"/>
      <c r="F47" s="59"/>
      <c r="G47" s="59"/>
      <c r="H47" s="59"/>
      <c r="I47" s="59"/>
    </row>
    <row r="48" spans="1:11" ht="13.5" customHeight="1" x14ac:dyDescent="0.25">
      <c r="A48" s="51" t="s">
        <v>372</v>
      </c>
      <c r="B48" s="59"/>
      <c r="C48" s="59" t="s">
        <v>49</v>
      </c>
      <c r="D48" s="59"/>
      <c r="E48" s="59"/>
      <c r="F48" s="59" t="s">
        <v>60</v>
      </c>
      <c r="G48" s="59"/>
      <c r="H48" s="59"/>
      <c r="I48" s="59"/>
    </row>
    <row r="49" spans="1:9" ht="13.5" customHeight="1" x14ac:dyDescent="0.25">
      <c r="A49" s="59"/>
      <c r="B49" s="59"/>
      <c r="C49" s="59"/>
      <c r="D49" s="59"/>
      <c r="E49" s="59"/>
      <c r="F49" s="111" t="s">
        <v>438</v>
      </c>
      <c r="G49" s="59"/>
      <c r="H49" s="59"/>
      <c r="I49" s="59"/>
    </row>
    <row r="50" spans="1:9" ht="13.5" customHeight="1" x14ac:dyDescent="0.25">
      <c r="A50" s="59" t="s">
        <v>50</v>
      </c>
      <c r="B50" s="59"/>
      <c r="C50" s="59"/>
      <c r="D50" s="59"/>
      <c r="E50" s="59"/>
      <c r="F50" s="59"/>
      <c r="G50" s="59"/>
      <c r="H50" s="59"/>
      <c r="I50" s="59"/>
    </row>
    <row r="51" spans="1:9" s="59" customFormat="1" x14ac:dyDescent="0.25">
      <c r="C51" s="113" t="s">
        <v>51</v>
      </c>
      <c r="E51" s="113"/>
      <c r="F51" s="113"/>
      <c r="G51" s="113"/>
    </row>
    <row r="52" spans="1:9" s="59" customFormat="1" x14ac:dyDescent="0.25">
      <c r="A52" s="35"/>
      <c r="B52" s="139"/>
      <c r="C52" s="139"/>
      <c r="D52" s="139"/>
      <c r="E52" s="139"/>
      <c r="F52" s="35"/>
      <c r="G52" s="35"/>
      <c r="H52" s="35"/>
      <c r="I52" s="35"/>
    </row>
    <row r="53" spans="1:9" s="59" customFormat="1" ht="13.5" customHeight="1" x14ac:dyDescent="0.25"/>
  </sheetData>
  <mergeCells count="21">
    <mergeCell ref="A2:K2"/>
    <mergeCell ref="A37:B37"/>
    <mergeCell ref="A38:B39"/>
    <mergeCell ref="A12:I12"/>
    <mergeCell ref="B44:C44"/>
    <mergeCell ref="F46:G46"/>
    <mergeCell ref="F45:G45"/>
    <mergeCell ref="B45:C45"/>
    <mergeCell ref="F44:G44"/>
    <mergeCell ref="A1:I1"/>
    <mergeCell ref="A5:I5"/>
    <mergeCell ref="A10:I10"/>
    <mergeCell ref="A3:K3"/>
    <mergeCell ref="A11:I11"/>
    <mergeCell ref="A33:F33"/>
    <mergeCell ref="F43:G43"/>
    <mergeCell ref="A34:C34"/>
    <mergeCell ref="B42:C42"/>
    <mergeCell ref="F42:G42"/>
    <mergeCell ref="B43:C43"/>
    <mergeCell ref="A40:I40"/>
  </mergeCells>
  <phoneticPr fontId="14" type="noConversion"/>
  <pageMargins left="0" right="0" top="0" bottom="0" header="0.31496062992125984" footer="0.31496062992125984"/>
  <pageSetup paperSize="9" orientation="landscape" verticalDpi="0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F95C46-EFF8-4415-AF16-E6D275F51CB6}">
  <dimension ref="A1:L53"/>
  <sheetViews>
    <sheetView topLeftCell="A16" workbookViewId="0">
      <selection activeCell="M47" sqref="M47"/>
    </sheetView>
  </sheetViews>
  <sheetFormatPr defaultRowHeight="12.75" outlineLevelCol="1" x14ac:dyDescent="0.2"/>
  <cols>
    <col min="1" max="1" width="3.5703125" style="19" customWidth="1"/>
    <col min="2" max="2" width="24.85546875" style="19" customWidth="1"/>
    <col min="3" max="3" width="8" style="19" customWidth="1"/>
    <col min="4" max="4" width="10.140625" style="19" customWidth="1"/>
    <col min="5" max="5" width="10.85546875" style="19" customWidth="1"/>
    <col min="6" max="6" width="10.5703125" style="19" customWidth="1"/>
    <col min="7" max="7" width="11.28515625" style="19" customWidth="1"/>
    <col min="8" max="8" width="10.140625" style="19" customWidth="1"/>
    <col min="9" max="9" width="10.42578125" style="19" customWidth="1"/>
    <col min="10" max="11" width="9.140625" style="19" hidden="1" customWidth="1" outlineLevel="1"/>
    <col min="12" max="12" width="9.140625" style="19" collapsed="1"/>
    <col min="13" max="16384" width="9.140625" style="19"/>
  </cols>
  <sheetData>
    <row r="1" spans="1:9" x14ac:dyDescent="0.2">
      <c r="A1" s="540" t="s">
        <v>0</v>
      </c>
      <c r="B1" s="540"/>
      <c r="C1" s="540"/>
      <c r="D1" s="540"/>
      <c r="E1" s="540"/>
      <c r="F1" s="540"/>
      <c r="G1" s="540"/>
      <c r="H1" s="540"/>
      <c r="I1" s="540"/>
    </row>
    <row r="2" spans="1:9" x14ac:dyDescent="0.2">
      <c r="A2" s="540" t="s">
        <v>52</v>
      </c>
      <c r="B2" s="540"/>
      <c r="C2" s="540"/>
      <c r="D2" s="540"/>
      <c r="E2" s="540"/>
      <c r="F2" s="540"/>
      <c r="G2" s="540"/>
      <c r="H2" s="540"/>
      <c r="I2" s="540"/>
    </row>
    <row r="3" spans="1:9" x14ac:dyDescent="0.2">
      <c r="A3" s="540" t="s">
        <v>65</v>
      </c>
      <c r="B3" s="540"/>
      <c r="C3" s="540"/>
      <c r="D3" s="540"/>
      <c r="E3" s="540"/>
      <c r="F3" s="540"/>
      <c r="G3" s="540"/>
      <c r="H3" s="540"/>
      <c r="I3" s="540"/>
    </row>
    <row r="4" spans="1:9" x14ac:dyDescent="0.2">
      <c r="A4" s="20"/>
      <c r="B4" s="20"/>
      <c r="C4" s="20"/>
      <c r="D4" s="20"/>
      <c r="E4" s="20"/>
      <c r="F4" s="20"/>
      <c r="G4" s="20"/>
      <c r="H4" s="20"/>
      <c r="I4" s="20"/>
    </row>
    <row r="5" spans="1:9" x14ac:dyDescent="0.2">
      <c r="A5" s="534" t="s">
        <v>1</v>
      </c>
      <c r="B5" s="540"/>
      <c r="C5" s="540"/>
      <c r="D5" s="540"/>
      <c r="E5" s="540"/>
      <c r="F5" s="540"/>
      <c r="G5" s="540"/>
      <c r="H5" s="540"/>
      <c r="I5" s="540"/>
    </row>
    <row r="7" spans="1:9" s="21" customFormat="1" x14ac:dyDescent="0.2">
      <c r="A7" s="21" t="s">
        <v>2</v>
      </c>
      <c r="F7" s="22" t="s">
        <v>53</v>
      </c>
    </row>
    <row r="8" spans="1:9" s="21" customFormat="1" x14ac:dyDescent="0.2">
      <c r="A8" s="21" t="s">
        <v>3</v>
      </c>
      <c r="F8" s="22" t="s">
        <v>54</v>
      </c>
    </row>
    <row r="9" spans="1:9" s="21" customFormat="1" x14ac:dyDescent="0.2">
      <c r="A9" s="21" t="s">
        <v>4</v>
      </c>
    </row>
    <row r="10" spans="1:9" s="21" customFormat="1" x14ac:dyDescent="0.2">
      <c r="A10" s="21" t="s">
        <v>5</v>
      </c>
      <c r="F10" s="22" t="s">
        <v>6</v>
      </c>
    </row>
    <row r="11" spans="1:9" s="21" customFormat="1" x14ac:dyDescent="0.2">
      <c r="A11" s="21" t="s">
        <v>7</v>
      </c>
      <c r="F11" s="22" t="s">
        <v>6</v>
      </c>
    </row>
    <row r="12" spans="1:9" s="21" customFormat="1" x14ac:dyDescent="0.2"/>
    <row r="13" spans="1:9" s="21" customFormat="1" x14ac:dyDescent="0.2">
      <c r="A13" s="530" t="s">
        <v>8</v>
      </c>
      <c r="B13" s="530"/>
      <c r="C13" s="530"/>
      <c r="D13" s="530"/>
      <c r="E13" s="530"/>
      <c r="F13" s="530"/>
      <c r="G13" s="530"/>
      <c r="H13" s="530"/>
      <c r="I13" s="530"/>
    </row>
    <row r="14" spans="1:9" s="21" customFormat="1" x14ac:dyDescent="0.2">
      <c r="A14" s="530" t="s">
        <v>9</v>
      </c>
      <c r="B14" s="530"/>
      <c r="C14" s="530"/>
      <c r="D14" s="530"/>
      <c r="E14" s="530"/>
      <c r="F14" s="530"/>
      <c r="G14" s="530"/>
      <c r="H14" s="530"/>
      <c r="I14" s="530"/>
    </row>
    <row r="15" spans="1:9" s="21" customFormat="1" x14ac:dyDescent="0.2">
      <c r="A15" s="530" t="s">
        <v>10</v>
      </c>
      <c r="B15" s="530"/>
      <c r="C15" s="530"/>
      <c r="D15" s="530"/>
      <c r="E15" s="530"/>
      <c r="F15" s="530"/>
      <c r="G15" s="530"/>
      <c r="H15" s="530"/>
      <c r="I15" s="530"/>
    </row>
    <row r="16" spans="1:9" s="21" customFormat="1" x14ac:dyDescent="0.2"/>
    <row r="17" spans="1:11" s="14" customFormat="1" ht="51" x14ac:dyDescent="0.25">
      <c r="A17" s="5" t="s">
        <v>11</v>
      </c>
      <c r="B17" s="5" t="s">
        <v>12</v>
      </c>
      <c r="C17" s="5" t="s">
        <v>61</v>
      </c>
      <c r="D17" s="5" t="s">
        <v>13</v>
      </c>
      <c r="E17" s="5" t="s">
        <v>56</v>
      </c>
      <c r="F17" s="5" t="s">
        <v>57</v>
      </c>
      <c r="G17" s="13" t="s">
        <v>58</v>
      </c>
      <c r="H17" s="5" t="s">
        <v>59</v>
      </c>
      <c r="I17" s="5" t="s">
        <v>71</v>
      </c>
    </row>
    <row r="18" spans="1:11" s="21" customFormat="1" ht="25.5" x14ac:dyDescent="0.2">
      <c r="A18" s="23" t="s">
        <v>14</v>
      </c>
      <c r="B18" s="24" t="s">
        <v>15</v>
      </c>
      <c r="C18" s="25">
        <v>6.75</v>
      </c>
      <c r="D18" s="23">
        <v>-25096.32</v>
      </c>
      <c r="E18" s="23">
        <v>174103.45</v>
      </c>
      <c r="F18" s="26">
        <v>169317.59</v>
      </c>
      <c r="G18" s="26">
        <f>E18</f>
        <v>174103.45</v>
      </c>
      <c r="H18" s="27">
        <f t="shared" ref="H18:H33" si="0">D18+F18-G18</f>
        <v>-29882.180000000022</v>
      </c>
      <c r="I18" s="27">
        <f t="shared" ref="I18:I33" si="1">F18-E18</f>
        <v>-4785.8600000000151</v>
      </c>
      <c r="J18" s="28">
        <v>6.75</v>
      </c>
      <c r="K18" s="28"/>
    </row>
    <row r="19" spans="1:11" s="21" customFormat="1" ht="25.5" x14ac:dyDescent="0.2">
      <c r="A19" s="23" t="s">
        <v>16</v>
      </c>
      <c r="B19" s="24" t="s">
        <v>17</v>
      </c>
      <c r="C19" s="25">
        <v>2.41</v>
      </c>
      <c r="D19" s="26">
        <v>-8687.19</v>
      </c>
      <c r="E19" s="26">
        <f>E18*K19</f>
        <v>62161.379925925932</v>
      </c>
      <c r="F19" s="26">
        <f>F18*K19</f>
        <v>60452.650651851851</v>
      </c>
      <c r="G19" s="26">
        <f>E19</f>
        <v>62161.379925925932</v>
      </c>
      <c r="H19" s="27">
        <f t="shared" si="0"/>
        <v>-10395.919274074084</v>
      </c>
      <c r="I19" s="27">
        <f t="shared" si="1"/>
        <v>-1708.7292740740813</v>
      </c>
      <c r="J19" s="28">
        <v>2.41</v>
      </c>
      <c r="K19" s="28">
        <f>J19/J18</f>
        <v>0.35703703703703704</v>
      </c>
    </row>
    <row r="20" spans="1:11" s="21" customFormat="1" ht="25.5" x14ac:dyDescent="0.2">
      <c r="A20" s="23" t="s">
        <v>18</v>
      </c>
      <c r="B20" s="24" t="s">
        <v>19</v>
      </c>
      <c r="C20" s="25">
        <v>1.2</v>
      </c>
      <c r="D20" s="26">
        <v>-4918.1400000000003</v>
      </c>
      <c r="E20" s="26">
        <f>E18*K20</f>
        <v>30951.724444444448</v>
      </c>
      <c r="F20" s="26">
        <f>F18*K20</f>
        <v>30100.90488888889</v>
      </c>
      <c r="G20" s="26">
        <f>E20</f>
        <v>30951.724444444448</v>
      </c>
      <c r="H20" s="27">
        <f t="shared" si="0"/>
        <v>-5768.959555555557</v>
      </c>
      <c r="I20" s="27">
        <f t="shared" si="1"/>
        <v>-850.8195555555576</v>
      </c>
      <c r="J20" s="28">
        <v>1.2</v>
      </c>
      <c r="K20" s="28">
        <f>J20/J18</f>
        <v>0.17777777777777778</v>
      </c>
    </row>
    <row r="21" spans="1:11" s="21" customFormat="1" ht="25.5" x14ac:dyDescent="0.2">
      <c r="A21" s="23" t="s">
        <v>20</v>
      </c>
      <c r="B21" s="24" t="s">
        <v>21</v>
      </c>
      <c r="C21" s="25">
        <v>1.51</v>
      </c>
      <c r="D21" s="26">
        <v>-6113.21</v>
      </c>
      <c r="E21" s="26">
        <f>E18*K21</f>
        <v>38947.586592592597</v>
      </c>
      <c r="F21" s="26">
        <f>F18*K21</f>
        <v>37876.971985185184</v>
      </c>
      <c r="G21" s="26">
        <f>E21</f>
        <v>38947.586592592597</v>
      </c>
      <c r="H21" s="27">
        <f t="shared" si="0"/>
        <v>-7183.8246074074123</v>
      </c>
      <c r="I21" s="27">
        <f t="shared" si="1"/>
        <v>-1070.6146074074131</v>
      </c>
      <c r="J21" s="28">
        <v>1.51</v>
      </c>
      <c r="K21" s="28">
        <f>J21/J18</f>
        <v>0.22370370370370371</v>
      </c>
    </row>
    <row r="22" spans="1:11" s="21" customFormat="1" ht="25.5" x14ac:dyDescent="0.2">
      <c r="A22" s="23" t="s">
        <v>22</v>
      </c>
      <c r="B22" s="24" t="s">
        <v>23</v>
      </c>
      <c r="C22" s="25">
        <v>1.63</v>
      </c>
      <c r="D22" s="26">
        <v>-5377.78</v>
      </c>
      <c r="E22" s="26">
        <f>E18*K22</f>
        <v>42042.759037037038</v>
      </c>
      <c r="F22" s="26">
        <f>F18*K22</f>
        <v>40887.062474074068</v>
      </c>
      <c r="G22" s="26">
        <f>E22</f>
        <v>42042.759037037038</v>
      </c>
      <c r="H22" s="27">
        <f t="shared" si="0"/>
        <v>-6533.4765629629692</v>
      </c>
      <c r="I22" s="27">
        <f t="shared" si="1"/>
        <v>-1155.6965629629703</v>
      </c>
      <c r="J22" s="28">
        <v>1.63</v>
      </c>
      <c r="K22" s="28">
        <f>J22/J18</f>
        <v>0.24148148148148146</v>
      </c>
    </row>
    <row r="23" spans="1:11" x14ac:dyDescent="0.2">
      <c r="A23" s="24" t="s">
        <v>25</v>
      </c>
      <c r="B23" s="24" t="s">
        <v>26</v>
      </c>
      <c r="C23" s="25">
        <v>3.15</v>
      </c>
      <c r="D23" s="24">
        <v>0</v>
      </c>
      <c r="E23" s="24">
        <v>0</v>
      </c>
      <c r="F23" s="27">
        <v>0</v>
      </c>
      <c r="G23" s="27">
        <v>0</v>
      </c>
      <c r="H23" s="27">
        <f t="shared" si="0"/>
        <v>0</v>
      </c>
      <c r="I23" s="27">
        <f t="shared" si="1"/>
        <v>0</v>
      </c>
    </row>
    <row r="24" spans="1:11" x14ac:dyDescent="0.2">
      <c r="A24" s="24" t="s">
        <v>27</v>
      </c>
      <c r="B24" s="24" t="s">
        <v>28</v>
      </c>
      <c r="C24" s="12">
        <v>2.6</v>
      </c>
      <c r="D24" s="24">
        <v>-6439.37</v>
      </c>
      <c r="E24" s="24">
        <v>59389.919999999998</v>
      </c>
      <c r="F24" s="27">
        <v>57568.62</v>
      </c>
      <c r="G24" s="27">
        <f>E24</f>
        <v>59389.919999999998</v>
      </c>
      <c r="H24" s="27">
        <f t="shared" si="0"/>
        <v>-8260.6699999999983</v>
      </c>
      <c r="I24" s="27">
        <f t="shared" si="1"/>
        <v>-1821.2999999999956</v>
      </c>
    </row>
    <row r="25" spans="1:11" ht="12.75" customHeight="1" x14ac:dyDescent="0.2">
      <c r="A25" s="24" t="s">
        <v>29</v>
      </c>
      <c r="B25" s="24" t="s">
        <v>30</v>
      </c>
      <c r="C25" s="25">
        <v>0.81</v>
      </c>
      <c r="D25" s="24">
        <v>0</v>
      </c>
      <c r="E25" s="24">
        <v>0</v>
      </c>
      <c r="F25" s="24">
        <v>0</v>
      </c>
      <c r="G25" s="24">
        <v>0</v>
      </c>
      <c r="H25" s="24">
        <f t="shared" si="0"/>
        <v>0</v>
      </c>
      <c r="I25" s="24">
        <f t="shared" si="1"/>
        <v>0</v>
      </c>
    </row>
    <row r="26" spans="1:11" ht="25.5" x14ac:dyDescent="0.2">
      <c r="A26" s="24" t="s">
        <v>31</v>
      </c>
      <c r="B26" s="24" t="s">
        <v>32</v>
      </c>
      <c r="C26" s="25">
        <v>1.61</v>
      </c>
      <c r="D26" s="24">
        <v>-28369.61</v>
      </c>
      <c r="E26" s="24">
        <v>65703.009999999995</v>
      </c>
      <c r="F26" s="24">
        <v>65330.400000000001</v>
      </c>
      <c r="G26" s="24">
        <v>24581.67</v>
      </c>
      <c r="H26" s="24">
        <f>D26+F26-G26</f>
        <v>12379.120000000003</v>
      </c>
      <c r="I26" s="24">
        <f>F26-E26</f>
        <v>-372.60999999999331</v>
      </c>
    </row>
    <row r="27" spans="1:11" s="33" customFormat="1" x14ac:dyDescent="0.2">
      <c r="A27" s="538" t="s">
        <v>72</v>
      </c>
      <c r="B27" s="539"/>
      <c r="C27" s="31"/>
      <c r="D27" s="32">
        <f t="shared" ref="D27:I27" si="2">D18+D23+D24+D25+D26</f>
        <v>-59905.3</v>
      </c>
      <c r="E27" s="32">
        <f t="shared" si="2"/>
        <v>299196.38</v>
      </c>
      <c r="F27" s="32">
        <f t="shared" si="2"/>
        <v>292216.61</v>
      </c>
      <c r="G27" s="32">
        <f t="shared" si="2"/>
        <v>258075.03999999998</v>
      </c>
      <c r="H27" s="32">
        <f t="shared" si="2"/>
        <v>-25763.730000000018</v>
      </c>
      <c r="I27" s="32">
        <f t="shared" si="2"/>
        <v>-6979.7700000000041</v>
      </c>
    </row>
    <row r="28" spans="1:11" ht="25.5" x14ac:dyDescent="0.2">
      <c r="A28" s="24" t="s">
        <v>33</v>
      </c>
      <c r="B28" s="24" t="s">
        <v>34</v>
      </c>
      <c r="C28" s="25">
        <v>0</v>
      </c>
      <c r="D28" s="24">
        <v>21203.4</v>
      </c>
      <c r="E28" s="24">
        <v>0</v>
      </c>
      <c r="F28" s="24">
        <v>42.57</v>
      </c>
      <c r="G28" s="24">
        <v>0</v>
      </c>
      <c r="H28" s="24">
        <f t="shared" si="0"/>
        <v>21245.97</v>
      </c>
      <c r="I28" s="24">
        <f t="shared" si="1"/>
        <v>42.57</v>
      </c>
    </row>
    <row r="29" spans="1:11" ht="25.5" x14ac:dyDescent="0.2">
      <c r="A29" s="24" t="s">
        <v>35</v>
      </c>
      <c r="B29" s="24" t="s">
        <v>36</v>
      </c>
      <c r="C29" s="25">
        <f t="shared" ref="C29:I29" si="3">SUM(C30:C33)</f>
        <v>1680.9299999999998</v>
      </c>
      <c r="D29" s="24">
        <f t="shared" si="3"/>
        <v>-101927.91</v>
      </c>
      <c r="E29" s="24">
        <f t="shared" si="3"/>
        <v>1158486.7</v>
      </c>
      <c r="F29" s="24">
        <f t="shared" si="3"/>
        <v>1093856.1200000001</v>
      </c>
      <c r="G29" s="24">
        <f t="shared" si="3"/>
        <v>1144236.6000000001</v>
      </c>
      <c r="H29" s="24">
        <f t="shared" si="3"/>
        <v>-152308.38999999996</v>
      </c>
      <c r="I29" s="24">
        <f t="shared" si="3"/>
        <v>-64630.579999999951</v>
      </c>
    </row>
    <row r="30" spans="1:11" x14ac:dyDescent="0.2">
      <c r="A30" s="24" t="s">
        <v>37</v>
      </c>
      <c r="B30" s="24" t="s">
        <v>63</v>
      </c>
      <c r="C30" s="12">
        <v>3.13</v>
      </c>
      <c r="D30" s="24">
        <v>-5404.73</v>
      </c>
      <c r="E30" s="24">
        <v>14250.1</v>
      </c>
      <c r="F30" s="24">
        <v>16846.060000000001</v>
      </c>
      <c r="G30" s="24"/>
      <c r="H30" s="24">
        <f t="shared" si="0"/>
        <v>11441.330000000002</v>
      </c>
      <c r="I30" s="24">
        <f t="shared" si="1"/>
        <v>2595.9600000000009</v>
      </c>
    </row>
    <row r="31" spans="1:11" x14ac:dyDescent="0.2">
      <c r="A31" s="24" t="s">
        <v>39</v>
      </c>
      <c r="B31" s="24" t="s">
        <v>38</v>
      </c>
      <c r="C31" s="12">
        <v>18.21</v>
      </c>
      <c r="D31" s="24">
        <v>-13533.66</v>
      </c>
      <c r="E31" s="24">
        <v>202200.89</v>
      </c>
      <c r="F31" s="24">
        <v>195379.97</v>
      </c>
      <c r="G31" s="24">
        <f>E31</f>
        <v>202200.89</v>
      </c>
      <c r="H31" s="24">
        <f t="shared" si="0"/>
        <v>-20354.580000000016</v>
      </c>
      <c r="I31" s="24">
        <f t="shared" si="1"/>
        <v>-6820.9200000000128</v>
      </c>
    </row>
    <row r="32" spans="1:11" x14ac:dyDescent="0.2">
      <c r="A32" s="24" t="s">
        <v>42</v>
      </c>
      <c r="B32" s="24" t="s">
        <v>40</v>
      </c>
      <c r="C32" s="12">
        <v>115.3</v>
      </c>
      <c r="D32" s="24">
        <v>-22785.21</v>
      </c>
      <c r="E32" s="24">
        <v>350895.14</v>
      </c>
      <c r="F32" s="24">
        <v>322914.71000000002</v>
      </c>
      <c r="G32" s="24">
        <f>E32</f>
        <v>350895.14</v>
      </c>
      <c r="H32" s="24">
        <f t="shared" si="0"/>
        <v>-50765.640000000014</v>
      </c>
      <c r="I32" s="24">
        <f t="shared" si="1"/>
        <v>-27980.429999999993</v>
      </c>
    </row>
    <row r="33" spans="1:11" x14ac:dyDescent="0.2">
      <c r="A33" s="24" t="s">
        <v>41</v>
      </c>
      <c r="B33" s="24" t="s">
        <v>43</v>
      </c>
      <c r="C33" s="12">
        <v>1544.29</v>
      </c>
      <c r="D33" s="24">
        <v>-60204.31</v>
      </c>
      <c r="E33" s="24">
        <v>591140.56999999995</v>
      </c>
      <c r="F33" s="24">
        <v>558715.38</v>
      </c>
      <c r="G33" s="24">
        <f>E33</f>
        <v>591140.56999999995</v>
      </c>
      <c r="H33" s="24">
        <f t="shared" si="0"/>
        <v>-92629.499999999942</v>
      </c>
      <c r="I33" s="24">
        <f t="shared" si="1"/>
        <v>-32425.189999999944</v>
      </c>
    </row>
    <row r="34" spans="1:11" s="16" customFormat="1" ht="15" customHeight="1" x14ac:dyDescent="0.25">
      <c r="A34" s="531" t="s">
        <v>64</v>
      </c>
      <c r="B34" s="532"/>
      <c r="C34" s="533"/>
      <c r="D34" s="15">
        <f t="shared" ref="D34:K34" si="4">D18+D23+D24+D25+D29</f>
        <v>-133463.6</v>
      </c>
      <c r="E34" s="15">
        <f t="shared" si="4"/>
        <v>1391980.0699999998</v>
      </c>
      <c r="F34" s="15">
        <f t="shared" si="4"/>
        <v>1320742.33</v>
      </c>
      <c r="G34" s="15">
        <f t="shared" si="4"/>
        <v>1377729.9700000002</v>
      </c>
      <c r="H34" s="15">
        <f t="shared" si="4"/>
        <v>-190451.24</v>
      </c>
      <c r="I34" s="15">
        <f t="shared" si="4"/>
        <v>-71237.739999999962</v>
      </c>
      <c r="J34" s="15">
        <f t="shared" si="4"/>
        <v>6.75</v>
      </c>
      <c r="K34" s="15">
        <f t="shared" si="4"/>
        <v>0</v>
      </c>
    </row>
    <row r="35" spans="1:11" s="16" customFormat="1" ht="11.25" customHeight="1" x14ac:dyDescent="0.25">
      <c r="A35" s="17"/>
      <c r="B35" s="17"/>
      <c r="C35" s="17"/>
      <c r="D35" s="18"/>
      <c r="E35" s="18"/>
      <c r="F35" s="18"/>
      <c r="G35" s="18"/>
      <c r="H35" s="18"/>
      <c r="I35" s="18"/>
      <c r="J35" s="18"/>
      <c r="K35" s="18"/>
    </row>
    <row r="36" spans="1:11" ht="23.25" customHeight="1" x14ac:dyDescent="0.2">
      <c r="A36" s="534" t="s">
        <v>44</v>
      </c>
      <c r="B36" s="534"/>
      <c r="C36" s="534"/>
      <c r="D36" s="534"/>
      <c r="E36" s="534"/>
      <c r="F36" s="534"/>
      <c r="G36" s="534"/>
      <c r="H36" s="534"/>
      <c r="I36" s="534"/>
    </row>
    <row r="38" spans="1:11" s="14" customFormat="1" ht="28.5" customHeight="1" x14ac:dyDescent="0.2">
      <c r="A38" s="5" t="s">
        <v>11</v>
      </c>
      <c r="B38" s="535" t="s">
        <v>45</v>
      </c>
      <c r="C38" s="536"/>
      <c r="D38" s="536"/>
      <c r="E38" s="537"/>
      <c r="F38" s="535" t="s">
        <v>46</v>
      </c>
      <c r="G38" s="529"/>
    </row>
    <row r="39" spans="1:11" s="16" customFormat="1" ht="13.5" x14ac:dyDescent="0.25">
      <c r="A39" s="29" t="s">
        <v>47</v>
      </c>
      <c r="B39" s="525" t="s">
        <v>48</v>
      </c>
      <c r="C39" s="526"/>
      <c r="D39" s="526"/>
      <c r="E39" s="527"/>
      <c r="F39" s="528">
        <f>SUM(F40:G43)</f>
        <v>24581.67</v>
      </c>
      <c r="G39" s="529"/>
    </row>
    <row r="40" spans="1:11" ht="15.75" customHeight="1" x14ac:dyDescent="0.2">
      <c r="A40" s="24" t="s">
        <v>16</v>
      </c>
      <c r="B40" s="521" t="s">
        <v>68</v>
      </c>
      <c r="C40" s="522"/>
      <c r="D40" s="522"/>
      <c r="E40" s="523"/>
      <c r="F40" s="524">
        <v>1007.78</v>
      </c>
      <c r="G40" s="524"/>
    </row>
    <row r="41" spans="1:11" ht="15.75" customHeight="1" x14ac:dyDescent="0.2">
      <c r="A41" s="24" t="s">
        <v>18</v>
      </c>
      <c r="B41" s="521" t="s">
        <v>67</v>
      </c>
      <c r="C41" s="522"/>
      <c r="D41" s="522"/>
      <c r="E41" s="523"/>
      <c r="F41" s="524">
        <v>10480.41</v>
      </c>
      <c r="G41" s="524"/>
    </row>
    <row r="42" spans="1:11" ht="15.75" customHeight="1" x14ac:dyDescent="0.2">
      <c r="A42" s="24" t="s">
        <v>20</v>
      </c>
      <c r="B42" s="521" t="s">
        <v>69</v>
      </c>
      <c r="C42" s="522"/>
      <c r="D42" s="522"/>
      <c r="E42" s="523"/>
      <c r="F42" s="524">
        <v>3847.63</v>
      </c>
      <c r="G42" s="524"/>
    </row>
    <row r="43" spans="1:11" ht="15.75" customHeight="1" x14ac:dyDescent="0.2">
      <c r="A43" s="24" t="s">
        <v>22</v>
      </c>
      <c r="B43" s="521" t="s">
        <v>70</v>
      </c>
      <c r="C43" s="522"/>
      <c r="D43" s="522"/>
      <c r="E43" s="523"/>
      <c r="F43" s="524">
        <v>9245.85</v>
      </c>
      <c r="G43" s="524"/>
    </row>
    <row r="44" spans="1:11" x14ac:dyDescent="0.2">
      <c r="B44" s="9"/>
      <c r="C44" s="9"/>
      <c r="D44" s="9"/>
      <c r="E44" s="9"/>
    </row>
    <row r="45" spans="1:11" s="21" customFormat="1" x14ac:dyDescent="0.2"/>
    <row r="46" spans="1:11" s="21" customFormat="1" x14ac:dyDescent="0.2">
      <c r="A46" s="21" t="s">
        <v>55</v>
      </c>
      <c r="F46" s="21" t="s">
        <v>49</v>
      </c>
      <c r="H46" s="21" t="s">
        <v>60</v>
      </c>
    </row>
    <row r="47" spans="1:11" s="21" customFormat="1" x14ac:dyDescent="0.2"/>
    <row r="48" spans="1:11" s="21" customFormat="1" x14ac:dyDescent="0.2">
      <c r="F48" s="22" t="s">
        <v>66</v>
      </c>
    </row>
    <row r="49" spans="1:8" s="21" customFormat="1" x14ac:dyDescent="0.2"/>
    <row r="50" spans="1:8" s="21" customFormat="1" x14ac:dyDescent="0.2">
      <c r="A50" s="21" t="s">
        <v>50</v>
      </c>
    </row>
    <row r="51" spans="1:8" s="21" customFormat="1" x14ac:dyDescent="0.2">
      <c r="D51" s="30" t="s">
        <v>51</v>
      </c>
      <c r="F51" s="30"/>
      <c r="G51" s="30"/>
      <c r="H51" s="30"/>
    </row>
    <row r="52" spans="1:8" s="21" customFormat="1" x14ac:dyDescent="0.2"/>
    <row r="53" spans="1:8" s="21" customFormat="1" x14ac:dyDescent="0.2"/>
  </sheetData>
  <mergeCells count="22">
    <mergeCell ref="A14:I14"/>
    <mergeCell ref="A1:I1"/>
    <mergeCell ref="A2:I2"/>
    <mergeCell ref="A3:I3"/>
    <mergeCell ref="A5:I5"/>
    <mergeCell ref="A13:I13"/>
    <mergeCell ref="B39:E39"/>
    <mergeCell ref="F39:G39"/>
    <mergeCell ref="A15:I15"/>
    <mergeCell ref="A34:C34"/>
    <mergeCell ref="A36:I36"/>
    <mergeCell ref="B38:E38"/>
    <mergeCell ref="F38:G38"/>
    <mergeCell ref="A27:B27"/>
    <mergeCell ref="B40:E40"/>
    <mergeCell ref="F40:G40"/>
    <mergeCell ref="B41:E41"/>
    <mergeCell ref="F41:G41"/>
    <mergeCell ref="B43:E43"/>
    <mergeCell ref="F43:G43"/>
    <mergeCell ref="B42:E42"/>
    <mergeCell ref="F42:G42"/>
  </mergeCells>
  <phoneticPr fontId="14" type="noConversion"/>
  <pageMargins left="0" right="0" top="0" bottom="0" header="0.31496062992125984" footer="0.31496062992125984"/>
  <pageSetup paperSize="9" orientation="portrait" verticalDpi="0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BFB778-B438-431E-B3F4-970DB0B65B87}">
  <dimension ref="A1:L50"/>
  <sheetViews>
    <sheetView topLeftCell="A13" workbookViewId="0">
      <selection activeCell="O40" sqref="O40"/>
    </sheetView>
  </sheetViews>
  <sheetFormatPr defaultRowHeight="12.75" outlineLevelCol="1" x14ac:dyDescent="0.2"/>
  <cols>
    <col min="1" max="1" width="3.85546875" style="19" customWidth="1"/>
    <col min="2" max="2" width="29.28515625" style="19" customWidth="1"/>
    <col min="3" max="3" width="11.42578125" style="19" customWidth="1"/>
    <col min="4" max="4" width="13.28515625" style="19" customWidth="1"/>
    <col min="5" max="5" width="14.5703125" style="19" customWidth="1"/>
    <col min="6" max="6" width="13.42578125" style="19" customWidth="1"/>
    <col min="7" max="7" width="14" style="19" customWidth="1"/>
    <col min="8" max="8" width="10.140625" style="19" hidden="1" customWidth="1" outlineLevel="1"/>
    <col min="9" max="9" width="10.42578125" style="19" hidden="1" customWidth="1" outlineLevel="1"/>
    <col min="10" max="11" width="9.140625" style="19" hidden="1" customWidth="1" outlineLevel="1"/>
    <col min="12" max="12" width="9.140625" style="19" collapsed="1"/>
    <col min="13" max="16384" width="9.140625" style="19"/>
  </cols>
  <sheetData>
    <row r="1" spans="1:9" x14ac:dyDescent="0.2">
      <c r="A1" s="540" t="s">
        <v>0</v>
      </c>
      <c r="B1" s="540"/>
      <c r="C1" s="540"/>
      <c r="D1" s="540"/>
      <c r="E1" s="540"/>
      <c r="F1" s="540"/>
      <c r="G1" s="540"/>
      <c r="H1" s="540"/>
      <c r="I1" s="540"/>
    </row>
    <row r="2" spans="1:9" x14ac:dyDescent="0.2">
      <c r="A2" s="540" t="s">
        <v>52</v>
      </c>
      <c r="B2" s="540"/>
      <c r="C2" s="540"/>
      <c r="D2" s="540"/>
      <c r="E2" s="540"/>
      <c r="F2" s="540"/>
      <c r="G2" s="540"/>
      <c r="H2" s="540"/>
      <c r="I2" s="540"/>
    </row>
    <row r="3" spans="1:9" x14ac:dyDescent="0.2">
      <c r="A3" s="540" t="s">
        <v>65</v>
      </c>
      <c r="B3" s="540"/>
      <c r="C3" s="540"/>
      <c r="D3" s="540"/>
      <c r="E3" s="540"/>
      <c r="F3" s="540"/>
      <c r="G3" s="540"/>
      <c r="H3" s="540"/>
      <c r="I3" s="540"/>
    </row>
    <row r="4" spans="1:9" x14ac:dyDescent="0.2">
      <c r="A4" s="20"/>
      <c r="B4" s="20"/>
      <c r="C4" s="20"/>
      <c r="D4" s="20"/>
      <c r="E4" s="20"/>
      <c r="F4" s="20"/>
      <c r="G4" s="20"/>
      <c r="H4" s="20"/>
      <c r="I4" s="20"/>
    </row>
    <row r="5" spans="1:9" x14ac:dyDescent="0.2">
      <c r="A5" s="534" t="s">
        <v>1</v>
      </c>
      <c r="B5" s="540"/>
      <c r="C5" s="540"/>
      <c r="D5" s="540"/>
      <c r="E5" s="540"/>
      <c r="F5" s="540"/>
      <c r="G5" s="540"/>
      <c r="H5" s="540"/>
      <c r="I5" s="540"/>
    </row>
    <row r="7" spans="1:9" s="21" customFormat="1" x14ac:dyDescent="0.2">
      <c r="A7" s="21" t="s">
        <v>2</v>
      </c>
      <c r="F7" s="22" t="s">
        <v>53</v>
      </c>
    </row>
    <row r="8" spans="1:9" s="21" customFormat="1" x14ac:dyDescent="0.2">
      <c r="A8" s="21" t="s">
        <v>3</v>
      </c>
      <c r="F8" s="22" t="s">
        <v>54</v>
      </c>
    </row>
    <row r="9" spans="1:9" s="21" customFormat="1" x14ac:dyDescent="0.2">
      <c r="A9" s="21" t="s">
        <v>4</v>
      </c>
    </row>
    <row r="10" spans="1:9" s="21" customFormat="1" x14ac:dyDescent="0.2">
      <c r="A10" s="21" t="s">
        <v>5</v>
      </c>
      <c r="F10" s="22" t="s">
        <v>6</v>
      </c>
    </row>
    <row r="11" spans="1:9" s="21" customFormat="1" x14ac:dyDescent="0.2">
      <c r="A11" s="21" t="s">
        <v>7</v>
      </c>
      <c r="F11" s="22" t="s">
        <v>6</v>
      </c>
    </row>
    <row r="12" spans="1:9" s="21" customFormat="1" x14ac:dyDescent="0.2"/>
    <row r="13" spans="1:9" s="21" customFormat="1" x14ac:dyDescent="0.2">
      <c r="A13" s="530" t="s">
        <v>8</v>
      </c>
      <c r="B13" s="530"/>
      <c r="C13" s="530"/>
      <c r="D13" s="530"/>
      <c r="E13" s="530"/>
      <c r="F13" s="530"/>
      <c r="G13" s="530"/>
      <c r="H13" s="530"/>
      <c r="I13" s="530"/>
    </row>
    <row r="14" spans="1:9" s="21" customFormat="1" x14ac:dyDescent="0.2">
      <c r="A14" s="530" t="s">
        <v>9</v>
      </c>
      <c r="B14" s="530"/>
      <c r="C14" s="530"/>
      <c r="D14" s="530"/>
      <c r="E14" s="530"/>
      <c r="F14" s="530"/>
      <c r="G14" s="530"/>
      <c r="H14" s="530"/>
      <c r="I14" s="530"/>
    </row>
    <row r="15" spans="1:9" s="21" customFormat="1" x14ac:dyDescent="0.2">
      <c r="A15" s="530" t="s">
        <v>10</v>
      </c>
      <c r="B15" s="530"/>
      <c r="C15" s="530"/>
      <c r="D15" s="530"/>
      <c r="E15" s="530"/>
      <c r="F15" s="530"/>
      <c r="G15" s="530"/>
      <c r="H15" s="530"/>
      <c r="I15" s="530"/>
    </row>
    <row r="16" spans="1:9" s="21" customFormat="1" x14ac:dyDescent="0.2"/>
    <row r="17" spans="1:9" s="14" customFormat="1" ht="51" x14ac:dyDescent="0.25">
      <c r="A17" s="5" t="s">
        <v>11</v>
      </c>
      <c r="B17" s="5" t="s">
        <v>12</v>
      </c>
      <c r="C17" s="5" t="s">
        <v>61</v>
      </c>
      <c r="D17" s="5" t="s">
        <v>56</v>
      </c>
      <c r="E17" s="5" t="s">
        <v>57</v>
      </c>
      <c r="F17" s="13" t="s">
        <v>58</v>
      </c>
      <c r="G17" s="5" t="s">
        <v>71</v>
      </c>
    </row>
    <row r="18" spans="1:9" s="21" customFormat="1" ht="25.5" x14ac:dyDescent="0.2">
      <c r="A18" s="23" t="s">
        <v>14</v>
      </c>
      <c r="B18" s="24" t="s">
        <v>15</v>
      </c>
      <c r="C18" s="25">
        <v>6.75</v>
      </c>
      <c r="D18" s="23">
        <v>174103.45</v>
      </c>
      <c r="E18" s="26">
        <v>169317.59</v>
      </c>
      <c r="F18" s="26">
        <f>D18</f>
        <v>174103.45</v>
      </c>
      <c r="G18" s="27">
        <f t="shared" ref="G18:G27" si="0">E18-D18</f>
        <v>-4785.8600000000151</v>
      </c>
      <c r="H18" s="28">
        <v>6.75</v>
      </c>
      <c r="I18" s="28"/>
    </row>
    <row r="19" spans="1:9" s="21" customFormat="1" ht="25.5" x14ac:dyDescent="0.2">
      <c r="A19" s="23" t="s">
        <v>16</v>
      </c>
      <c r="B19" s="24" t="s">
        <v>17</v>
      </c>
      <c r="C19" s="25">
        <v>2.41</v>
      </c>
      <c r="D19" s="26">
        <f>D18*I19</f>
        <v>62161.379925925932</v>
      </c>
      <c r="E19" s="26">
        <f>E18*I19</f>
        <v>60452.650651851851</v>
      </c>
      <c r="F19" s="26">
        <f>D19</f>
        <v>62161.379925925932</v>
      </c>
      <c r="G19" s="27">
        <f t="shared" si="0"/>
        <v>-1708.7292740740813</v>
      </c>
      <c r="H19" s="28">
        <v>2.41</v>
      </c>
      <c r="I19" s="28">
        <f>H19/H18</f>
        <v>0.35703703703703704</v>
      </c>
    </row>
    <row r="20" spans="1:9" s="21" customFormat="1" ht="25.5" x14ac:dyDescent="0.2">
      <c r="A20" s="23" t="s">
        <v>18</v>
      </c>
      <c r="B20" s="24" t="s">
        <v>19</v>
      </c>
      <c r="C20" s="25">
        <v>1.2</v>
      </c>
      <c r="D20" s="26">
        <f>D18*I20</f>
        <v>30951.724444444448</v>
      </c>
      <c r="E20" s="26">
        <f>E18*I20</f>
        <v>30100.90488888889</v>
      </c>
      <c r="F20" s="26">
        <f>D20</f>
        <v>30951.724444444448</v>
      </c>
      <c r="G20" s="27">
        <f t="shared" si="0"/>
        <v>-850.8195555555576</v>
      </c>
      <c r="H20" s="28">
        <v>1.2</v>
      </c>
      <c r="I20" s="28">
        <f>H20/H18</f>
        <v>0.17777777777777778</v>
      </c>
    </row>
    <row r="21" spans="1:9" s="21" customFormat="1" x14ac:dyDescent="0.2">
      <c r="A21" s="23" t="s">
        <v>20</v>
      </c>
      <c r="B21" s="24" t="s">
        <v>21</v>
      </c>
      <c r="C21" s="25">
        <v>1.51</v>
      </c>
      <c r="D21" s="26">
        <f>D18*I21</f>
        <v>38947.586592592597</v>
      </c>
      <c r="E21" s="26">
        <f>E18*I21</f>
        <v>37876.971985185184</v>
      </c>
      <c r="F21" s="26">
        <f>D21</f>
        <v>38947.586592592597</v>
      </c>
      <c r="G21" s="27">
        <f t="shared" si="0"/>
        <v>-1070.6146074074131</v>
      </c>
      <c r="H21" s="28">
        <v>1.51</v>
      </c>
      <c r="I21" s="28">
        <f>H21/H18</f>
        <v>0.22370370370370371</v>
      </c>
    </row>
    <row r="22" spans="1:9" s="21" customFormat="1" ht="25.5" x14ac:dyDescent="0.2">
      <c r="A22" s="23" t="s">
        <v>22</v>
      </c>
      <c r="B22" s="24" t="s">
        <v>23</v>
      </c>
      <c r="C22" s="25">
        <v>1.63</v>
      </c>
      <c r="D22" s="26">
        <f>D18*I22</f>
        <v>42042.759037037038</v>
      </c>
      <c r="E22" s="26">
        <f>E18*I22</f>
        <v>40887.062474074068</v>
      </c>
      <c r="F22" s="26">
        <f>D22</f>
        <v>42042.759037037038</v>
      </c>
      <c r="G22" s="27">
        <f t="shared" si="0"/>
        <v>-1155.6965629629703</v>
      </c>
      <c r="H22" s="28">
        <v>1.63</v>
      </c>
      <c r="I22" s="28">
        <f>H22/H18</f>
        <v>0.24148148148148146</v>
      </c>
    </row>
    <row r="23" spans="1:9" x14ac:dyDescent="0.2">
      <c r="A23" s="24" t="s">
        <v>25</v>
      </c>
      <c r="B23" s="24" t="s">
        <v>26</v>
      </c>
      <c r="C23" s="25">
        <v>3.15</v>
      </c>
      <c r="D23" s="24">
        <v>0</v>
      </c>
      <c r="E23" s="27">
        <v>0</v>
      </c>
      <c r="F23" s="27">
        <v>0</v>
      </c>
      <c r="G23" s="27">
        <f t="shared" si="0"/>
        <v>0</v>
      </c>
    </row>
    <row r="24" spans="1:9" x14ac:dyDescent="0.2">
      <c r="A24" s="24" t="s">
        <v>27</v>
      </c>
      <c r="B24" s="24" t="s">
        <v>28</v>
      </c>
      <c r="C24" s="12">
        <v>2.6</v>
      </c>
      <c r="D24" s="24">
        <v>59389.919999999998</v>
      </c>
      <c r="E24" s="27">
        <v>57568.62</v>
      </c>
      <c r="F24" s="27">
        <f>D24</f>
        <v>59389.919999999998</v>
      </c>
      <c r="G24" s="27">
        <f t="shared" si="0"/>
        <v>-1821.2999999999956</v>
      </c>
    </row>
    <row r="25" spans="1:9" x14ac:dyDescent="0.2">
      <c r="A25" s="24" t="s">
        <v>29</v>
      </c>
      <c r="B25" s="24" t="s">
        <v>30</v>
      </c>
      <c r="C25" s="25">
        <v>0.81</v>
      </c>
      <c r="D25" s="24">
        <v>0</v>
      </c>
      <c r="E25" s="24">
        <v>0</v>
      </c>
      <c r="F25" s="24">
        <v>0</v>
      </c>
      <c r="G25" s="24">
        <f t="shared" si="0"/>
        <v>0</v>
      </c>
    </row>
    <row r="26" spans="1:9" ht="25.5" x14ac:dyDescent="0.2">
      <c r="A26" s="24" t="s">
        <v>31</v>
      </c>
      <c r="B26" s="24" t="s">
        <v>32</v>
      </c>
      <c r="C26" s="25">
        <v>1.61</v>
      </c>
      <c r="D26" s="24">
        <v>65703.009999999995</v>
      </c>
      <c r="E26" s="24">
        <v>65330.400000000001</v>
      </c>
      <c r="F26" s="24">
        <v>24581.67</v>
      </c>
      <c r="G26" s="24">
        <f t="shared" si="0"/>
        <v>-372.60999999999331</v>
      </c>
    </row>
    <row r="27" spans="1:9" ht="25.5" x14ac:dyDescent="0.2">
      <c r="A27" s="24" t="s">
        <v>33</v>
      </c>
      <c r="B27" s="24" t="s">
        <v>34</v>
      </c>
      <c r="C27" s="25">
        <v>0</v>
      </c>
      <c r="D27" s="24">
        <v>0</v>
      </c>
      <c r="E27" s="24">
        <v>42.57</v>
      </c>
      <c r="F27" s="24">
        <v>0</v>
      </c>
      <c r="G27" s="24">
        <f t="shared" si="0"/>
        <v>42.57</v>
      </c>
    </row>
    <row r="28" spans="1:9" ht="25.5" x14ac:dyDescent="0.2">
      <c r="A28" s="24" t="s">
        <v>35</v>
      </c>
      <c r="B28" s="24" t="s">
        <v>36</v>
      </c>
      <c r="C28" s="25">
        <f>SUM(C29:C32)</f>
        <v>1680.9299999999998</v>
      </c>
      <c r="D28" s="24">
        <f>SUM(D29:D32)</f>
        <v>1158486.7</v>
      </c>
      <c r="E28" s="24">
        <f>SUM(E29:E32)</f>
        <v>1093856.1200000001</v>
      </c>
      <c r="F28" s="24">
        <f>SUM(F29:F32)</f>
        <v>1144236.6000000001</v>
      </c>
      <c r="G28" s="24">
        <f>SUM(G29:G32)</f>
        <v>-64630.579999999951</v>
      </c>
    </row>
    <row r="29" spans="1:9" x14ac:dyDescent="0.2">
      <c r="A29" s="24" t="s">
        <v>37</v>
      </c>
      <c r="B29" s="24" t="s">
        <v>63</v>
      </c>
      <c r="C29" s="12">
        <v>3.13</v>
      </c>
      <c r="D29" s="24">
        <v>14250.1</v>
      </c>
      <c r="E29" s="24">
        <v>16846.060000000001</v>
      </c>
      <c r="F29" s="24"/>
      <c r="G29" s="24">
        <f>E29-D29</f>
        <v>2595.9600000000009</v>
      </c>
    </row>
    <row r="30" spans="1:9" x14ac:dyDescent="0.2">
      <c r="A30" s="24" t="s">
        <v>39</v>
      </c>
      <c r="B30" s="24" t="s">
        <v>38</v>
      </c>
      <c r="C30" s="12">
        <v>18.21</v>
      </c>
      <c r="D30" s="24">
        <v>202200.89</v>
      </c>
      <c r="E30" s="24">
        <v>195379.97</v>
      </c>
      <c r="F30" s="24">
        <f>D30</f>
        <v>202200.89</v>
      </c>
      <c r="G30" s="24">
        <f>E30-D30</f>
        <v>-6820.9200000000128</v>
      </c>
    </row>
    <row r="31" spans="1:9" x14ac:dyDescent="0.2">
      <c r="A31" s="24" t="s">
        <v>42</v>
      </c>
      <c r="B31" s="24" t="s">
        <v>40</v>
      </c>
      <c r="C31" s="12">
        <v>115.3</v>
      </c>
      <c r="D31" s="24">
        <v>350895.14</v>
      </c>
      <c r="E31" s="24">
        <v>322914.71000000002</v>
      </c>
      <c r="F31" s="24">
        <f>D31</f>
        <v>350895.14</v>
      </c>
      <c r="G31" s="24">
        <f>E31-D31</f>
        <v>-27980.429999999993</v>
      </c>
    </row>
    <row r="32" spans="1:9" x14ac:dyDescent="0.2">
      <c r="A32" s="24" t="s">
        <v>41</v>
      </c>
      <c r="B32" s="24" t="s">
        <v>43</v>
      </c>
      <c r="C32" s="12">
        <v>1544.29</v>
      </c>
      <c r="D32" s="24">
        <v>591140.56999999995</v>
      </c>
      <c r="E32" s="24">
        <v>558715.38</v>
      </c>
      <c r="F32" s="24">
        <f>D32</f>
        <v>591140.56999999995</v>
      </c>
      <c r="G32" s="24">
        <f>E32-D32</f>
        <v>-32425.189999999944</v>
      </c>
    </row>
    <row r="33" spans="1:11" s="16" customFormat="1" ht="15" customHeight="1" x14ac:dyDescent="0.25">
      <c r="A33" s="531" t="s">
        <v>64</v>
      </c>
      <c r="B33" s="532"/>
      <c r="C33" s="533"/>
      <c r="D33" s="15">
        <f t="shared" ref="D33:I33" si="1">D18+D23+D24+D25+D28</f>
        <v>1391980.0699999998</v>
      </c>
      <c r="E33" s="15">
        <f t="shared" si="1"/>
        <v>1320742.33</v>
      </c>
      <c r="F33" s="15">
        <f t="shared" si="1"/>
        <v>1377729.9700000002</v>
      </c>
      <c r="G33" s="15">
        <f t="shared" si="1"/>
        <v>-71237.739999999962</v>
      </c>
      <c r="H33" s="15">
        <f t="shared" si="1"/>
        <v>6.75</v>
      </c>
      <c r="I33" s="15">
        <f t="shared" si="1"/>
        <v>0</v>
      </c>
    </row>
    <row r="34" spans="1:11" s="16" customFormat="1" ht="9.75" customHeight="1" x14ac:dyDescent="0.25">
      <c r="A34" s="17"/>
      <c r="B34" s="17"/>
      <c r="C34" s="17"/>
      <c r="D34" s="18"/>
      <c r="E34" s="18"/>
      <c r="F34" s="18"/>
      <c r="G34" s="18"/>
      <c r="H34" s="18"/>
      <c r="I34" s="18"/>
      <c r="J34" s="18"/>
      <c r="K34" s="18"/>
    </row>
    <row r="35" spans="1:11" ht="23.25" customHeight="1" x14ac:dyDescent="0.2">
      <c r="A35" s="534" t="s">
        <v>44</v>
      </c>
      <c r="B35" s="534"/>
      <c r="C35" s="534"/>
      <c r="D35" s="534"/>
      <c r="E35" s="534"/>
      <c r="F35" s="534"/>
      <c r="G35" s="534"/>
      <c r="H35" s="534"/>
      <c r="I35" s="534"/>
    </row>
    <row r="37" spans="1:11" s="14" customFormat="1" ht="28.5" customHeight="1" x14ac:dyDescent="0.2">
      <c r="A37" s="5" t="s">
        <v>11</v>
      </c>
      <c r="B37" s="535" t="s">
        <v>45</v>
      </c>
      <c r="C37" s="536"/>
      <c r="D37" s="536"/>
      <c r="E37" s="537"/>
      <c r="F37" s="535" t="s">
        <v>46</v>
      </c>
      <c r="G37" s="529"/>
    </row>
    <row r="38" spans="1:11" s="16" customFormat="1" ht="13.5" x14ac:dyDescent="0.25">
      <c r="A38" s="29" t="s">
        <v>47</v>
      </c>
      <c r="B38" s="525" t="s">
        <v>48</v>
      </c>
      <c r="C38" s="526"/>
      <c r="D38" s="526"/>
      <c r="E38" s="527"/>
      <c r="F38" s="528">
        <f>SUM(F39:G42)</f>
        <v>24581.67</v>
      </c>
      <c r="G38" s="529"/>
    </row>
    <row r="39" spans="1:11" ht="15.75" customHeight="1" x14ac:dyDescent="0.2">
      <c r="A39" s="24" t="s">
        <v>16</v>
      </c>
      <c r="B39" s="521" t="s">
        <v>68</v>
      </c>
      <c r="C39" s="522"/>
      <c r="D39" s="522"/>
      <c r="E39" s="523"/>
      <c r="F39" s="524">
        <v>1007.78</v>
      </c>
      <c r="G39" s="524"/>
    </row>
    <row r="40" spans="1:11" ht="15.75" customHeight="1" x14ac:dyDescent="0.2">
      <c r="A40" s="24" t="s">
        <v>18</v>
      </c>
      <c r="B40" s="521" t="s">
        <v>67</v>
      </c>
      <c r="C40" s="522"/>
      <c r="D40" s="522"/>
      <c r="E40" s="523"/>
      <c r="F40" s="524">
        <v>10480.41</v>
      </c>
      <c r="G40" s="524"/>
    </row>
    <row r="41" spans="1:11" ht="15.75" customHeight="1" x14ac:dyDescent="0.2">
      <c r="A41" s="24" t="s">
        <v>20</v>
      </c>
      <c r="B41" s="521" t="s">
        <v>69</v>
      </c>
      <c r="C41" s="522"/>
      <c r="D41" s="522"/>
      <c r="E41" s="523"/>
      <c r="F41" s="524">
        <v>3847.63</v>
      </c>
      <c r="G41" s="524"/>
    </row>
    <row r="42" spans="1:11" ht="15.75" customHeight="1" x14ac:dyDescent="0.2">
      <c r="A42" s="24" t="s">
        <v>22</v>
      </c>
      <c r="B42" s="521" t="s">
        <v>70</v>
      </c>
      <c r="C42" s="522"/>
      <c r="D42" s="522"/>
      <c r="E42" s="523"/>
      <c r="F42" s="524">
        <v>9245.85</v>
      </c>
      <c r="G42" s="524"/>
    </row>
    <row r="43" spans="1:11" x14ac:dyDescent="0.2">
      <c r="B43" s="9"/>
      <c r="C43" s="9"/>
      <c r="D43" s="9"/>
      <c r="E43" s="9"/>
    </row>
    <row r="44" spans="1:11" s="21" customFormat="1" x14ac:dyDescent="0.2">
      <c r="A44" s="21" t="s">
        <v>55</v>
      </c>
      <c r="E44" s="21" t="s">
        <v>49</v>
      </c>
      <c r="G44" s="21" t="s">
        <v>60</v>
      </c>
    </row>
    <row r="45" spans="1:11" s="21" customFormat="1" x14ac:dyDescent="0.2"/>
    <row r="46" spans="1:11" s="21" customFormat="1" x14ac:dyDescent="0.2">
      <c r="E46" s="22" t="s">
        <v>66</v>
      </c>
    </row>
    <row r="47" spans="1:11" s="21" customFormat="1" x14ac:dyDescent="0.2">
      <c r="A47" s="21" t="s">
        <v>50</v>
      </c>
    </row>
    <row r="48" spans="1:11" s="21" customFormat="1" x14ac:dyDescent="0.2">
      <c r="C48" s="30" t="s">
        <v>51</v>
      </c>
      <c r="F48" s="30"/>
      <c r="G48" s="30"/>
      <c r="H48" s="30"/>
    </row>
    <row r="49" s="21" customFormat="1" x14ac:dyDescent="0.2"/>
    <row r="50" s="21" customFormat="1" x14ac:dyDescent="0.2"/>
  </sheetData>
  <mergeCells count="21">
    <mergeCell ref="B42:E42"/>
    <mergeCell ref="F42:G42"/>
    <mergeCell ref="B39:E39"/>
    <mergeCell ref="F39:G39"/>
    <mergeCell ref="B40:E40"/>
    <mergeCell ref="B41:E41"/>
    <mergeCell ref="F40:G40"/>
    <mergeCell ref="F41:G41"/>
    <mergeCell ref="F38:G38"/>
    <mergeCell ref="A33:C33"/>
    <mergeCell ref="F37:G37"/>
    <mergeCell ref="A14:I14"/>
    <mergeCell ref="B38:E38"/>
    <mergeCell ref="A15:I15"/>
    <mergeCell ref="A35:I35"/>
    <mergeCell ref="A1:I1"/>
    <mergeCell ref="A2:I2"/>
    <mergeCell ref="A3:I3"/>
    <mergeCell ref="A5:I5"/>
    <mergeCell ref="B37:E37"/>
    <mergeCell ref="A13:I13"/>
  </mergeCells>
  <phoneticPr fontId="14" type="noConversion"/>
  <pageMargins left="0" right="0" top="0" bottom="0" header="0.31496062992125984" footer="0.31496062992125984"/>
  <pageSetup paperSize="9" orientation="portrait" verticalDpi="0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B248FB-0E1D-4313-BE2B-AA7E65614284}">
  <sheetPr>
    <tabColor rgb="FF7030A0"/>
  </sheetPr>
  <dimension ref="A1:O61"/>
  <sheetViews>
    <sheetView topLeftCell="A38" zoomScaleNormal="100" workbookViewId="0">
      <selection activeCell="A62" sqref="A62:IV63"/>
    </sheetView>
  </sheetViews>
  <sheetFormatPr defaultRowHeight="15" outlineLevelRow="1" outlineLevelCol="1" x14ac:dyDescent="0.25"/>
  <cols>
    <col min="1" max="1" width="5.85546875" style="35" customWidth="1"/>
    <col min="2" max="2" width="48.140625" style="35" customWidth="1"/>
    <col min="3" max="3" width="14.5703125" style="35" customWidth="1"/>
    <col min="4" max="5" width="13.140625" style="35" customWidth="1"/>
    <col min="6" max="6" width="13" style="35" customWidth="1"/>
    <col min="7" max="7" width="13.5703125" style="35" customWidth="1"/>
    <col min="8" max="8" width="10.85546875" style="35" hidden="1" customWidth="1" outlineLevel="1"/>
    <col min="9" max="9" width="13.42578125" style="35" hidden="1" customWidth="1" outlineLevel="1"/>
    <col min="10" max="12" width="9.140625" style="35" hidden="1" customWidth="1" outlineLevel="1"/>
    <col min="13" max="13" width="11.28515625" style="35" bestFit="1" customWidth="1" collapsed="1"/>
    <col min="14" max="14" width="11.42578125" style="35" bestFit="1" customWidth="1"/>
    <col min="15" max="15" width="12" style="35" bestFit="1" customWidth="1"/>
    <col min="16" max="16384" width="9.140625" style="35"/>
  </cols>
  <sheetData>
    <row r="1" spans="1:11" x14ac:dyDescent="0.25">
      <c r="A1" s="397" t="s">
        <v>0</v>
      </c>
      <c r="B1" s="397"/>
      <c r="C1" s="397"/>
      <c r="D1" s="397"/>
      <c r="E1" s="397"/>
      <c r="F1" s="397"/>
      <c r="G1" s="397"/>
      <c r="H1" s="397"/>
      <c r="I1" s="397"/>
    </row>
    <row r="2" spans="1:11" ht="15" customHeight="1" x14ac:dyDescent="0.25">
      <c r="A2" s="370" t="s">
        <v>152</v>
      </c>
      <c r="B2" s="370"/>
      <c r="C2" s="370"/>
      <c r="D2" s="370"/>
      <c r="E2" s="370"/>
      <c r="F2" s="370"/>
      <c r="G2" s="370"/>
      <c r="H2" s="370"/>
      <c r="I2" s="370"/>
      <c r="J2" s="370"/>
      <c r="K2" s="370"/>
    </row>
    <row r="3" spans="1:11" ht="15.75" customHeight="1" x14ac:dyDescent="0.25">
      <c r="A3" s="370" t="s">
        <v>426</v>
      </c>
      <c r="B3" s="370"/>
      <c r="C3" s="370"/>
      <c r="D3" s="370"/>
      <c r="E3" s="370"/>
      <c r="F3" s="370"/>
      <c r="G3" s="370"/>
      <c r="H3" s="370"/>
      <c r="I3" s="370"/>
      <c r="J3" s="370"/>
      <c r="K3" s="370"/>
    </row>
    <row r="4" spans="1:11" ht="7.5" customHeight="1" x14ac:dyDescent="0.25">
      <c r="A4" s="142"/>
      <c r="B4" s="142"/>
      <c r="C4" s="142"/>
      <c r="D4" s="142"/>
      <c r="E4" s="142"/>
      <c r="F4" s="142"/>
      <c r="G4" s="142"/>
      <c r="H4" s="142"/>
      <c r="I4" s="142"/>
    </row>
    <row r="5" spans="1:11" ht="15.75" customHeight="1" x14ac:dyDescent="0.25">
      <c r="A5" s="398" t="s">
        <v>1</v>
      </c>
      <c r="B5" s="397"/>
      <c r="C5" s="397"/>
      <c r="D5" s="397"/>
      <c r="E5" s="397"/>
      <c r="F5" s="397"/>
      <c r="G5" s="397"/>
      <c r="H5" s="397"/>
      <c r="I5" s="397"/>
    </row>
    <row r="6" spans="1:11" ht="2.25" customHeight="1" x14ac:dyDescent="0.25"/>
    <row r="7" spans="1:11" s="59" customFormat="1" ht="16.5" customHeight="1" x14ac:dyDescent="0.25">
      <c r="A7" s="59" t="s">
        <v>2</v>
      </c>
      <c r="F7" s="111" t="s">
        <v>227</v>
      </c>
    </row>
    <row r="8" spans="1:11" s="59" customFormat="1" x14ac:dyDescent="0.25">
      <c r="A8" s="59" t="s">
        <v>3</v>
      </c>
      <c r="F8" s="239" t="s">
        <v>228</v>
      </c>
      <c r="I8" s="180">
        <v>0</v>
      </c>
      <c r="J8" s="180">
        <v>4712.6000000000004</v>
      </c>
      <c r="K8" s="180">
        <f>I8+J8</f>
        <v>4712.6000000000004</v>
      </c>
    </row>
    <row r="9" spans="1:11" s="59" customFormat="1" ht="3.75" customHeight="1" x14ac:dyDescent="0.25"/>
    <row r="10" spans="1:11" s="59" customFormat="1" ht="12.75" customHeight="1" x14ac:dyDescent="0.25">
      <c r="A10" s="372" t="s">
        <v>8</v>
      </c>
      <c r="B10" s="372"/>
      <c r="C10" s="372"/>
      <c r="D10" s="372"/>
      <c r="E10" s="372"/>
      <c r="F10" s="372"/>
      <c r="G10" s="372"/>
      <c r="H10" s="372"/>
      <c r="I10" s="372"/>
    </row>
    <row r="11" spans="1:11" s="59" customFormat="1" ht="12.75" customHeight="1" x14ac:dyDescent="0.25">
      <c r="A11" s="372" t="s">
        <v>9</v>
      </c>
      <c r="B11" s="372"/>
      <c r="C11" s="372"/>
      <c r="D11" s="372"/>
      <c r="E11" s="372"/>
      <c r="F11" s="372"/>
      <c r="G11" s="372"/>
      <c r="H11" s="372"/>
      <c r="I11" s="372"/>
    </row>
    <row r="12" spans="1:11" s="59" customFormat="1" ht="12.75" customHeight="1" x14ac:dyDescent="0.25">
      <c r="A12" s="372" t="s">
        <v>10</v>
      </c>
      <c r="B12" s="372"/>
      <c r="C12" s="372"/>
      <c r="D12" s="372"/>
      <c r="E12" s="372"/>
      <c r="F12" s="372"/>
      <c r="G12" s="372"/>
      <c r="H12" s="372"/>
      <c r="I12" s="372"/>
    </row>
    <row r="13" spans="1:11" s="59" customFormat="1" ht="6" customHeight="1" thickBot="1" x14ac:dyDescent="0.3">
      <c r="A13" s="60"/>
      <c r="B13" s="60"/>
      <c r="C13" s="60"/>
      <c r="D13" s="38"/>
      <c r="E13" s="58"/>
      <c r="F13" s="58"/>
      <c r="G13" s="58"/>
      <c r="H13" s="54"/>
      <c r="I13" s="54"/>
    </row>
    <row r="14" spans="1:11" s="59" customFormat="1" ht="15.75" thickBot="1" x14ac:dyDescent="0.3">
      <c r="A14" s="55"/>
      <c r="B14" s="55" t="s">
        <v>381</v>
      </c>
      <c r="C14" s="56"/>
      <c r="D14" s="56"/>
      <c r="E14" s="62"/>
      <c r="F14" s="62"/>
      <c r="G14" s="129">
        <f>'[1]Большевиков 3'!$G$38</f>
        <v>479217.15590000001</v>
      </c>
      <c r="H14" s="54"/>
      <c r="I14" s="54"/>
    </row>
    <row r="15" spans="1:11" s="59" customFormat="1" ht="6.75" customHeight="1" x14ac:dyDescent="0.25"/>
    <row r="16" spans="1:11" s="66" customFormat="1" ht="52.5" customHeight="1" x14ac:dyDescent="0.25">
      <c r="A16" s="64" t="s">
        <v>11</v>
      </c>
      <c r="B16" s="64" t="s">
        <v>12</v>
      </c>
      <c r="C16" s="64" t="s">
        <v>61</v>
      </c>
      <c r="D16" s="64" t="s">
        <v>432</v>
      </c>
      <c r="E16" s="64" t="s">
        <v>433</v>
      </c>
      <c r="F16" s="65" t="s">
        <v>434</v>
      </c>
      <c r="G16" s="64" t="s">
        <v>435</v>
      </c>
    </row>
    <row r="17" spans="1:15" s="152" customFormat="1" ht="14.25" x14ac:dyDescent="0.2">
      <c r="A17" s="67" t="s">
        <v>14</v>
      </c>
      <c r="B17" s="39" t="s">
        <v>379</v>
      </c>
      <c r="C17" s="120">
        <v>23.01</v>
      </c>
      <c r="D17" s="68">
        <v>1301242.92</v>
      </c>
      <c r="E17" s="68">
        <v>1264570.44</v>
      </c>
      <c r="F17" s="68">
        <f t="shared" ref="F17:F24" si="0">D17</f>
        <v>1301242.92</v>
      </c>
      <c r="G17" s="69">
        <f>D17-E17</f>
        <v>36672.479999999981</v>
      </c>
      <c r="H17" s="70">
        <f>C17</f>
        <v>23.01</v>
      </c>
      <c r="N17" s="151"/>
      <c r="O17" s="151"/>
    </row>
    <row r="18" spans="1:15" s="59" customFormat="1" hidden="1" outlineLevel="1" x14ac:dyDescent="0.25">
      <c r="A18" s="73" t="s">
        <v>16</v>
      </c>
      <c r="B18" s="34" t="s">
        <v>17</v>
      </c>
      <c r="C18" s="89">
        <v>3.46</v>
      </c>
      <c r="D18" s="75">
        <f>D17*I18</f>
        <v>195667.12312907429</v>
      </c>
      <c r="E18" s="75">
        <f>E17*I18</f>
        <v>190152.70414602346</v>
      </c>
      <c r="F18" s="75">
        <f t="shared" si="0"/>
        <v>195667.12312907429</v>
      </c>
      <c r="G18" s="76">
        <f>D18-E18</f>
        <v>5514.4189830508258</v>
      </c>
      <c r="H18" s="70">
        <f>C18</f>
        <v>3.46</v>
      </c>
      <c r="I18" s="59">
        <f>H18/H17</f>
        <v>0.15036940460669274</v>
      </c>
    </row>
    <row r="19" spans="1:15" s="59" customFormat="1" hidden="1" outlineLevel="1" x14ac:dyDescent="0.25">
      <c r="A19" s="73" t="s">
        <v>18</v>
      </c>
      <c r="B19" s="34" t="s">
        <v>19</v>
      </c>
      <c r="C19" s="89">
        <v>1.69</v>
      </c>
      <c r="D19" s="75">
        <f>D17*I19</f>
        <v>95571.513898305071</v>
      </c>
      <c r="E19" s="75">
        <f>E17*I19</f>
        <v>92878.054915254223</v>
      </c>
      <c r="F19" s="75">
        <f t="shared" si="0"/>
        <v>95571.513898305071</v>
      </c>
      <c r="G19" s="76">
        <f>D19-E19</f>
        <v>2693.4589830508485</v>
      </c>
      <c r="H19" s="70">
        <f>C19</f>
        <v>1.69</v>
      </c>
      <c r="I19" s="59">
        <f>H19/H17</f>
        <v>7.3446327683615809E-2</v>
      </c>
    </row>
    <row r="20" spans="1:15" s="59" customFormat="1" hidden="1" outlineLevel="1" x14ac:dyDescent="0.25">
      <c r="A20" s="73" t="s">
        <v>20</v>
      </c>
      <c r="B20" s="34" t="s">
        <v>21</v>
      </c>
      <c r="C20" s="89">
        <v>1.69</v>
      </c>
      <c r="D20" s="75">
        <f>D17*I20</f>
        <v>95571.513898305071</v>
      </c>
      <c r="E20" s="75">
        <f>E17*I20</f>
        <v>92878.054915254223</v>
      </c>
      <c r="F20" s="75">
        <f t="shared" si="0"/>
        <v>95571.513898305071</v>
      </c>
      <c r="G20" s="76">
        <f>D20-E20</f>
        <v>2693.4589830508485</v>
      </c>
      <c r="H20" s="70">
        <f>C20</f>
        <v>1.69</v>
      </c>
      <c r="I20" s="59">
        <f>H20/H17</f>
        <v>7.3446327683615809E-2</v>
      </c>
    </row>
    <row r="21" spans="1:15" s="59" customFormat="1" hidden="1" outlineLevel="1" x14ac:dyDescent="0.25">
      <c r="A21" s="73" t="s">
        <v>22</v>
      </c>
      <c r="B21" s="34" t="s">
        <v>23</v>
      </c>
      <c r="C21" s="89">
        <v>3.04</v>
      </c>
      <c r="D21" s="75">
        <f>D17*I21</f>
        <v>171915.62263363751</v>
      </c>
      <c r="E21" s="75">
        <f>E17*I21</f>
        <v>167070.58398956971</v>
      </c>
      <c r="F21" s="75">
        <f t="shared" si="0"/>
        <v>171915.62263363751</v>
      </c>
      <c r="G21" s="76">
        <f>D21-E21</f>
        <v>4845.0386440677976</v>
      </c>
      <c r="H21" s="70">
        <f>C21</f>
        <v>3.04</v>
      </c>
      <c r="I21" s="59">
        <f>H21/H17</f>
        <v>0.13211647109952193</v>
      </c>
    </row>
    <row r="22" spans="1:15" s="37" customFormat="1" ht="14.25" collapsed="1" x14ac:dyDescent="0.2">
      <c r="A22" s="39" t="s">
        <v>25</v>
      </c>
      <c r="B22" s="39" t="s">
        <v>26</v>
      </c>
      <c r="C22" s="126">
        <v>0</v>
      </c>
      <c r="D22" s="69">
        <v>0</v>
      </c>
      <c r="E22" s="69">
        <v>0</v>
      </c>
      <c r="F22" s="68">
        <f t="shared" si="0"/>
        <v>0</v>
      </c>
      <c r="G22" s="69">
        <f t="shared" ref="G22:G33" si="1">D22-E22</f>
        <v>0</v>
      </c>
    </row>
    <row r="23" spans="1:15" s="37" customFormat="1" ht="14.25" x14ac:dyDescent="0.2">
      <c r="A23" s="39" t="s">
        <v>27</v>
      </c>
      <c r="B23" s="39" t="s">
        <v>28</v>
      </c>
      <c r="C23" s="126">
        <v>0</v>
      </c>
      <c r="D23" s="69">
        <v>0</v>
      </c>
      <c r="E23" s="69">
        <v>0</v>
      </c>
      <c r="F23" s="69">
        <f t="shared" si="0"/>
        <v>0</v>
      </c>
      <c r="G23" s="69">
        <f t="shared" si="1"/>
        <v>0</v>
      </c>
    </row>
    <row r="24" spans="1:15" s="37" customFormat="1" ht="14.25" x14ac:dyDescent="0.2">
      <c r="A24" s="39" t="s">
        <v>29</v>
      </c>
      <c r="B24" s="39" t="s">
        <v>30</v>
      </c>
      <c r="C24" s="126">
        <v>0</v>
      </c>
      <c r="D24" s="69">
        <v>0</v>
      </c>
      <c r="E24" s="69">
        <v>0</v>
      </c>
      <c r="F24" s="69">
        <f t="shared" si="0"/>
        <v>0</v>
      </c>
      <c r="G24" s="69">
        <f t="shared" si="1"/>
        <v>0</v>
      </c>
    </row>
    <row r="25" spans="1:15" s="37" customFormat="1" ht="14.25" x14ac:dyDescent="0.2">
      <c r="A25" s="39" t="s">
        <v>31</v>
      </c>
      <c r="B25" s="39" t="s">
        <v>127</v>
      </c>
      <c r="C25" s="126">
        <v>5</v>
      </c>
      <c r="D25" s="69">
        <v>282756</v>
      </c>
      <c r="E25" s="69">
        <v>275739.42</v>
      </c>
      <c r="F25" s="79">
        <f>F42</f>
        <v>223839.46419999999</v>
      </c>
      <c r="G25" s="69">
        <f t="shared" si="1"/>
        <v>7016.5800000000163</v>
      </c>
      <c r="M25" s="165"/>
    </row>
    <row r="26" spans="1:15" s="37" customFormat="1" ht="14.25" x14ac:dyDescent="0.2">
      <c r="A26" s="189" t="s">
        <v>111</v>
      </c>
      <c r="B26" s="78" t="s">
        <v>97</v>
      </c>
      <c r="C26" s="357">
        <v>0</v>
      </c>
      <c r="D26" s="69">
        <v>0</v>
      </c>
      <c r="E26" s="69">
        <v>0</v>
      </c>
      <c r="F26" s="79">
        <f>D26</f>
        <v>0</v>
      </c>
      <c r="G26" s="69">
        <f t="shared" si="1"/>
        <v>0</v>
      </c>
      <c r="M26" s="165"/>
    </row>
    <row r="27" spans="1:15" s="37" customFormat="1" ht="14.25" x14ac:dyDescent="0.2">
      <c r="A27" s="39" t="s">
        <v>35</v>
      </c>
      <c r="B27" s="78" t="s">
        <v>145</v>
      </c>
      <c r="C27" s="357">
        <v>120</v>
      </c>
      <c r="D27" s="69">
        <v>0</v>
      </c>
      <c r="E27" s="69">
        <v>1192.95</v>
      </c>
      <c r="F27" s="82">
        <f>D27</f>
        <v>0</v>
      </c>
      <c r="G27" s="69">
        <f t="shared" si="1"/>
        <v>-1192.95</v>
      </c>
      <c r="H27" s="37">
        <f>73*150</f>
        <v>10950</v>
      </c>
      <c r="I27" s="273">
        <f>D27/H27</f>
        <v>0</v>
      </c>
    </row>
    <row r="28" spans="1:15" s="37" customFormat="1" ht="14.25" x14ac:dyDescent="0.2">
      <c r="A28" s="189" t="s">
        <v>112</v>
      </c>
      <c r="B28" s="39" t="s">
        <v>36</v>
      </c>
      <c r="C28" s="120"/>
      <c r="D28" s="69">
        <f>SUM(D29:D32)</f>
        <v>1109733.58</v>
      </c>
      <c r="E28" s="69">
        <f>SUM(E29:E32)</f>
        <v>1030964.79</v>
      </c>
      <c r="F28" s="69">
        <f>SUM(F29:F33)</f>
        <v>1109733.58</v>
      </c>
      <c r="G28" s="69">
        <f t="shared" si="1"/>
        <v>78768.790000000037</v>
      </c>
    </row>
    <row r="29" spans="1:15" x14ac:dyDescent="0.25">
      <c r="A29" s="190" t="s">
        <v>114</v>
      </c>
      <c r="B29" s="34" t="s">
        <v>63</v>
      </c>
      <c r="C29" s="89">
        <v>7.36</v>
      </c>
      <c r="D29" s="76">
        <v>30787.53</v>
      </c>
      <c r="E29" s="76">
        <v>29948.41</v>
      </c>
      <c r="F29" s="76">
        <f>D29</f>
        <v>30787.53</v>
      </c>
      <c r="G29" s="76">
        <f t="shared" si="1"/>
        <v>839.11999999999898</v>
      </c>
    </row>
    <row r="30" spans="1:15" x14ac:dyDescent="0.25">
      <c r="A30" s="190" t="s">
        <v>115</v>
      </c>
      <c r="B30" s="34" t="s">
        <v>84</v>
      </c>
      <c r="C30" s="89">
        <v>88.38</v>
      </c>
      <c r="D30" s="76">
        <v>1078946.05</v>
      </c>
      <c r="E30" s="76">
        <v>1001016.38</v>
      </c>
      <c r="F30" s="76">
        <f>D30</f>
        <v>1078946.05</v>
      </c>
      <c r="G30" s="76">
        <f t="shared" si="1"/>
        <v>77929.670000000042</v>
      </c>
    </row>
    <row r="31" spans="1:15" x14ac:dyDescent="0.25">
      <c r="A31" s="190" t="s">
        <v>116</v>
      </c>
      <c r="B31" s="34" t="s">
        <v>135</v>
      </c>
      <c r="C31" s="128">
        <v>0</v>
      </c>
      <c r="D31" s="76">
        <v>0</v>
      </c>
      <c r="E31" s="76">
        <v>0</v>
      </c>
      <c r="F31" s="76">
        <f>D31</f>
        <v>0</v>
      </c>
      <c r="G31" s="76">
        <f t="shared" si="1"/>
        <v>0</v>
      </c>
    </row>
    <row r="32" spans="1:15" x14ac:dyDescent="0.25">
      <c r="A32" s="190" t="s">
        <v>117</v>
      </c>
      <c r="B32" s="34" t="s">
        <v>43</v>
      </c>
      <c r="C32" s="89">
        <v>0</v>
      </c>
      <c r="D32" s="76">
        <v>0</v>
      </c>
      <c r="E32" s="76">
        <v>0</v>
      </c>
      <c r="F32" s="76">
        <f>D32</f>
        <v>0</v>
      </c>
      <c r="G32" s="76">
        <f>D32-E32</f>
        <v>0</v>
      </c>
    </row>
    <row r="33" spans="1:13" hidden="1" outlineLevel="1" x14ac:dyDescent="0.25">
      <c r="A33" s="189" t="s">
        <v>141</v>
      </c>
      <c r="B33" s="300" t="s">
        <v>140</v>
      </c>
      <c r="C33" s="298"/>
      <c r="D33" s="248">
        <f>1000+1800</f>
        <v>2800</v>
      </c>
      <c r="E33" s="248">
        <v>1800</v>
      </c>
      <c r="F33" s="248"/>
      <c r="G33" s="248">
        <f t="shared" si="1"/>
        <v>1000</v>
      </c>
    </row>
    <row r="34" spans="1:13" s="92" customFormat="1" ht="20.25" hidden="1" customHeight="1" outlineLevel="1" x14ac:dyDescent="0.25">
      <c r="A34" s="93"/>
      <c r="B34" s="93"/>
      <c r="C34" s="376" t="s">
        <v>246</v>
      </c>
      <c r="D34" s="377"/>
      <c r="E34" s="377"/>
      <c r="F34" s="377"/>
      <c r="G34" s="82">
        <f>E33-(E33*15%)</f>
        <v>1530</v>
      </c>
      <c r="H34" s="91"/>
      <c r="I34" s="91"/>
      <c r="J34" s="91"/>
    </row>
    <row r="35" spans="1:13" s="92" customFormat="1" ht="16.5" customHeight="1" collapsed="1" thickBot="1" x14ac:dyDescent="0.3">
      <c r="A35" s="373"/>
      <c r="B35" s="374"/>
      <c r="C35" s="374"/>
      <c r="D35" s="375"/>
      <c r="E35" s="375"/>
      <c r="F35" s="375"/>
      <c r="G35" s="91"/>
      <c r="H35" s="91"/>
      <c r="I35" s="91"/>
      <c r="J35" s="91"/>
    </row>
    <row r="36" spans="1:13" s="59" customFormat="1" ht="15.75" thickBot="1" x14ac:dyDescent="0.3">
      <c r="A36" s="387" t="s">
        <v>427</v>
      </c>
      <c r="B36" s="388"/>
      <c r="C36" s="388"/>
      <c r="D36" s="57">
        <v>121264.9</v>
      </c>
      <c r="E36" s="58"/>
      <c r="F36" s="58"/>
      <c r="G36" s="58"/>
      <c r="H36" s="54"/>
      <c r="I36" s="54"/>
    </row>
    <row r="37" spans="1:13" s="59" customFormat="1" ht="4.5" customHeight="1" thickBot="1" x14ac:dyDescent="0.3">
      <c r="A37" s="60"/>
      <c r="B37" s="60"/>
      <c r="C37" s="60"/>
      <c r="D37" s="38"/>
      <c r="E37" s="58"/>
      <c r="F37" s="58"/>
      <c r="G37" s="58"/>
      <c r="H37" s="54"/>
      <c r="I37" s="54"/>
    </row>
    <row r="38" spans="1:13" s="59" customFormat="1" ht="15.75" thickBot="1" x14ac:dyDescent="0.3">
      <c r="A38" s="55" t="s">
        <v>428</v>
      </c>
      <c r="B38" s="56"/>
      <c r="C38" s="56"/>
      <c r="D38" s="61"/>
      <c r="E38" s="62"/>
      <c r="F38" s="62"/>
      <c r="G38" s="129">
        <f>G14+E25-F25</f>
        <v>531117.11170000001</v>
      </c>
      <c r="H38" s="54"/>
      <c r="I38" s="54"/>
      <c r="M38" s="130"/>
    </row>
    <row r="39" spans="1:13" ht="27.75" customHeight="1" x14ac:dyDescent="0.25">
      <c r="A39" s="485" t="s">
        <v>44</v>
      </c>
      <c r="B39" s="485"/>
      <c r="C39" s="485"/>
      <c r="D39" s="485"/>
      <c r="E39" s="485"/>
      <c r="F39" s="485"/>
      <c r="G39" s="485"/>
      <c r="H39" s="485"/>
      <c r="I39" s="485"/>
    </row>
    <row r="40" spans="1:13" ht="3" customHeight="1" x14ac:dyDescent="0.25"/>
    <row r="41" spans="1:13" s="156" customFormat="1" ht="28.5" customHeight="1" x14ac:dyDescent="0.25">
      <c r="A41" s="94" t="s">
        <v>11</v>
      </c>
      <c r="B41" s="416" t="s">
        <v>45</v>
      </c>
      <c r="C41" s="425"/>
      <c r="D41" s="94" t="s">
        <v>99</v>
      </c>
      <c r="E41" s="94" t="s">
        <v>98</v>
      </c>
      <c r="F41" s="416" t="s">
        <v>46</v>
      </c>
      <c r="G41" s="425"/>
    </row>
    <row r="42" spans="1:13" s="103" customFormat="1" ht="12.75" customHeight="1" x14ac:dyDescent="0.25">
      <c r="A42" s="98" t="s">
        <v>47</v>
      </c>
      <c r="B42" s="418" t="s">
        <v>75</v>
      </c>
      <c r="C42" s="430"/>
      <c r="D42" s="99"/>
      <c r="E42" s="99"/>
      <c r="F42" s="436">
        <f>SUM(F43:L54)</f>
        <v>223839.46419999999</v>
      </c>
      <c r="G42" s="424"/>
    </row>
    <row r="43" spans="1:13" ht="12.75" customHeight="1" x14ac:dyDescent="0.25">
      <c r="A43" s="34" t="s">
        <v>16</v>
      </c>
      <c r="B43" s="406" t="s">
        <v>506</v>
      </c>
      <c r="C43" s="431"/>
      <c r="D43" s="105" t="s">
        <v>100</v>
      </c>
      <c r="E43" s="105">
        <v>1</v>
      </c>
      <c r="F43" s="466">
        <v>10456.629999999999</v>
      </c>
      <c r="G43" s="467"/>
    </row>
    <row r="44" spans="1:13" ht="12.75" customHeight="1" x14ac:dyDescent="0.25">
      <c r="A44" s="34" t="s">
        <v>18</v>
      </c>
      <c r="B44" s="406" t="s">
        <v>506</v>
      </c>
      <c r="C44" s="431"/>
      <c r="D44" s="105" t="s">
        <v>100</v>
      </c>
      <c r="E44" s="105">
        <v>2</v>
      </c>
      <c r="F44" s="466">
        <v>20913.259999999998</v>
      </c>
      <c r="G44" s="467"/>
    </row>
    <row r="45" spans="1:13" ht="12.75" customHeight="1" x14ac:dyDescent="0.25">
      <c r="A45" s="34" t="s">
        <v>20</v>
      </c>
      <c r="B45" s="406" t="s">
        <v>507</v>
      </c>
      <c r="C45" s="431"/>
      <c r="D45" s="105" t="s">
        <v>137</v>
      </c>
      <c r="E45" s="107">
        <v>0.04</v>
      </c>
      <c r="F45" s="466">
        <v>14745.22</v>
      </c>
      <c r="G45" s="467"/>
    </row>
    <row r="46" spans="1:13" ht="12.75" customHeight="1" x14ac:dyDescent="0.25">
      <c r="A46" s="34" t="s">
        <v>22</v>
      </c>
      <c r="B46" s="406" t="s">
        <v>508</v>
      </c>
      <c r="C46" s="431"/>
      <c r="D46" s="105" t="s">
        <v>100</v>
      </c>
      <c r="E46" s="107">
        <v>0.08</v>
      </c>
      <c r="F46" s="466">
        <v>13262.35</v>
      </c>
      <c r="G46" s="467"/>
    </row>
    <row r="47" spans="1:13" ht="12.75" customHeight="1" x14ac:dyDescent="0.25">
      <c r="A47" s="34" t="s">
        <v>24</v>
      </c>
      <c r="B47" s="406" t="s">
        <v>503</v>
      </c>
      <c r="C47" s="431"/>
      <c r="D47" s="105" t="s">
        <v>100</v>
      </c>
      <c r="E47" s="137">
        <v>3</v>
      </c>
      <c r="F47" s="423">
        <v>36740.75</v>
      </c>
      <c r="G47" s="423"/>
    </row>
    <row r="48" spans="1:13" ht="12.75" customHeight="1" x14ac:dyDescent="0.25">
      <c r="A48" s="34" t="s">
        <v>73</v>
      </c>
      <c r="B48" s="406" t="s">
        <v>415</v>
      </c>
      <c r="C48" s="431"/>
      <c r="D48" s="105" t="s">
        <v>137</v>
      </c>
      <c r="E48" s="137">
        <v>0.06</v>
      </c>
      <c r="F48" s="423">
        <v>27499.74</v>
      </c>
      <c r="G48" s="423"/>
    </row>
    <row r="49" spans="1:7" ht="12.75" customHeight="1" x14ac:dyDescent="0.25">
      <c r="A49" s="34" t="s">
        <v>74</v>
      </c>
      <c r="B49" s="406" t="s">
        <v>509</v>
      </c>
      <c r="C49" s="431"/>
      <c r="D49" s="105" t="s">
        <v>100</v>
      </c>
      <c r="E49" s="137">
        <v>8</v>
      </c>
      <c r="F49" s="423">
        <v>12197.94</v>
      </c>
      <c r="G49" s="423"/>
    </row>
    <row r="50" spans="1:7" ht="12.75" customHeight="1" x14ac:dyDescent="0.25">
      <c r="A50" s="34" t="s">
        <v>81</v>
      </c>
      <c r="B50" s="406" t="s">
        <v>508</v>
      </c>
      <c r="C50" s="431"/>
      <c r="D50" s="105" t="s">
        <v>100</v>
      </c>
      <c r="E50" s="137">
        <v>6</v>
      </c>
      <c r="F50" s="423">
        <v>11584.63</v>
      </c>
      <c r="G50" s="423"/>
    </row>
    <row r="51" spans="1:7" ht="12.75" customHeight="1" x14ac:dyDescent="0.25">
      <c r="A51" s="34" t="s">
        <v>82</v>
      </c>
      <c r="B51" s="406" t="s">
        <v>415</v>
      </c>
      <c r="C51" s="431"/>
      <c r="D51" s="105" t="s">
        <v>137</v>
      </c>
      <c r="E51" s="137">
        <v>0.08</v>
      </c>
      <c r="F51" s="423">
        <v>27088.39</v>
      </c>
      <c r="G51" s="423"/>
    </row>
    <row r="52" spans="1:7" ht="12.75" customHeight="1" x14ac:dyDescent="0.25">
      <c r="A52" s="34" t="s">
        <v>83</v>
      </c>
      <c r="B52" s="406" t="s">
        <v>510</v>
      </c>
      <c r="C52" s="431"/>
      <c r="D52" s="105" t="s">
        <v>137</v>
      </c>
      <c r="E52" s="137">
        <v>0.01</v>
      </c>
      <c r="F52" s="423">
        <v>26288.31</v>
      </c>
      <c r="G52" s="423"/>
    </row>
    <row r="53" spans="1:7" ht="12.75" customHeight="1" x14ac:dyDescent="0.25">
      <c r="A53" s="34" t="s">
        <v>86</v>
      </c>
      <c r="B53" s="406" t="s">
        <v>510</v>
      </c>
      <c r="C53" s="431"/>
      <c r="D53" s="105" t="s">
        <v>458</v>
      </c>
      <c r="E53" s="137">
        <v>0.06</v>
      </c>
      <c r="F53" s="423">
        <v>20304.849999999999</v>
      </c>
      <c r="G53" s="423"/>
    </row>
    <row r="54" spans="1:7" ht="12.75" customHeight="1" x14ac:dyDescent="0.25">
      <c r="A54" s="34" t="s">
        <v>87</v>
      </c>
      <c r="B54" s="133" t="s">
        <v>108</v>
      </c>
      <c r="C54" s="134"/>
      <c r="D54" s="105"/>
      <c r="E54" s="105"/>
      <c r="F54" s="435">
        <f>E25*1%</f>
        <v>2757.3941999999997</v>
      </c>
      <c r="G54" s="435"/>
    </row>
    <row r="55" spans="1:7" ht="12.75" customHeight="1" x14ac:dyDescent="0.25">
      <c r="A55" s="59"/>
      <c r="B55" s="59"/>
      <c r="C55" s="59"/>
      <c r="D55" s="59"/>
      <c r="E55" s="59"/>
      <c r="F55" s="59"/>
      <c r="G55" s="59"/>
    </row>
    <row r="56" spans="1:7" ht="12.75" customHeight="1" x14ac:dyDescent="0.25">
      <c r="A56" s="51" t="s">
        <v>372</v>
      </c>
      <c r="B56" s="59"/>
      <c r="C56" s="59" t="s">
        <v>49</v>
      </c>
      <c r="D56" s="59"/>
      <c r="E56" s="59"/>
      <c r="F56" s="59" t="s">
        <v>60</v>
      </c>
      <c r="G56" s="59"/>
    </row>
    <row r="57" spans="1:7" ht="12.75" customHeight="1" x14ac:dyDescent="0.25">
      <c r="A57" s="59"/>
      <c r="B57" s="59"/>
      <c r="C57" s="59"/>
      <c r="D57" s="59"/>
      <c r="E57" s="59"/>
      <c r="F57" s="111" t="s">
        <v>438</v>
      </c>
      <c r="G57" s="59"/>
    </row>
    <row r="58" spans="1:7" s="59" customFormat="1" x14ac:dyDescent="0.25">
      <c r="A58" s="59" t="s">
        <v>50</v>
      </c>
    </row>
    <row r="59" spans="1:7" s="59" customFormat="1" x14ac:dyDescent="0.25">
      <c r="C59" s="113" t="s">
        <v>51</v>
      </c>
      <c r="E59" s="113"/>
      <c r="F59" s="113"/>
      <c r="G59" s="113"/>
    </row>
    <row r="60" spans="1:7" x14ac:dyDescent="0.25">
      <c r="A60" s="59"/>
      <c r="B60" s="59"/>
      <c r="C60" s="59"/>
      <c r="D60" s="59"/>
      <c r="E60" s="59"/>
      <c r="F60" s="59"/>
      <c r="G60" s="59"/>
    </row>
    <row r="61" spans="1:7" x14ac:dyDescent="0.25">
      <c r="A61" s="59"/>
      <c r="B61" s="59"/>
      <c r="C61" s="59"/>
      <c r="D61" s="59"/>
      <c r="E61" s="59"/>
      <c r="F61" s="59"/>
      <c r="G61" s="59"/>
    </row>
  </sheetData>
  <mergeCells count="38">
    <mergeCell ref="B51:C51"/>
    <mergeCell ref="B52:C52"/>
    <mergeCell ref="F51:G51"/>
    <mergeCell ref="F52:G52"/>
    <mergeCell ref="A39:I39"/>
    <mergeCell ref="A36:C36"/>
    <mergeCell ref="F41:G41"/>
    <mergeCell ref="B41:C41"/>
    <mergeCell ref="F49:G49"/>
    <mergeCell ref="F50:G50"/>
    <mergeCell ref="A1:I1"/>
    <mergeCell ref="A5:I5"/>
    <mergeCell ref="A10:I10"/>
    <mergeCell ref="A11:I11"/>
    <mergeCell ref="A2:K2"/>
    <mergeCell ref="F46:G46"/>
    <mergeCell ref="A12:I12"/>
    <mergeCell ref="A3:K3"/>
    <mergeCell ref="C34:F34"/>
    <mergeCell ref="A35:F35"/>
    <mergeCell ref="B49:C49"/>
    <mergeCell ref="B50:C50"/>
    <mergeCell ref="F43:G43"/>
    <mergeCell ref="F42:G42"/>
    <mergeCell ref="F44:G44"/>
    <mergeCell ref="B46:C46"/>
    <mergeCell ref="B43:C43"/>
    <mergeCell ref="B42:C42"/>
    <mergeCell ref="B53:C53"/>
    <mergeCell ref="F53:G53"/>
    <mergeCell ref="B47:C47"/>
    <mergeCell ref="F54:G54"/>
    <mergeCell ref="F45:G45"/>
    <mergeCell ref="B44:C44"/>
    <mergeCell ref="B45:C45"/>
    <mergeCell ref="F47:G47"/>
    <mergeCell ref="B48:C48"/>
    <mergeCell ref="F48:G48"/>
  </mergeCells>
  <phoneticPr fontId="14" type="noConversion"/>
  <pageMargins left="0" right="0" top="0" bottom="0" header="0.31496062992125984" footer="0.31496062992125984"/>
  <pageSetup paperSize="9" scale="98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D750FD-D250-4243-BDB5-2EC9CD06B0D5}">
  <sheetPr>
    <tabColor rgb="FF7030A0"/>
  </sheetPr>
  <dimension ref="A1:M49"/>
  <sheetViews>
    <sheetView topLeftCell="A28" zoomScaleNormal="100" workbookViewId="0">
      <selection activeCell="A50" sqref="A50:IV51"/>
    </sheetView>
  </sheetViews>
  <sheetFormatPr defaultRowHeight="15" outlineLevelRow="1" outlineLevelCol="1" x14ac:dyDescent="0.25"/>
  <cols>
    <col min="1" max="1" width="5.5703125" style="35" customWidth="1"/>
    <col min="2" max="2" width="40.28515625" style="35" bestFit="1" customWidth="1"/>
    <col min="3" max="3" width="13.7109375" style="35" customWidth="1"/>
    <col min="4" max="4" width="13.42578125" style="35" customWidth="1"/>
    <col min="5" max="5" width="13" style="35" customWidth="1"/>
    <col min="6" max="6" width="12.7109375" style="35" customWidth="1"/>
    <col min="7" max="7" width="13.28515625" style="35" customWidth="1"/>
    <col min="8" max="8" width="10.85546875" style="35" hidden="1" customWidth="1" outlineLevel="1"/>
    <col min="9" max="9" width="13.42578125" style="35" hidden="1" customWidth="1" outlineLevel="1"/>
    <col min="10" max="12" width="9.140625" style="35" hidden="1" customWidth="1" outlineLevel="1"/>
    <col min="13" max="13" width="9.140625" style="35" collapsed="1"/>
    <col min="14" max="16384" width="9.140625" style="35"/>
  </cols>
  <sheetData>
    <row r="1" spans="1:11" x14ac:dyDescent="0.25">
      <c r="A1" s="397" t="s">
        <v>0</v>
      </c>
      <c r="B1" s="397"/>
      <c r="C1" s="397"/>
      <c r="D1" s="397"/>
      <c r="E1" s="397"/>
      <c r="F1" s="397"/>
      <c r="G1" s="397"/>
      <c r="H1" s="397"/>
      <c r="I1" s="397"/>
    </row>
    <row r="2" spans="1:11" ht="15" customHeight="1" x14ac:dyDescent="0.25">
      <c r="A2" s="370" t="s">
        <v>152</v>
      </c>
      <c r="B2" s="370"/>
      <c r="C2" s="370"/>
      <c r="D2" s="370"/>
      <c r="E2" s="370"/>
      <c r="F2" s="370"/>
      <c r="G2" s="370"/>
      <c r="H2" s="370"/>
      <c r="I2" s="370"/>
      <c r="J2" s="370"/>
      <c r="K2" s="370"/>
    </row>
    <row r="3" spans="1:11" ht="16.5" customHeight="1" x14ac:dyDescent="0.25">
      <c r="A3" s="370" t="s">
        <v>426</v>
      </c>
      <c r="B3" s="370"/>
      <c r="C3" s="370"/>
      <c r="D3" s="370"/>
      <c r="E3" s="370"/>
      <c r="F3" s="370"/>
      <c r="G3" s="370"/>
      <c r="H3" s="370"/>
      <c r="I3" s="370"/>
      <c r="J3" s="370"/>
      <c r="K3" s="370"/>
    </row>
    <row r="4" spans="1:11" ht="18.75" customHeight="1" x14ac:dyDescent="0.25">
      <c r="A4" s="142"/>
      <c r="B4" s="142"/>
      <c r="C4" s="142"/>
      <c r="D4" s="142"/>
      <c r="E4" s="142"/>
      <c r="F4" s="142"/>
      <c r="G4" s="142"/>
      <c r="H4" s="142"/>
      <c r="I4" s="142"/>
    </row>
    <row r="5" spans="1:11" ht="16.5" customHeight="1" x14ac:dyDescent="0.25">
      <c r="A5" s="398" t="s">
        <v>1</v>
      </c>
      <c r="B5" s="397"/>
      <c r="C5" s="397"/>
      <c r="D5" s="397"/>
      <c r="E5" s="397"/>
      <c r="F5" s="397"/>
      <c r="G5" s="397"/>
      <c r="H5" s="397"/>
      <c r="I5" s="397"/>
    </row>
    <row r="7" spans="1:11" s="59" customFormat="1" ht="16.5" customHeight="1" x14ac:dyDescent="0.25">
      <c r="A7" s="59" t="s">
        <v>2</v>
      </c>
      <c r="F7" s="111" t="s">
        <v>159</v>
      </c>
    </row>
    <row r="8" spans="1:11" s="59" customFormat="1" x14ac:dyDescent="0.25">
      <c r="A8" s="59" t="s">
        <v>3</v>
      </c>
      <c r="F8" s="239" t="s">
        <v>160</v>
      </c>
      <c r="I8" s="180">
        <v>0</v>
      </c>
      <c r="J8" s="59">
        <v>299.2</v>
      </c>
    </row>
    <row r="9" spans="1:11" s="59" customFormat="1" x14ac:dyDescent="0.25"/>
    <row r="10" spans="1:11" s="59" customFormat="1" x14ac:dyDescent="0.25">
      <c r="A10" s="372" t="s">
        <v>8</v>
      </c>
      <c r="B10" s="372"/>
      <c r="C10" s="372"/>
      <c r="D10" s="372"/>
      <c r="E10" s="372"/>
      <c r="F10" s="372"/>
      <c r="G10" s="372"/>
      <c r="H10" s="372"/>
      <c r="I10" s="372"/>
    </row>
    <row r="11" spans="1:11" s="59" customFormat="1" x14ac:dyDescent="0.25">
      <c r="A11" s="372" t="s">
        <v>9</v>
      </c>
      <c r="B11" s="372"/>
      <c r="C11" s="372"/>
      <c r="D11" s="372"/>
      <c r="E11" s="372"/>
      <c r="F11" s="372"/>
      <c r="G11" s="372"/>
      <c r="H11" s="372"/>
      <c r="I11" s="372"/>
    </row>
    <row r="12" spans="1:11" s="59" customFormat="1" x14ac:dyDescent="0.25">
      <c r="A12" s="372" t="s">
        <v>10</v>
      </c>
      <c r="B12" s="372"/>
      <c r="C12" s="372"/>
      <c r="D12" s="372"/>
      <c r="E12" s="372"/>
      <c r="F12" s="372"/>
      <c r="G12" s="372"/>
      <c r="H12" s="372"/>
      <c r="I12" s="372"/>
    </row>
    <row r="13" spans="1:11" s="59" customFormat="1" ht="6" customHeight="1" thickBot="1" x14ac:dyDescent="0.3">
      <c r="A13" s="60"/>
      <c r="B13" s="60"/>
      <c r="C13" s="60"/>
      <c r="D13" s="38"/>
      <c r="E13" s="58"/>
      <c r="F13" s="58"/>
      <c r="G13" s="58"/>
      <c r="H13" s="54"/>
      <c r="I13" s="54"/>
    </row>
    <row r="14" spans="1:11" s="59" customFormat="1" ht="15.75" thickBot="1" x14ac:dyDescent="0.3">
      <c r="A14" s="55" t="s">
        <v>381</v>
      </c>
      <c r="B14" s="56"/>
      <c r="C14" s="56"/>
      <c r="D14" s="61"/>
      <c r="E14" s="62"/>
      <c r="F14" s="62"/>
      <c r="G14" s="232">
        <f>'[1]Герцена 16а'!$G$34</f>
        <v>-29816.303899999995</v>
      </c>
      <c r="H14" s="54"/>
      <c r="I14" s="54"/>
    </row>
    <row r="15" spans="1:11" s="59" customFormat="1" ht="8.25" customHeight="1" x14ac:dyDescent="0.25"/>
    <row r="16" spans="1:11" s="66" customFormat="1" ht="38.25" x14ac:dyDescent="0.25">
      <c r="A16" s="64" t="s">
        <v>11</v>
      </c>
      <c r="B16" s="64" t="s">
        <v>12</v>
      </c>
      <c r="C16" s="64" t="s">
        <v>61</v>
      </c>
      <c r="D16" s="64" t="s">
        <v>432</v>
      </c>
      <c r="E16" s="64" t="s">
        <v>433</v>
      </c>
      <c r="F16" s="65" t="s">
        <v>434</v>
      </c>
      <c r="G16" s="64" t="s">
        <v>435</v>
      </c>
      <c r="H16" s="64"/>
    </row>
    <row r="17" spans="1:9" s="152" customFormat="1" ht="14.25" x14ac:dyDescent="0.2">
      <c r="A17" s="67" t="s">
        <v>14</v>
      </c>
      <c r="B17" s="119" t="s">
        <v>379</v>
      </c>
      <c r="C17" s="120">
        <v>22.69</v>
      </c>
      <c r="D17" s="68">
        <v>75147.48</v>
      </c>
      <c r="E17" s="68">
        <v>75857.33</v>
      </c>
      <c r="F17" s="68">
        <f t="shared" ref="F17:F22" si="0">D17</f>
        <v>75147.48</v>
      </c>
      <c r="G17" s="69">
        <f>D17-E17</f>
        <v>-709.85000000000582</v>
      </c>
      <c r="H17" s="151">
        <f t="shared" ref="H17:H22" si="1">C17</f>
        <v>22.69</v>
      </c>
    </row>
    <row r="18" spans="1:9" s="59" customFormat="1" hidden="1" outlineLevel="1" x14ac:dyDescent="0.25">
      <c r="A18" s="73" t="s">
        <v>16</v>
      </c>
      <c r="B18" s="124" t="s">
        <v>17</v>
      </c>
      <c r="C18" s="89">
        <v>3.46</v>
      </c>
      <c r="D18" s="75">
        <f>D17*I18</f>
        <v>11459.245517849271</v>
      </c>
      <c r="E18" s="75">
        <f>E17*I18</f>
        <v>11567.490603790215</v>
      </c>
      <c r="F18" s="75">
        <f t="shared" si="0"/>
        <v>11459.245517849271</v>
      </c>
      <c r="G18" s="76">
        <f t="shared" ref="G18:G31" si="2">D18-E18</f>
        <v>-108.24508594094368</v>
      </c>
      <c r="H18" s="130">
        <f t="shared" si="1"/>
        <v>3.46</v>
      </c>
      <c r="I18" s="59">
        <f>H18/H17</f>
        <v>0.1524900837373292</v>
      </c>
    </row>
    <row r="19" spans="1:9" s="59" customFormat="1" hidden="1" outlineLevel="1" x14ac:dyDescent="0.25">
      <c r="A19" s="73" t="s">
        <v>18</v>
      </c>
      <c r="B19" s="124" t="s">
        <v>19</v>
      </c>
      <c r="C19" s="89">
        <v>1.69</v>
      </c>
      <c r="D19" s="75">
        <f>D17*I19</f>
        <v>5597.1459321286902</v>
      </c>
      <c r="E19" s="75">
        <f>E17*I19</f>
        <v>5650.0170868223886</v>
      </c>
      <c r="F19" s="75">
        <f t="shared" si="0"/>
        <v>5597.1459321286902</v>
      </c>
      <c r="G19" s="76">
        <f t="shared" si="2"/>
        <v>-52.871154693698372</v>
      </c>
      <c r="H19" s="130">
        <f t="shared" si="1"/>
        <v>1.69</v>
      </c>
      <c r="I19" s="59">
        <f>H19/H17</f>
        <v>7.4482150727192595E-2</v>
      </c>
    </row>
    <row r="20" spans="1:9" s="59" customFormat="1" hidden="1" outlineLevel="1" x14ac:dyDescent="0.25">
      <c r="A20" s="73" t="s">
        <v>20</v>
      </c>
      <c r="B20" s="124" t="s">
        <v>21</v>
      </c>
      <c r="C20" s="89">
        <v>1.69</v>
      </c>
      <c r="D20" s="75">
        <f>D17*I20</f>
        <v>5597.1459321286902</v>
      </c>
      <c r="E20" s="75">
        <f>E17*I20</f>
        <v>5650.0170868223886</v>
      </c>
      <c r="F20" s="75">
        <f t="shared" si="0"/>
        <v>5597.1459321286902</v>
      </c>
      <c r="G20" s="76">
        <f t="shared" si="2"/>
        <v>-52.871154693698372</v>
      </c>
      <c r="H20" s="130">
        <f t="shared" si="1"/>
        <v>1.69</v>
      </c>
      <c r="I20" s="59">
        <f>H20/H17</f>
        <v>7.4482150727192595E-2</v>
      </c>
    </row>
    <row r="21" spans="1:9" s="59" customFormat="1" hidden="1" outlineLevel="1" x14ac:dyDescent="0.25">
      <c r="A21" s="73" t="s">
        <v>22</v>
      </c>
      <c r="B21" s="124" t="s">
        <v>23</v>
      </c>
      <c r="C21" s="89">
        <v>3.04</v>
      </c>
      <c r="D21" s="75">
        <f>D17*I21</f>
        <v>10068.238836491844</v>
      </c>
      <c r="E21" s="75">
        <f>E17*I21</f>
        <v>10163.344345526662</v>
      </c>
      <c r="F21" s="75">
        <f t="shared" si="0"/>
        <v>10068.238836491844</v>
      </c>
      <c r="G21" s="76">
        <f t="shared" si="2"/>
        <v>-95.105509034818169</v>
      </c>
      <c r="H21" s="130">
        <f t="shared" si="1"/>
        <v>3.04</v>
      </c>
      <c r="I21" s="59">
        <f>H21/H17</f>
        <v>0.13397972675187306</v>
      </c>
    </row>
    <row r="22" spans="1:9" s="59" customFormat="1" collapsed="1" x14ac:dyDescent="0.25">
      <c r="A22" s="67" t="s">
        <v>25</v>
      </c>
      <c r="B22" s="78" t="s">
        <v>145</v>
      </c>
      <c r="C22" s="120">
        <v>0</v>
      </c>
      <c r="D22" s="68">
        <v>0</v>
      </c>
      <c r="E22" s="68">
        <v>0</v>
      </c>
      <c r="F22" s="68">
        <f t="shared" si="0"/>
        <v>0</v>
      </c>
      <c r="G22" s="69">
        <f t="shared" si="2"/>
        <v>0</v>
      </c>
      <c r="H22" s="130">
        <f t="shared" si="1"/>
        <v>0</v>
      </c>
    </row>
    <row r="23" spans="1:9" s="37" customFormat="1" ht="14.25" x14ac:dyDescent="0.2">
      <c r="A23" s="39" t="s">
        <v>27</v>
      </c>
      <c r="B23" s="125" t="s">
        <v>28</v>
      </c>
      <c r="C23" s="126">
        <v>0</v>
      </c>
      <c r="D23" s="69">
        <v>0</v>
      </c>
      <c r="E23" s="69">
        <v>0</v>
      </c>
      <c r="F23" s="69">
        <v>0</v>
      </c>
      <c r="G23" s="69">
        <f t="shared" si="2"/>
        <v>0</v>
      </c>
    </row>
    <row r="24" spans="1:9" s="37" customFormat="1" ht="14.25" x14ac:dyDescent="0.2">
      <c r="A24" s="39" t="s">
        <v>29</v>
      </c>
      <c r="B24" s="125" t="s">
        <v>97</v>
      </c>
      <c r="C24" s="357">
        <v>0</v>
      </c>
      <c r="D24" s="69">
        <v>0</v>
      </c>
      <c r="E24" s="69">
        <v>0</v>
      </c>
      <c r="F24" s="69">
        <f>D24</f>
        <v>0</v>
      </c>
      <c r="G24" s="69">
        <f t="shared" si="2"/>
        <v>0</v>
      </c>
    </row>
    <row r="25" spans="1:9" s="37" customFormat="1" ht="14.25" x14ac:dyDescent="0.2">
      <c r="A25" s="39" t="s">
        <v>31</v>
      </c>
      <c r="B25" s="125" t="s">
        <v>80</v>
      </c>
      <c r="C25" s="126">
        <v>2.2400000000000002</v>
      </c>
      <c r="D25" s="69">
        <v>8042.64</v>
      </c>
      <c r="E25" s="69">
        <v>8123.32</v>
      </c>
      <c r="F25" s="79">
        <f>F39</f>
        <v>5081.2331999999997</v>
      </c>
      <c r="G25" s="69">
        <f t="shared" si="2"/>
        <v>-80.679999999999382</v>
      </c>
    </row>
    <row r="26" spans="1:9" s="37" customFormat="1" ht="14.25" x14ac:dyDescent="0.2">
      <c r="A26" s="39" t="s">
        <v>33</v>
      </c>
      <c r="B26" s="119" t="s">
        <v>34</v>
      </c>
      <c r="C26" s="120">
        <v>0</v>
      </c>
      <c r="D26" s="69">
        <v>0</v>
      </c>
      <c r="E26" s="69">
        <v>0</v>
      </c>
      <c r="F26" s="79">
        <f>D26</f>
        <v>0</v>
      </c>
      <c r="G26" s="69">
        <f t="shared" si="2"/>
        <v>0</v>
      </c>
    </row>
    <row r="27" spans="1:9" s="37" customFormat="1" ht="14.25" x14ac:dyDescent="0.2">
      <c r="A27" s="39" t="s">
        <v>35</v>
      </c>
      <c r="B27" s="119" t="s">
        <v>36</v>
      </c>
      <c r="C27" s="120"/>
      <c r="D27" s="69">
        <f>SUM(D28:D31)</f>
        <v>257859.75</v>
      </c>
      <c r="E27" s="69">
        <f>SUM(E28:E31)</f>
        <v>257678.59000000003</v>
      </c>
      <c r="F27" s="69">
        <f>SUM(F28:F31)</f>
        <v>257859.75</v>
      </c>
      <c r="G27" s="69">
        <f t="shared" si="2"/>
        <v>181.15999999997439</v>
      </c>
    </row>
    <row r="28" spans="1:9" x14ac:dyDescent="0.25">
      <c r="A28" s="34" t="s">
        <v>37</v>
      </c>
      <c r="B28" s="34" t="s">
        <v>101</v>
      </c>
      <c r="C28" s="89">
        <v>7.36</v>
      </c>
      <c r="D28" s="76">
        <v>35385.47</v>
      </c>
      <c r="E28" s="76">
        <v>35271.230000000003</v>
      </c>
      <c r="F28" s="188">
        <f>D28</f>
        <v>35385.47</v>
      </c>
      <c r="G28" s="76">
        <f t="shared" si="2"/>
        <v>114.23999999999796</v>
      </c>
    </row>
    <row r="29" spans="1:9" x14ac:dyDescent="0.25">
      <c r="A29" s="34" t="s">
        <v>39</v>
      </c>
      <c r="B29" s="34" t="s">
        <v>84</v>
      </c>
      <c r="C29" s="89">
        <v>88.38</v>
      </c>
      <c r="D29" s="76">
        <v>53012.71</v>
      </c>
      <c r="E29" s="76">
        <v>54823.26</v>
      </c>
      <c r="F29" s="188">
        <f>D29</f>
        <v>53012.71</v>
      </c>
      <c r="G29" s="76">
        <f t="shared" si="2"/>
        <v>-1810.5500000000029</v>
      </c>
    </row>
    <row r="30" spans="1:9" x14ac:dyDescent="0.25">
      <c r="A30" s="34" t="s">
        <v>42</v>
      </c>
      <c r="B30" s="124" t="s">
        <v>135</v>
      </c>
      <c r="C30" s="128">
        <v>0</v>
      </c>
      <c r="D30" s="76">
        <v>0</v>
      </c>
      <c r="E30" s="76">
        <v>0</v>
      </c>
      <c r="F30" s="188">
        <f>D30</f>
        <v>0</v>
      </c>
      <c r="G30" s="76">
        <f t="shared" si="2"/>
        <v>0</v>
      </c>
    </row>
    <row r="31" spans="1:9" ht="15.75" thickBot="1" x14ac:dyDescent="0.3">
      <c r="A31" s="34" t="s">
        <v>41</v>
      </c>
      <c r="B31" s="34" t="s">
        <v>43</v>
      </c>
      <c r="C31" s="89">
        <v>3352.42</v>
      </c>
      <c r="D31" s="76">
        <v>169461.57</v>
      </c>
      <c r="E31" s="76">
        <v>167584.1</v>
      </c>
      <c r="F31" s="188">
        <f>D31</f>
        <v>169461.57</v>
      </c>
      <c r="G31" s="76">
        <f t="shared" si="2"/>
        <v>1877.4700000000012</v>
      </c>
    </row>
    <row r="32" spans="1:9" s="59" customFormat="1" ht="15.75" thickBot="1" x14ac:dyDescent="0.3">
      <c r="A32" s="387" t="s">
        <v>427</v>
      </c>
      <c r="B32" s="388"/>
      <c r="C32" s="388"/>
      <c r="D32" s="57">
        <v>-609.37</v>
      </c>
      <c r="E32" s="58"/>
      <c r="F32" s="58"/>
      <c r="G32" s="58"/>
      <c r="H32" s="54"/>
      <c r="I32" s="54"/>
    </row>
    <row r="33" spans="1:9" s="59" customFormat="1" ht="15" customHeight="1" thickBot="1" x14ac:dyDescent="0.3">
      <c r="A33" s="373"/>
      <c r="B33" s="374"/>
      <c r="C33" s="374"/>
      <c r="D33" s="375"/>
      <c r="E33" s="375"/>
      <c r="F33" s="375"/>
      <c r="G33" s="58"/>
      <c r="H33" s="54"/>
      <c r="I33" s="54"/>
    </row>
    <row r="34" spans="1:9" s="59" customFormat="1" ht="15.75" thickBot="1" x14ac:dyDescent="0.3">
      <c r="A34" s="55" t="s">
        <v>428</v>
      </c>
      <c r="B34" s="56"/>
      <c r="C34" s="56"/>
      <c r="D34" s="61"/>
      <c r="E34" s="62"/>
      <c r="F34" s="62"/>
      <c r="G34" s="232">
        <f>G14+E25-F25</f>
        <v>-26774.217099999994</v>
      </c>
      <c r="H34" s="54"/>
      <c r="I34" s="54"/>
    </row>
    <row r="35" spans="1:9" s="59" customFormat="1" x14ac:dyDescent="0.25">
      <c r="A35" s="60"/>
      <c r="B35" s="60"/>
      <c r="C35" s="60"/>
      <c r="D35" s="38"/>
      <c r="E35" s="58"/>
      <c r="F35" s="58"/>
      <c r="G35" s="38"/>
      <c r="H35" s="54"/>
      <c r="I35" s="54"/>
    </row>
    <row r="36" spans="1:9" ht="33.75" customHeight="1" x14ac:dyDescent="0.25">
      <c r="A36" s="371" t="s">
        <v>44</v>
      </c>
      <c r="B36" s="422"/>
      <c r="C36" s="422"/>
      <c r="D36" s="422"/>
      <c r="E36" s="422"/>
      <c r="F36" s="422"/>
      <c r="G36" s="422"/>
      <c r="H36" s="50"/>
      <c r="I36" s="50"/>
    </row>
    <row r="38" spans="1:9" s="156" customFormat="1" ht="28.5" customHeight="1" x14ac:dyDescent="0.25">
      <c r="A38" s="94" t="s">
        <v>11</v>
      </c>
      <c r="B38" s="416" t="s">
        <v>45</v>
      </c>
      <c r="C38" s="425"/>
      <c r="D38" s="94" t="s">
        <v>99</v>
      </c>
      <c r="E38" s="94" t="s">
        <v>98</v>
      </c>
      <c r="F38" s="416" t="s">
        <v>46</v>
      </c>
      <c r="G38" s="424"/>
    </row>
    <row r="39" spans="1:9" s="103" customFormat="1" ht="15" customHeight="1" x14ac:dyDescent="0.25">
      <c r="A39" s="98" t="s">
        <v>47</v>
      </c>
      <c r="B39" s="418" t="s">
        <v>75</v>
      </c>
      <c r="C39" s="430"/>
      <c r="D39" s="233"/>
      <c r="E39" s="233"/>
      <c r="F39" s="426">
        <f>SUM(F40:G42)</f>
        <v>5081.2331999999997</v>
      </c>
      <c r="G39" s="427"/>
    </row>
    <row r="40" spans="1:9" ht="27.6" customHeight="1" x14ac:dyDescent="0.25">
      <c r="A40" s="34" t="s">
        <v>16</v>
      </c>
      <c r="B40" s="406" t="s">
        <v>413</v>
      </c>
      <c r="C40" s="431"/>
      <c r="D40" s="105" t="s">
        <v>142</v>
      </c>
      <c r="E40" s="137">
        <v>2</v>
      </c>
      <c r="F40" s="423">
        <v>5000</v>
      </c>
      <c r="G40" s="423"/>
    </row>
    <row r="41" spans="1:9" ht="19.5" customHeight="1" x14ac:dyDescent="0.25">
      <c r="A41" s="34" t="s">
        <v>18</v>
      </c>
      <c r="B41" s="433"/>
      <c r="C41" s="434"/>
      <c r="D41" s="259"/>
      <c r="E41" s="261"/>
      <c r="F41" s="429"/>
      <c r="G41" s="429"/>
    </row>
    <row r="42" spans="1:9" ht="15.75" customHeight="1" x14ac:dyDescent="0.25">
      <c r="A42" s="34" t="s">
        <v>20</v>
      </c>
      <c r="B42" s="401" t="s">
        <v>108</v>
      </c>
      <c r="C42" s="432"/>
      <c r="D42" s="234"/>
      <c r="E42" s="234"/>
      <c r="F42" s="423">
        <f>E25*1%</f>
        <v>81.233199999999997</v>
      </c>
      <c r="G42" s="423"/>
    </row>
    <row r="43" spans="1:9" x14ac:dyDescent="0.25">
      <c r="B43" s="139"/>
      <c r="C43" s="139"/>
      <c r="D43" s="139"/>
      <c r="E43" s="139"/>
    </row>
    <row r="44" spans="1:9" s="59" customFormat="1" x14ac:dyDescent="0.25">
      <c r="A44" s="51" t="s">
        <v>372</v>
      </c>
      <c r="C44" s="59" t="s">
        <v>49</v>
      </c>
      <c r="F44" s="59" t="s">
        <v>60</v>
      </c>
    </row>
    <row r="45" spans="1:9" s="59" customFormat="1" x14ac:dyDescent="0.25">
      <c r="F45" s="111" t="s">
        <v>429</v>
      </c>
    </row>
    <row r="46" spans="1:9" s="59" customFormat="1" x14ac:dyDescent="0.25">
      <c r="A46" s="59" t="s">
        <v>50</v>
      </c>
    </row>
    <row r="47" spans="1:9" s="59" customFormat="1" x14ac:dyDescent="0.25">
      <c r="C47" s="113" t="s">
        <v>51</v>
      </c>
      <c r="E47" s="113"/>
      <c r="F47" s="113"/>
      <c r="G47" s="113"/>
    </row>
    <row r="48" spans="1:9" s="59" customFormat="1" x14ac:dyDescent="0.25"/>
    <row r="49" s="59" customFormat="1" x14ac:dyDescent="0.25"/>
  </sheetData>
  <mergeCells count="20">
    <mergeCell ref="A36:G36"/>
    <mergeCell ref="B38:C38"/>
    <mergeCell ref="A11:I11"/>
    <mergeCell ref="F38:G38"/>
    <mergeCell ref="B42:C42"/>
    <mergeCell ref="F42:G42"/>
    <mergeCell ref="B39:C39"/>
    <mergeCell ref="F39:G39"/>
    <mergeCell ref="B40:C40"/>
    <mergeCell ref="B41:C41"/>
    <mergeCell ref="F41:G41"/>
    <mergeCell ref="F40:G40"/>
    <mergeCell ref="A2:K2"/>
    <mergeCell ref="A33:F33"/>
    <mergeCell ref="A1:I1"/>
    <mergeCell ref="A3:K3"/>
    <mergeCell ref="A5:I5"/>
    <mergeCell ref="A10:I10"/>
    <mergeCell ref="A12:I12"/>
    <mergeCell ref="A32:C32"/>
  </mergeCells>
  <pageMargins left="0" right="0" top="0" bottom="0" header="0.31496062992125984" footer="0.31496062992125984"/>
  <pageSetup paperSize="9" orientation="landscape" horizontalDpi="180" verticalDpi="180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261CE1-B7C5-448D-8714-F780B6333690}">
  <sheetPr>
    <tabColor rgb="FF7030A0"/>
  </sheetPr>
  <dimension ref="A1:M53"/>
  <sheetViews>
    <sheetView topLeftCell="A37" zoomScaleNormal="100" workbookViewId="0">
      <selection activeCell="A57" sqref="A57:IV58"/>
    </sheetView>
  </sheetViews>
  <sheetFormatPr defaultRowHeight="15" outlineLevelRow="1" outlineLevelCol="1" x14ac:dyDescent="0.25"/>
  <cols>
    <col min="1" max="1" width="4.85546875" style="35" customWidth="1"/>
    <col min="2" max="2" width="48" style="35" bestFit="1" customWidth="1"/>
    <col min="3" max="3" width="12.42578125" style="35" customWidth="1"/>
    <col min="4" max="5" width="13" style="35" customWidth="1"/>
    <col min="6" max="6" width="13.7109375" style="35" customWidth="1"/>
    <col min="7" max="7" width="13.28515625" style="35" customWidth="1"/>
    <col min="8" max="8" width="10.85546875" style="35" hidden="1" customWidth="1" outlineLevel="1"/>
    <col min="9" max="9" width="13.42578125" style="35" hidden="1" customWidth="1" outlineLevel="1"/>
    <col min="10" max="12" width="9.140625" style="35" hidden="1" customWidth="1" outlineLevel="1"/>
    <col min="13" max="13" width="9.140625" style="35" collapsed="1"/>
    <col min="14" max="16384" width="9.140625" style="35"/>
  </cols>
  <sheetData>
    <row r="1" spans="1:11" x14ac:dyDescent="0.25">
      <c r="A1" s="397" t="s">
        <v>0</v>
      </c>
      <c r="B1" s="397"/>
      <c r="C1" s="397"/>
      <c r="D1" s="397"/>
      <c r="E1" s="397"/>
      <c r="F1" s="397"/>
      <c r="G1" s="397"/>
      <c r="H1" s="397"/>
      <c r="I1" s="397"/>
    </row>
    <row r="2" spans="1:11" ht="15" customHeight="1" x14ac:dyDescent="0.25">
      <c r="A2" s="370" t="s">
        <v>152</v>
      </c>
      <c r="B2" s="370"/>
      <c r="C2" s="370"/>
      <c r="D2" s="370"/>
      <c r="E2" s="370"/>
      <c r="F2" s="370"/>
      <c r="G2" s="370"/>
      <c r="H2" s="370"/>
      <c r="I2" s="370"/>
      <c r="J2" s="370"/>
      <c r="K2" s="370"/>
    </row>
    <row r="3" spans="1:11" ht="15.75" customHeight="1" x14ac:dyDescent="0.25">
      <c r="A3" s="370" t="s">
        <v>426</v>
      </c>
      <c r="B3" s="370"/>
      <c r="C3" s="370"/>
      <c r="D3" s="370"/>
      <c r="E3" s="370"/>
      <c r="F3" s="370"/>
      <c r="G3" s="370"/>
      <c r="H3" s="370"/>
      <c r="I3" s="370"/>
      <c r="J3" s="370"/>
      <c r="K3" s="370"/>
    </row>
    <row r="4" spans="1:11" ht="5.25" customHeight="1" x14ac:dyDescent="0.25">
      <c r="A4" s="142"/>
      <c r="B4" s="142"/>
      <c r="C4" s="142"/>
      <c r="D4" s="142"/>
      <c r="E4" s="142"/>
      <c r="F4" s="142"/>
      <c r="G4" s="142"/>
      <c r="H4" s="142"/>
      <c r="I4" s="142"/>
    </row>
    <row r="5" spans="1:11" ht="16.5" customHeight="1" x14ac:dyDescent="0.25">
      <c r="A5" s="398" t="s">
        <v>1</v>
      </c>
      <c r="B5" s="397"/>
      <c r="C5" s="397"/>
      <c r="D5" s="397"/>
      <c r="E5" s="397"/>
      <c r="F5" s="397"/>
      <c r="G5" s="397"/>
      <c r="H5" s="397"/>
      <c r="I5" s="397"/>
    </row>
    <row r="6" spans="1:11" ht="3" customHeight="1" x14ac:dyDescent="0.25"/>
    <row r="7" spans="1:11" s="59" customFormat="1" ht="16.5" customHeight="1" x14ac:dyDescent="0.25">
      <c r="A7" s="59" t="s">
        <v>2</v>
      </c>
      <c r="F7" s="111" t="s">
        <v>229</v>
      </c>
      <c r="I7" s="180">
        <v>46.6</v>
      </c>
      <c r="K7" s="180">
        <f>I7+I8+J8</f>
        <v>3371.6</v>
      </c>
    </row>
    <row r="8" spans="1:11" s="59" customFormat="1" x14ac:dyDescent="0.25">
      <c r="A8" s="59" t="s">
        <v>3</v>
      </c>
      <c r="F8" s="239" t="s">
        <v>264</v>
      </c>
      <c r="I8" s="180">
        <v>134.80000000000001</v>
      </c>
      <c r="J8" s="110">
        <v>3190.2</v>
      </c>
      <c r="K8" s="110">
        <f>J8+H8+I8</f>
        <v>3325</v>
      </c>
    </row>
    <row r="9" spans="1:11" s="59" customFormat="1" ht="16.5" customHeight="1" x14ac:dyDescent="0.25">
      <c r="B9" s="59" t="s">
        <v>252</v>
      </c>
      <c r="F9" s="239" t="s">
        <v>263</v>
      </c>
    </row>
    <row r="10" spans="1:11" s="59" customFormat="1" ht="12" customHeight="1" x14ac:dyDescent="0.25">
      <c r="A10" s="372" t="s">
        <v>8</v>
      </c>
      <c r="B10" s="372"/>
      <c r="C10" s="372"/>
      <c r="D10" s="372"/>
      <c r="E10" s="372"/>
      <c r="F10" s="372"/>
      <c r="G10" s="372"/>
      <c r="H10" s="372"/>
      <c r="I10" s="372"/>
    </row>
    <row r="11" spans="1:11" s="59" customFormat="1" ht="12" customHeight="1" x14ac:dyDescent="0.25">
      <c r="A11" s="372" t="s">
        <v>9</v>
      </c>
      <c r="B11" s="372"/>
      <c r="C11" s="372"/>
      <c r="D11" s="372"/>
      <c r="E11" s="372"/>
      <c r="F11" s="372"/>
      <c r="G11" s="372"/>
      <c r="H11" s="372"/>
      <c r="I11" s="372"/>
    </row>
    <row r="12" spans="1:11" s="59" customFormat="1" ht="12" customHeight="1" x14ac:dyDescent="0.25">
      <c r="A12" s="372" t="s">
        <v>10</v>
      </c>
      <c r="B12" s="372"/>
      <c r="C12" s="372"/>
      <c r="D12" s="372"/>
      <c r="E12" s="372"/>
      <c r="F12" s="372"/>
      <c r="G12" s="372"/>
      <c r="H12" s="372"/>
      <c r="I12" s="372"/>
    </row>
    <row r="13" spans="1:11" s="59" customFormat="1" ht="6" customHeight="1" thickBot="1" x14ac:dyDescent="0.3">
      <c r="A13" s="60"/>
      <c r="B13" s="60"/>
      <c r="C13" s="60"/>
      <c r="D13" s="38"/>
      <c r="E13" s="58"/>
      <c r="F13" s="58"/>
      <c r="G13" s="58"/>
      <c r="H13" s="54"/>
      <c r="I13" s="54"/>
    </row>
    <row r="14" spans="1:11" s="59" customFormat="1" ht="15.75" thickBot="1" x14ac:dyDescent="0.3">
      <c r="A14" s="55"/>
      <c r="B14" s="55" t="s">
        <v>381</v>
      </c>
      <c r="C14" s="56"/>
      <c r="D14" s="56"/>
      <c r="E14" s="62"/>
      <c r="F14" s="62"/>
      <c r="G14" s="129">
        <f>'[1]Суворова 58'!$G$36</f>
        <v>-147296.2071</v>
      </c>
      <c r="H14" s="54"/>
      <c r="I14" s="54"/>
    </row>
    <row r="15" spans="1:11" s="59" customFormat="1" ht="6.75" customHeight="1" x14ac:dyDescent="0.25"/>
    <row r="16" spans="1:11" s="66" customFormat="1" ht="52.5" customHeight="1" x14ac:dyDescent="0.25">
      <c r="A16" s="64" t="s">
        <v>11</v>
      </c>
      <c r="B16" s="64" t="s">
        <v>12</v>
      </c>
      <c r="C16" s="64" t="s">
        <v>61</v>
      </c>
      <c r="D16" s="64" t="s">
        <v>432</v>
      </c>
      <c r="E16" s="64" t="s">
        <v>433</v>
      </c>
      <c r="F16" s="65" t="s">
        <v>434</v>
      </c>
      <c r="G16" s="64" t="s">
        <v>435</v>
      </c>
    </row>
    <row r="17" spans="1:9" s="59" customFormat="1" x14ac:dyDescent="0.25">
      <c r="A17" s="67" t="s">
        <v>14</v>
      </c>
      <c r="B17" s="39" t="s">
        <v>379</v>
      </c>
      <c r="C17" s="120">
        <v>23.01</v>
      </c>
      <c r="D17" s="68">
        <v>880878.24</v>
      </c>
      <c r="E17" s="68">
        <v>814152.76</v>
      </c>
      <c r="F17" s="68">
        <f t="shared" ref="F17:F24" si="0">D17</f>
        <v>880878.24</v>
      </c>
      <c r="G17" s="69">
        <f>D17-E17</f>
        <v>66725.479999999981</v>
      </c>
      <c r="H17" s="130">
        <f>C17</f>
        <v>23.01</v>
      </c>
    </row>
    <row r="18" spans="1:9" s="59" customFormat="1" hidden="1" outlineLevel="1" x14ac:dyDescent="0.25">
      <c r="A18" s="73" t="s">
        <v>16</v>
      </c>
      <c r="B18" s="34" t="s">
        <v>17</v>
      </c>
      <c r="C18" s="89">
        <v>3.46</v>
      </c>
      <c r="D18" s="75">
        <f>D17*I18</f>
        <v>132457.1364797914</v>
      </c>
      <c r="E18" s="75">
        <f>E17*I18</f>
        <v>122423.6657800956</v>
      </c>
      <c r="F18" s="75">
        <f t="shared" si="0"/>
        <v>132457.1364797914</v>
      </c>
      <c r="G18" s="76">
        <f>D18-E18</f>
        <v>10033.470699695798</v>
      </c>
      <c r="H18" s="130">
        <f>C18</f>
        <v>3.46</v>
      </c>
      <c r="I18" s="59">
        <f>H18/H17</f>
        <v>0.15036940460669274</v>
      </c>
    </row>
    <row r="19" spans="1:9" s="59" customFormat="1" hidden="1" outlineLevel="1" x14ac:dyDescent="0.25">
      <c r="A19" s="73" t="s">
        <v>18</v>
      </c>
      <c r="B19" s="34" t="s">
        <v>19</v>
      </c>
      <c r="C19" s="89">
        <v>1.69</v>
      </c>
      <c r="D19" s="75">
        <f>D17*I19</f>
        <v>64697.271864406772</v>
      </c>
      <c r="E19" s="75">
        <f>E17*I19</f>
        <v>59796.530395480215</v>
      </c>
      <c r="F19" s="75">
        <f t="shared" si="0"/>
        <v>64697.271864406772</v>
      </c>
      <c r="G19" s="76">
        <f>D19-E19</f>
        <v>4900.741468926557</v>
      </c>
      <c r="H19" s="130">
        <f>C19</f>
        <v>1.69</v>
      </c>
      <c r="I19" s="59">
        <f>H19/H17</f>
        <v>7.3446327683615809E-2</v>
      </c>
    </row>
    <row r="20" spans="1:9" s="59" customFormat="1" hidden="1" outlineLevel="1" x14ac:dyDescent="0.25">
      <c r="A20" s="73" t="s">
        <v>20</v>
      </c>
      <c r="B20" s="34" t="s">
        <v>21</v>
      </c>
      <c r="C20" s="89">
        <v>1.69</v>
      </c>
      <c r="D20" s="75">
        <f>D17*I20</f>
        <v>64697.271864406772</v>
      </c>
      <c r="E20" s="75">
        <f>E17*I20</f>
        <v>59796.530395480215</v>
      </c>
      <c r="F20" s="75">
        <f t="shared" si="0"/>
        <v>64697.271864406772</v>
      </c>
      <c r="G20" s="76">
        <f>D20-E20</f>
        <v>4900.741468926557</v>
      </c>
      <c r="H20" s="130">
        <f>C20</f>
        <v>1.69</v>
      </c>
      <c r="I20" s="59">
        <f>H20/H17</f>
        <v>7.3446327683615809E-2</v>
      </c>
    </row>
    <row r="21" spans="1:9" s="59" customFormat="1" hidden="1" outlineLevel="1" x14ac:dyDescent="0.25">
      <c r="A21" s="73" t="s">
        <v>22</v>
      </c>
      <c r="B21" s="34" t="s">
        <v>23</v>
      </c>
      <c r="C21" s="89">
        <v>3.04</v>
      </c>
      <c r="D21" s="75">
        <f>D17*I21</f>
        <v>116378.52453715775</v>
      </c>
      <c r="E21" s="75">
        <f>E17*I21</f>
        <v>107562.98958713602</v>
      </c>
      <c r="F21" s="75">
        <f t="shared" si="0"/>
        <v>116378.52453715775</v>
      </c>
      <c r="G21" s="76">
        <f>D21-E21</f>
        <v>8815.5349500217271</v>
      </c>
      <c r="H21" s="130">
        <f>C21</f>
        <v>3.04</v>
      </c>
      <c r="I21" s="59">
        <f>H21/H17</f>
        <v>0.13211647109952193</v>
      </c>
    </row>
    <row r="22" spans="1:9" collapsed="1" x14ac:dyDescent="0.25">
      <c r="A22" s="39" t="s">
        <v>25</v>
      </c>
      <c r="B22" s="125" t="s">
        <v>121</v>
      </c>
      <c r="C22" s="46">
        <v>180</v>
      </c>
      <c r="D22" s="69">
        <v>0</v>
      </c>
      <c r="E22" s="69">
        <v>1406.95</v>
      </c>
      <c r="F22" s="69">
        <f t="shared" si="0"/>
        <v>0</v>
      </c>
      <c r="G22" s="69">
        <f t="shared" ref="G22:G32" si="1">D22-E22</f>
        <v>-1406.95</v>
      </c>
      <c r="I22" s="274"/>
    </row>
    <row r="23" spans="1:9" x14ac:dyDescent="0.25">
      <c r="A23" s="39" t="s">
        <v>27</v>
      </c>
      <c r="B23" s="125" t="s">
        <v>28</v>
      </c>
      <c r="C23" s="87">
        <v>0</v>
      </c>
      <c r="D23" s="69">
        <v>0</v>
      </c>
      <c r="E23" s="69">
        <v>0</v>
      </c>
      <c r="F23" s="69">
        <f t="shared" si="0"/>
        <v>0</v>
      </c>
      <c r="G23" s="69">
        <f t="shared" si="1"/>
        <v>0</v>
      </c>
    </row>
    <row r="24" spans="1:9" x14ac:dyDescent="0.25">
      <c r="A24" s="39" t="s">
        <v>29</v>
      </c>
      <c r="B24" s="125" t="s">
        <v>97</v>
      </c>
      <c r="C24" s="357">
        <v>0</v>
      </c>
      <c r="D24" s="69">
        <v>0</v>
      </c>
      <c r="E24" s="69">
        <v>0</v>
      </c>
      <c r="F24" s="69">
        <f t="shared" si="0"/>
        <v>0</v>
      </c>
      <c r="G24" s="69">
        <f t="shared" si="1"/>
        <v>0</v>
      </c>
    </row>
    <row r="25" spans="1:9" x14ac:dyDescent="0.25">
      <c r="A25" s="39" t="s">
        <v>31</v>
      </c>
      <c r="B25" s="125" t="s">
        <v>80</v>
      </c>
      <c r="C25" s="87">
        <v>2.2799999999999998</v>
      </c>
      <c r="D25" s="69">
        <f>87283.56+D26</f>
        <v>92193.54</v>
      </c>
      <c r="E25" s="69">
        <f>80946.19+E26</f>
        <v>82380.540000000008</v>
      </c>
      <c r="F25" s="79">
        <f>F43</f>
        <v>69888.705399999992</v>
      </c>
      <c r="G25" s="69">
        <f t="shared" si="1"/>
        <v>9812.9999999999854</v>
      </c>
    </row>
    <row r="26" spans="1:9" x14ac:dyDescent="0.25">
      <c r="A26" s="39"/>
      <c r="B26" s="292" t="s">
        <v>244</v>
      </c>
      <c r="C26" s="293"/>
      <c r="D26" s="294">
        <f>1115.6+3688.13+106.25</f>
        <v>4909.9799999999996</v>
      </c>
      <c r="E26" s="294">
        <f>1434.35+0</f>
        <v>1434.35</v>
      </c>
      <c r="F26" s="294"/>
      <c r="G26" s="248"/>
    </row>
    <row r="27" spans="1:9" s="36" customFormat="1" x14ac:dyDescent="0.25">
      <c r="A27" s="39" t="s">
        <v>33</v>
      </c>
      <c r="B27" s="119" t="s">
        <v>34</v>
      </c>
      <c r="C27" s="43">
        <v>0</v>
      </c>
      <c r="D27" s="69">
        <v>0</v>
      </c>
      <c r="E27" s="69">
        <v>0</v>
      </c>
      <c r="F27" s="79">
        <v>0</v>
      </c>
      <c r="G27" s="69">
        <f t="shared" si="1"/>
        <v>0</v>
      </c>
      <c r="H27" s="35"/>
      <c r="I27" s="35"/>
    </row>
    <row r="28" spans="1:9" x14ac:dyDescent="0.25">
      <c r="A28" s="39" t="s">
        <v>35</v>
      </c>
      <c r="B28" s="119" t="s">
        <v>36</v>
      </c>
      <c r="C28" s="87"/>
      <c r="D28" s="69">
        <f>SUM(D29:D32)</f>
        <v>56552.340000000004</v>
      </c>
      <c r="E28" s="69">
        <f>SUM(E29:E32)</f>
        <v>56278.97</v>
      </c>
      <c r="F28" s="69">
        <f>SUM(F29:F32)</f>
        <v>56552.340000000004</v>
      </c>
      <c r="G28" s="69">
        <f t="shared" si="1"/>
        <v>273.37000000000262</v>
      </c>
    </row>
    <row r="29" spans="1:9" x14ac:dyDescent="0.25">
      <c r="A29" s="34" t="s">
        <v>37</v>
      </c>
      <c r="B29" s="34" t="s">
        <v>101</v>
      </c>
      <c r="C29" s="89">
        <v>7.36</v>
      </c>
      <c r="D29" s="76">
        <v>48511.26</v>
      </c>
      <c r="E29" s="76">
        <v>48680.76</v>
      </c>
      <c r="F29" s="76">
        <f>D29</f>
        <v>48511.26</v>
      </c>
      <c r="G29" s="76">
        <f t="shared" si="1"/>
        <v>-169.5</v>
      </c>
    </row>
    <row r="30" spans="1:9" x14ac:dyDescent="0.25">
      <c r="A30" s="34" t="s">
        <v>39</v>
      </c>
      <c r="B30" s="34" t="s">
        <v>84</v>
      </c>
      <c r="C30" s="89">
        <v>88.38</v>
      </c>
      <c r="D30" s="76">
        <v>8041.08</v>
      </c>
      <c r="E30" s="76">
        <v>7598.21</v>
      </c>
      <c r="F30" s="76">
        <f>D30</f>
        <v>8041.08</v>
      </c>
      <c r="G30" s="76">
        <f t="shared" si="1"/>
        <v>442.86999999999989</v>
      </c>
    </row>
    <row r="31" spans="1:9" x14ac:dyDescent="0.25">
      <c r="A31" s="34" t="s">
        <v>42</v>
      </c>
      <c r="B31" s="34" t="s">
        <v>40</v>
      </c>
      <c r="C31" s="128">
        <v>0</v>
      </c>
      <c r="D31" s="76">
        <v>0</v>
      </c>
      <c r="E31" s="76">
        <v>0</v>
      </c>
      <c r="F31" s="76">
        <f>D31</f>
        <v>0</v>
      </c>
      <c r="G31" s="76">
        <f t="shared" si="1"/>
        <v>0</v>
      </c>
    </row>
    <row r="32" spans="1:9" x14ac:dyDescent="0.25">
      <c r="A32" s="34" t="s">
        <v>41</v>
      </c>
      <c r="B32" s="34" t="s">
        <v>43</v>
      </c>
      <c r="C32" s="89">
        <v>0</v>
      </c>
      <c r="D32" s="76">
        <v>0</v>
      </c>
      <c r="E32" s="76">
        <v>0</v>
      </c>
      <c r="F32" s="76">
        <f>D32</f>
        <v>0</v>
      </c>
      <c r="G32" s="76">
        <f t="shared" si="1"/>
        <v>0</v>
      </c>
      <c r="H32" s="91"/>
      <c r="I32" s="91"/>
    </row>
    <row r="33" spans="1:11" ht="15.75" customHeight="1" thickBot="1" x14ac:dyDescent="0.3">
      <c r="A33" s="373"/>
      <c r="B33" s="374"/>
      <c r="C33" s="374"/>
      <c r="D33" s="375"/>
      <c r="E33" s="375"/>
      <c r="F33" s="375"/>
      <c r="G33" s="155"/>
      <c r="H33" s="91"/>
      <c r="I33" s="91"/>
    </row>
    <row r="34" spans="1:11" s="92" customFormat="1" ht="14.25" thickBot="1" x14ac:dyDescent="0.3">
      <c r="A34" s="387" t="s">
        <v>427</v>
      </c>
      <c r="B34" s="388"/>
      <c r="C34" s="388"/>
      <c r="D34" s="57">
        <v>75404.899999999994</v>
      </c>
      <c r="E34" s="58"/>
      <c r="F34" s="58"/>
      <c r="G34" s="58"/>
      <c r="H34" s="54"/>
      <c r="I34" s="54"/>
      <c r="J34" s="91"/>
    </row>
    <row r="35" spans="1:11" s="59" customFormat="1" ht="8.25" customHeight="1" thickBot="1" x14ac:dyDescent="0.3">
      <c r="A35" s="60"/>
      <c r="B35" s="60"/>
      <c r="C35" s="60"/>
      <c r="D35" s="38"/>
      <c r="E35" s="58"/>
      <c r="F35" s="58"/>
      <c r="G35" s="58"/>
      <c r="H35" s="54"/>
      <c r="I35" s="54"/>
    </row>
    <row r="36" spans="1:11" s="59" customFormat="1" ht="15.75" thickBot="1" x14ac:dyDescent="0.3">
      <c r="A36" s="55" t="s">
        <v>428</v>
      </c>
      <c r="B36" s="56"/>
      <c r="C36" s="56"/>
      <c r="D36" s="61"/>
      <c r="E36" s="62"/>
      <c r="F36" s="62"/>
      <c r="G36" s="129">
        <f>G14+E25-F25</f>
        <v>-134804.3725</v>
      </c>
      <c r="H36" s="54"/>
      <c r="I36" s="54"/>
    </row>
    <row r="37" spans="1:11" s="59" customFormat="1" x14ac:dyDescent="0.25">
      <c r="A37" s="514" t="s">
        <v>134</v>
      </c>
      <c r="B37" s="515"/>
      <c r="C37" s="93"/>
      <c r="D37" s="93"/>
      <c r="E37" s="91"/>
      <c r="F37" s="91"/>
      <c r="G37" s="91"/>
      <c r="H37" s="54"/>
      <c r="I37" s="54"/>
    </row>
    <row r="38" spans="1:11" s="59" customFormat="1" x14ac:dyDescent="0.25">
      <c r="A38" s="393" t="s">
        <v>91</v>
      </c>
      <c r="B38" s="394"/>
      <c r="C38" s="41" t="s">
        <v>92</v>
      </c>
      <c r="D38" s="41" t="s">
        <v>93</v>
      </c>
      <c r="E38" s="42" t="s">
        <v>94</v>
      </c>
      <c r="F38" s="40" t="s">
        <v>95</v>
      </c>
      <c r="G38" s="42" t="s">
        <v>96</v>
      </c>
      <c r="H38" s="54"/>
      <c r="I38" s="54">
        <f>46.6*H39*3</f>
        <v>3535.5420000000004</v>
      </c>
    </row>
    <row r="39" spans="1:11" s="59" customFormat="1" x14ac:dyDescent="0.25">
      <c r="A39" s="395"/>
      <c r="B39" s="396"/>
      <c r="C39" s="305">
        <f>134.8+46.6</f>
        <v>181.4</v>
      </c>
      <c r="D39" s="138">
        <f>E39/C39/12</f>
        <v>25.290022050716647</v>
      </c>
      <c r="E39" s="358">
        <f>40909.08+12374.46+1767.78</f>
        <v>55051.32</v>
      </c>
      <c r="F39" s="358">
        <v>15910.02</v>
      </c>
      <c r="G39" s="138">
        <f>E39-F39</f>
        <v>39141.300000000003</v>
      </c>
      <c r="H39" s="337">
        <f>C17+C25</f>
        <v>25.290000000000003</v>
      </c>
      <c r="I39" s="282">
        <f>134.8*H39*3</f>
        <v>10227.276000000002</v>
      </c>
      <c r="J39" s="284">
        <f>9402.96+27199.86</f>
        <v>36602.82</v>
      </c>
      <c r="K39" s="59">
        <f>7033.32+0</f>
        <v>7033.32</v>
      </c>
    </row>
    <row r="40" spans="1:11" ht="27" customHeight="1" x14ac:dyDescent="0.25">
      <c r="A40" s="485"/>
      <c r="B40" s="485"/>
      <c r="C40" s="485"/>
      <c r="D40" s="485"/>
      <c r="E40" s="485"/>
      <c r="F40" s="485"/>
      <c r="G40" s="485"/>
      <c r="H40" s="489"/>
      <c r="I40" s="489"/>
    </row>
    <row r="41" spans="1:11" ht="3.75" customHeight="1" x14ac:dyDescent="0.25"/>
    <row r="42" spans="1:11" s="156" customFormat="1" ht="28.5" customHeight="1" x14ac:dyDescent="0.25">
      <c r="A42" s="94" t="s">
        <v>11</v>
      </c>
      <c r="B42" s="416" t="s">
        <v>45</v>
      </c>
      <c r="C42" s="425"/>
      <c r="D42" s="94" t="s">
        <v>99</v>
      </c>
      <c r="E42" s="94" t="s">
        <v>98</v>
      </c>
      <c r="F42" s="416" t="s">
        <v>46</v>
      </c>
      <c r="G42" s="425"/>
    </row>
    <row r="43" spans="1:11" s="103" customFormat="1" ht="12.75" customHeight="1" x14ac:dyDescent="0.25">
      <c r="A43" s="98" t="s">
        <v>47</v>
      </c>
      <c r="B43" s="418" t="s">
        <v>75</v>
      </c>
      <c r="C43" s="430"/>
      <c r="D43" s="99"/>
      <c r="E43" s="99"/>
      <c r="F43" s="436">
        <f>SUM(F44:L48)</f>
        <v>69888.705399999992</v>
      </c>
      <c r="G43" s="424"/>
    </row>
    <row r="44" spans="1:11" ht="30" customHeight="1" x14ac:dyDescent="0.25">
      <c r="A44" s="34" t="s">
        <v>16</v>
      </c>
      <c r="B44" s="406" t="s">
        <v>482</v>
      </c>
      <c r="C44" s="431"/>
      <c r="D44" s="176" t="s">
        <v>100</v>
      </c>
      <c r="E44" s="176">
        <v>2</v>
      </c>
      <c r="F44" s="435">
        <v>30105.5</v>
      </c>
      <c r="G44" s="435"/>
    </row>
    <row r="45" spans="1:11" ht="12.75" customHeight="1" x14ac:dyDescent="0.25">
      <c r="A45" s="34" t="s">
        <v>18</v>
      </c>
      <c r="B45" s="406" t="s">
        <v>511</v>
      </c>
      <c r="C45" s="431"/>
      <c r="D45" s="105" t="s">
        <v>137</v>
      </c>
      <c r="E45" s="105">
        <v>0.35</v>
      </c>
      <c r="F45" s="435">
        <v>26959.4</v>
      </c>
      <c r="G45" s="435"/>
    </row>
    <row r="46" spans="1:11" ht="12.75" customHeight="1" x14ac:dyDescent="0.25">
      <c r="A46" s="34" t="s">
        <v>20</v>
      </c>
      <c r="B46" s="406" t="s">
        <v>512</v>
      </c>
      <c r="C46" s="454"/>
      <c r="D46" s="105" t="s">
        <v>100</v>
      </c>
      <c r="E46" s="137">
        <v>1</v>
      </c>
      <c r="F46" s="423">
        <v>12000</v>
      </c>
      <c r="G46" s="423"/>
    </row>
    <row r="47" spans="1:11" ht="12.75" customHeight="1" x14ac:dyDescent="0.25">
      <c r="A47" s="34" t="s">
        <v>22</v>
      </c>
      <c r="B47" s="412"/>
      <c r="C47" s="517"/>
      <c r="D47" s="258"/>
      <c r="E47" s="263"/>
      <c r="F47" s="429"/>
      <c r="G47" s="429"/>
    </row>
    <row r="48" spans="1:11" x14ac:dyDescent="0.25">
      <c r="A48" s="34" t="s">
        <v>24</v>
      </c>
      <c r="B48" s="133" t="s">
        <v>108</v>
      </c>
      <c r="C48" s="134"/>
      <c r="D48" s="105"/>
      <c r="E48" s="105"/>
      <c r="F48" s="435">
        <f>E25*1%</f>
        <v>823.80540000000008</v>
      </c>
      <c r="G48" s="435"/>
    </row>
    <row r="49" spans="1:7" x14ac:dyDescent="0.25">
      <c r="A49" s="59"/>
      <c r="B49" s="59"/>
      <c r="C49" s="59"/>
      <c r="D49" s="59"/>
      <c r="E49" s="59"/>
      <c r="F49" s="59"/>
      <c r="G49" s="59"/>
    </row>
    <row r="50" spans="1:7" x14ac:dyDescent="0.25">
      <c r="A50" s="51" t="s">
        <v>372</v>
      </c>
      <c r="B50" s="59"/>
      <c r="C50" s="59" t="s">
        <v>49</v>
      </c>
      <c r="D50" s="59"/>
      <c r="E50" s="59"/>
      <c r="F50" s="59" t="s">
        <v>60</v>
      </c>
      <c r="G50" s="59"/>
    </row>
    <row r="51" spans="1:7" x14ac:dyDescent="0.25">
      <c r="A51" s="59"/>
      <c r="B51" s="59"/>
      <c r="C51" s="59"/>
      <c r="D51" s="59"/>
      <c r="E51" s="59"/>
      <c r="F51" s="111" t="s">
        <v>438</v>
      </c>
      <c r="G51" s="59"/>
    </row>
    <row r="52" spans="1:7" x14ac:dyDescent="0.25">
      <c r="A52" s="59" t="s">
        <v>50</v>
      </c>
      <c r="B52" s="59"/>
      <c r="C52" s="59"/>
      <c r="D52" s="59"/>
      <c r="E52" s="59"/>
      <c r="F52" s="59"/>
      <c r="G52" s="59"/>
    </row>
    <row r="53" spans="1:7" x14ac:dyDescent="0.25">
      <c r="A53" s="59"/>
      <c r="B53" s="59"/>
      <c r="C53" s="113" t="s">
        <v>51</v>
      </c>
      <c r="D53" s="59"/>
      <c r="E53" s="113"/>
      <c r="F53" s="113"/>
      <c r="G53" s="113"/>
    </row>
  </sheetData>
  <mergeCells count="25">
    <mergeCell ref="B47:C47"/>
    <mergeCell ref="F47:G47"/>
    <mergeCell ref="F48:G48"/>
    <mergeCell ref="B42:C42"/>
    <mergeCell ref="B43:C43"/>
    <mergeCell ref="B44:C44"/>
    <mergeCell ref="B45:C45"/>
    <mergeCell ref="F45:G45"/>
    <mergeCell ref="A1:I1"/>
    <mergeCell ref="A5:I5"/>
    <mergeCell ref="A10:I10"/>
    <mergeCell ref="A3:K3"/>
    <mergeCell ref="A11:I11"/>
    <mergeCell ref="A34:C34"/>
    <mergeCell ref="A2:K2"/>
    <mergeCell ref="A12:I12"/>
    <mergeCell ref="A40:I40"/>
    <mergeCell ref="F42:G42"/>
    <mergeCell ref="F44:G44"/>
    <mergeCell ref="B46:C46"/>
    <mergeCell ref="F46:G46"/>
    <mergeCell ref="A33:F33"/>
    <mergeCell ref="A37:B37"/>
    <mergeCell ref="A38:B39"/>
    <mergeCell ref="F43:G43"/>
  </mergeCells>
  <phoneticPr fontId="14" type="noConversion"/>
  <pageMargins left="0" right="0" top="0" bottom="0" header="0.31496062992125984" footer="0.31496062992125984"/>
  <pageSetup paperSize="9" orientation="portrait" verticalDpi="0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AB4337-86FF-449C-B5BF-D0D99F2DA174}">
  <sheetPr>
    <tabColor rgb="FF7030A0"/>
  </sheetPr>
  <dimension ref="A1:P51"/>
  <sheetViews>
    <sheetView topLeftCell="A35" zoomScaleNormal="100" workbookViewId="0">
      <selection activeCell="A54" sqref="A54:IV55"/>
    </sheetView>
  </sheetViews>
  <sheetFormatPr defaultRowHeight="15" outlineLevelRow="1" outlineLevelCol="1" x14ac:dyDescent="0.25"/>
  <cols>
    <col min="1" max="1" width="5.5703125" style="35" customWidth="1"/>
    <col min="2" max="2" width="49.28515625" style="35" customWidth="1"/>
    <col min="3" max="3" width="13" style="35" customWidth="1"/>
    <col min="4" max="4" width="13.42578125" style="35" customWidth="1"/>
    <col min="5" max="5" width="13.85546875" style="35" customWidth="1"/>
    <col min="6" max="6" width="12.85546875" style="35" customWidth="1"/>
    <col min="7" max="7" width="13.5703125" style="35" customWidth="1"/>
    <col min="8" max="8" width="10.85546875" style="35" hidden="1" customWidth="1" outlineLevel="1"/>
    <col min="9" max="9" width="13.42578125" style="35" hidden="1" customWidth="1" outlineLevel="1"/>
    <col min="10" max="12" width="9.140625" style="35" hidden="1" customWidth="1" outlineLevel="1"/>
    <col min="13" max="13" width="9.140625" style="35" collapsed="1"/>
    <col min="14" max="16384" width="9.140625" style="35"/>
  </cols>
  <sheetData>
    <row r="1" spans="1:11" x14ac:dyDescent="0.25">
      <c r="A1" s="397" t="s">
        <v>0</v>
      </c>
      <c r="B1" s="397"/>
      <c r="C1" s="397"/>
      <c r="D1" s="397"/>
      <c r="E1" s="397"/>
      <c r="F1" s="397"/>
      <c r="G1" s="397"/>
      <c r="H1" s="397"/>
      <c r="I1" s="397"/>
    </row>
    <row r="2" spans="1:11" ht="15" customHeight="1" x14ac:dyDescent="0.25">
      <c r="A2" s="370" t="s">
        <v>152</v>
      </c>
      <c r="B2" s="370"/>
      <c r="C2" s="370"/>
      <c r="D2" s="370"/>
      <c r="E2" s="370"/>
      <c r="F2" s="370"/>
      <c r="G2" s="370"/>
      <c r="H2" s="370"/>
      <c r="I2" s="370"/>
      <c r="J2" s="370"/>
      <c r="K2" s="370"/>
    </row>
    <row r="3" spans="1:11" ht="15" customHeight="1" x14ac:dyDescent="0.25">
      <c r="A3" s="370" t="s">
        <v>426</v>
      </c>
      <c r="B3" s="370"/>
      <c r="C3" s="370"/>
      <c r="D3" s="370"/>
      <c r="E3" s="370"/>
      <c r="F3" s="370"/>
      <c r="G3" s="370"/>
      <c r="H3" s="370"/>
      <c r="I3" s="370"/>
      <c r="J3" s="370"/>
      <c r="K3" s="370"/>
    </row>
    <row r="4" spans="1:11" ht="3.75" customHeight="1" x14ac:dyDescent="0.25">
      <c r="A4" s="142"/>
      <c r="B4" s="142"/>
      <c r="C4" s="142"/>
      <c r="D4" s="142"/>
      <c r="E4" s="142"/>
      <c r="F4" s="142"/>
      <c r="G4" s="142"/>
      <c r="H4" s="142"/>
      <c r="I4" s="142"/>
    </row>
    <row r="5" spans="1:11" ht="15.75" customHeight="1" x14ac:dyDescent="0.25">
      <c r="A5" s="398" t="s">
        <v>1</v>
      </c>
      <c r="B5" s="397"/>
      <c r="C5" s="397"/>
      <c r="D5" s="397"/>
      <c r="E5" s="397"/>
      <c r="F5" s="397"/>
      <c r="G5" s="397"/>
      <c r="H5" s="397"/>
      <c r="I5" s="397"/>
    </row>
    <row r="6" spans="1:11" ht="6" customHeight="1" x14ac:dyDescent="0.25"/>
    <row r="7" spans="1:11" s="59" customFormat="1" ht="16.5" customHeight="1" x14ac:dyDescent="0.25">
      <c r="A7" s="59" t="s">
        <v>2</v>
      </c>
      <c r="F7" s="111" t="s">
        <v>230</v>
      </c>
    </row>
    <row r="8" spans="1:11" s="59" customFormat="1" x14ac:dyDescent="0.25">
      <c r="A8" s="59" t="s">
        <v>3</v>
      </c>
      <c r="F8" s="239" t="s">
        <v>231</v>
      </c>
      <c r="I8" s="247">
        <f>159.6+392.3</f>
        <v>551.9</v>
      </c>
      <c r="J8" s="59">
        <v>1604.5</v>
      </c>
      <c r="K8" s="281">
        <f>I8+J8</f>
        <v>2156.4</v>
      </c>
    </row>
    <row r="9" spans="1:11" s="59" customFormat="1" ht="13.5" customHeight="1" x14ac:dyDescent="0.25">
      <c r="B9" s="59" t="s">
        <v>252</v>
      </c>
      <c r="F9" s="239" t="s">
        <v>265</v>
      </c>
    </row>
    <row r="10" spans="1:11" s="59" customFormat="1" x14ac:dyDescent="0.25">
      <c r="A10" s="372" t="s">
        <v>8</v>
      </c>
      <c r="B10" s="372"/>
      <c r="C10" s="372"/>
      <c r="D10" s="372"/>
      <c r="E10" s="372"/>
      <c r="F10" s="372"/>
      <c r="G10" s="372"/>
      <c r="H10" s="372"/>
      <c r="I10" s="372"/>
    </row>
    <row r="11" spans="1:11" s="59" customFormat="1" x14ac:dyDescent="0.25">
      <c r="A11" s="372" t="s">
        <v>9</v>
      </c>
      <c r="B11" s="372"/>
      <c r="C11" s="372"/>
      <c r="D11" s="372"/>
      <c r="E11" s="372"/>
      <c r="F11" s="372"/>
      <c r="G11" s="372"/>
      <c r="H11" s="372"/>
      <c r="I11" s="372"/>
    </row>
    <row r="12" spans="1:11" s="59" customFormat="1" x14ac:dyDescent="0.25">
      <c r="A12" s="372" t="s">
        <v>10</v>
      </c>
      <c r="B12" s="372"/>
      <c r="C12" s="372"/>
      <c r="D12" s="372"/>
      <c r="E12" s="372"/>
      <c r="F12" s="372"/>
      <c r="G12" s="372"/>
      <c r="H12" s="372"/>
      <c r="I12" s="372"/>
    </row>
    <row r="13" spans="1:11" s="59" customFormat="1" ht="6" customHeight="1" thickBot="1" x14ac:dyDescent="0.3">
      <c r="A13" s="60"/>
      <c r="B13" s="60"/>
      <c r="C13" s="60"/>
      <c r="D13" s="38"/>
      <c r="E13" s="58"/>
      <c r="F13" s="58"/>
      <c r="G13" s="58"/>
      <c r="H13" s="54"/>
      <c r="I13" s="54"/>
    </row>
    <row r="14" spans="1:11" s="59" customFormat="1" ht="15.75" thickBot="1" x14ac:dyDescent="0.3">
      <c r="A14" s="55"/>
      <c r="B14" s="55" t="s">
        <v>381</v>
      </c>
      <c r="C14" s="56"/>
      <c r="D14" s="56"/>
      <c r="E14" s="62"/>
      <c r="F14" s="62"/>
      <c r="G14" s="129">
        <f>'[1]Суворова 46'!$G$38</f>
        <v>-12449.456699999995</v>
      </c>
      <c r="H14" s="54"/>
      <c r="I14" s="54"/>
    </row>
    <row r="15" spans="1:11" s="59" customFormat="1" ht="6.75" customHeight="1" x14ac:dyDescent="0.25"/>
    <row r="16" spans="1:11" s="66" customFormat="1" ht="38.25" x14ac:dyDescent="0.25">
      <c r="A16" s="64" t="s">
        <v>11</v>
      </c>
      <c r="B16" s="64" t="s">
        <v>12</v>
      </c>
      <c r="C16" s="64" t="s">
        <v>61</v>
      </c>
      <c r="D16" s="64" t="s">
        <v>432</v>
      </c>
      <c r="E16" s="64" t="s">
        <v>433</v>
      </c>
      <c r="F16" s="65" t="s">
        <v>434</v>
      </c>
      <c r="G16" s="64" t="s">
        <v>435</v>
      </c>
    </row>
    <row r="17" spans="1:16" s="59" customFormat="1" x14ac:dyDescent="0.25">
      <c r="A17" s="67" t="s">
        <v>14</v>
      </c>
      <c r="B17" s="39" t="s">
        <v>379</v>
      </c>
      <c r="C17" s="120">
        <v>23.85</v>
      </c>
      <c r="D17" s="68">
        <v>459208.2</v>
      </c>
      <c r="E17" s="68">
        <v>432382.54</v>
      </c>
      <c r="F17" s="68">
        <f t="shared" ref="F17:F24" si="0">D17</f>
        <v>459208.2</v>
      </c>
      <c r="G17" s="69">
        <f>D17-E17</f>
        <v>26825.660000000033</v>
      </c>
      <c r="H17" s="70">
        <f>C17</f>
        <v>23.85</v>
      </c>
      <c r="I17" s="152"/>
      <c r="N17" s="187"/>
      <c r="O17" s="187"/>
      <c r="P17" s="187"/>
    </row>
    <row r="18" spans="1:16" s="59" customFormat="1" hidden="1" outlineLevel="1" x14ac:dyDescent="0.25">
      <c r="A18" s="73" t="s">
        <v>16</v>
      </c>
      <c r="B18" s="34" t="s">
        <v>17</v>
      </c>
      <c r="C18" s="89">
        <v>3.46</v>
      </c>
      <c r="D18" s="75">
        <f>D17*I18</f>
        <v>66618.883522012577</v>
      </c>
      <c r="E18" s="75">
        <f>E17*I18</f>
        <v>62727.194482180283</v>
      </c>
      <c r="F18" s="75">
        <f t="shared" si="0"/>
        <v>66618.883522012577</v>
      </c>
      <c r="G18" s="76">
        <f>D18-E18</f>
        <v>3891.6890398322939</v>
      </c>
      <c r="H18" s="70">
        <f>C18</f>
        <v>3.46</v>
      </c>
      <c r="I18" s="59">
        <f>H18/H17</f>
        <v>0.14507337526205449</v>
      </c>
    </row>
    <row r="19" spans="1:16" s="59" customFormat="1" hidden="1" outlineLevel="1" x14ac:dyDescent="0.25">
      <c r="A19" s="73" t="s">
        <v>18</v>
      </c>
      <c r="B19" s="34" t="s">
        <v>19</v>
      </c>
      <c r="C19" s="89">
        <v>1.69</v>
      </c>
      <c r="D19" s="75">
        <f>D17*I19</f>
        <v>32539.281257861632</v>
      </c>
      <c r="E19" s="75">
        <f>E17*I19</f>
        <v>30638.427362683433</v>
      </c>
      <c r="F19" s="75">
        <f t="shared" si="0"/>
        <v>32539.281257861632</v>
      </c>
      <c r="G19" s="76">
        <f>D19-E19</f>
        <v>1900.8538951781993</v>
      </c>
      <c r="H19" s="70">
        <f>C19</f>
        <v>1.69</v>
      </c>
      <c r="I19" s="59">
        <f>H19/H17</f>
        <v>7.0859538784067075E-2</v>
      </c>
    </row>
    <row r="20" spans="1:16" s="59" customFormat="1" hidden="1" outlineLevel="1" x14ac:dyDescent="0.25">
      <c r="A20" s="73" t="s">
        <v>20</v>
      </c>
      <c r="B20" s="34" t="s">
        <v>21</v>
      </c>
      <c r="C20" s="89">
        <v>2.15</v>
      </c>
      <c r="D20" s="75">
        <f>D17*I20</f>
        <v>41396.127044025154</v>
      </c>
      <c r="E20" s="75">
        <f>E17*I20</f>
        <v>38977.880964360578</v>
      </c>
      <c r="F20" s="75">
        <f t="shared" si="0"/>
        <v>41396.127044025154</v>
      </c>
      <c r="G20" s="76">
        <f>D20-E20</f>
        <v>2418.2460796645755</v>
      </c>
      <c r="H20" s="70">
        <f>C20</f>
        <v>2.15</v>
      </c>
      <c r="I20" s="59">
        <f>H20/H17</f>
        <v>9.0146750524109004E-2</v>
      </c>
    </row>
    <row r="21" spans="1:16" s="59" customFormat="1" hidden="1" outlineLevel="1" x14ac:dyDescent="0.25">
      <c r="A21" s="73" t="s">
        <v>22</v>
      </c>
      <c r="B21" s="34" t="s">
        <v>23</v>
      </c>
      <c r="C21" s="89">
        <v>3.04</v>
      </c>
      <c r="D21" s="75">
        <f>D17*I21</f>
        <v>58532.198238993711</v>
      </c>
      <c r="E21" s="75">
        <f>E17*I21</f>
        <v>55112.910758909849</v>
      </c>
      <c r="F21" s="75">
        <f t="shared" si="0"/>
        <v>58532.198238993711</v>
      </c>
      <c r="G21" s="76">
        <f>D21-E21</f>
        <v>3419.2874800838617</v>
      </c>
      <c r="H21" s="70">
        <f>C21</f>
        <v>3.04</v>
      </c>
      <c r="I21" s="59">
        <f>H21/H17</f>
        <v>0.12746331236897274</v>
      </c>
    </row>
    <row r="22" spans="1:16" collapsed="1" x14ac:dyDescent="0.25">
      <c r="A22" s="39" t="s">
        <v>25</v>
      </c>
      <c r="B22" s="39" t="s">
        <v>26</v>
      </c>
      <c r="C22" s="126">
        <v>4.3600000000000003</v>
      </c>
      <c r="D22" s="69">
        <v>83722.679999999993</v>
      </c>
      <c r="E22" s="69">
        <v>78866.66</v>
      </c>
      <c r="F22" s="68">
        <f t="shared" si="0"/>
        <v>83722.679999999993</v>
      </c>
      <c r="G22" s="69">
        <f t="shared" ref="G22:G33" si="1">D22-E22</f>
        <v>4856.0199999999895</v>
      </c>
      <c r="H22" s="37"/>
      <c r="I22" s="37"/>
    </row>
    <row r="23" spans="1:16" x14ac:dyDescent="0.25">
      <c r="A23" s="39" t="s">
        <v>27</v>
      </c>
      <c r="B23" s="125" t="s">
        <v>121</v>
      </c>
      <c r="C23" s="357">
        <v>170</v>
      </c>
      <c r="D23" s="69">
        <v>0</v>
      </c>
      <c r="E23" s="69">
        <v>5.1100000000000003</v>
      </c>
      <c r="F23" s="69">
        <f t="shared" si="0"/>
        <v>0</v>
      </c>
      <c r="G23" s="69">
        <f t="shared" si="1"/>
        <v>-5.1100000000000003</v>
      </c>
      <c r="H23" s="37"/>
      <c r="I23" s="37"/>
    </row>
    <row r="24" spans="1:16" x14ac:dyDescent="0.25">
      <c r="A24" s="39" t="s">
        <v>29</v>
      </c>
      <c r="B24" s="39" t="s">
        <v>30</v>
      </c>
      <c r="C24" s="126">
        <v>0</v>
      </c>
      <c r="D24" s="69">
        <v>0</v>
      </c>
      <c r="E24" s="69">
        <v>0</v>
      </c>
      <c r="F24" s="69">
        <f t="shared" si="0"/>
        <v>0</v>
      </c>
      <c r="G24" s="69">
        <f t="shared" si="1"/>
        <v>0</v>
      </c>
      <c r="H24" s="37"/>
      <c r="I24" s="37"/>
    </row>
    <row r="25" spans="1:16" x14ac:dyDescent="0.25">
      <c r="A25" s="39" t="s">
        <v>31</v>
      </c>
      <c r="B25" s="39" t="s">
        <v>80</v>
      </c>
      <c r="C25" s="126">
        <v>2.36</v>
      </c>
      <c r="D25" s="69">
        <f>45439.32+D26</f>
        <v>60398.81</v>
      </c>
      <c r="E25" s="69">
        <f>42793.2+E26</f>
        <v>57752.69</v>
      </c>
      <c r="F25" s="79">
        <f>F45</f>
        <v>577.52690000000007</v>
      </c>
      <c r="G25" s="69">
        <f t="shared" si="1"/>
        <v>2646.1199999999953</v>
      </c>
      <c r="H25" s="37"/>
      <c r="I25" s="37"/>
    </row>
    <row r="26" spans="1:16" x14ac:dyDescent="0.25">
      <c r="A26" s="39"/>
      <c r="B26" s="292" t="s">
        <v>244</v>
      </c>
      <c r="C26" s="293"/>
      <c r="D26" s="294">
        <f>3849.55+11109.94</f>
        <v>14959.490000000002</v>
      </c>
      <c r="E26" s="294">
        <f>3849.55+11109.94</f>
        <v>14959.490000000002</v>
      </c>
      <c r="F26" s="294"/>
      <c r="G26" s="248">
        <f>D26-E26</f>
        <v>0</v>
      </c>
      <c r="H26" s="37"/>
      <c r="I26" s="37"/>
    </row>
    <row r="27" spans="1:16" x14ac:dyDescent="0.25">
      <c r="A27" s="189">
        <v>6</v>
      </c>
      <c r="B27" s="78" t="s">
        <v>97</v>
      </c>
      <c r="C27" s="357">
        <v>0</v>
      </c>
      <c r="D27" s="69">
        <v>0</v>
      </c>
      <c r="E27" s="69">
        <v>0</v>
      </c>
      <c r="F27" s="79">
        <f>D27</f>
        <v>0</v>
      </c>
      <c r="G27" s="69">
        <f t="shared" si="1"/>
        <v>0</v>
      </c>
      <c r="H27" s="37"/>
      <c r="I27" s="37"/>
    </row>
    <row r="28" spans="1:16" x14ac:dyDescent="0.25">
      <c r="A28" s="189">
        <f>A27+1</f>
        <v>7</v>
      </c>
      <c r="B28" s="39" t="s">
        <v>36</v>
      </c>
      <c r="C28" s="127"/>
      <c r="D28" s="69">
        <f>SUM(D29:D32)</f>
        <v>34254.25</v>
      </c>
      <c r="E28" s="69">
        <f>SUM(E29:E32)</f>
        <v>31519.79</v>
      </c>
      <c r="F28" s="69">
        <f>SUM(F29:F32)</f>
        <v>27533.940000000002</v>
      </c>
      <c r="G28" s="69">
        <f t="shared" si="1"/>
        <v>2734.4599999999991</v>
      </c>
      <c r="H28" s="37"/>
      <c r="I28" s="37"/>
    </row>
    <row r="29" spans="1:16" x14ac:dyDescent="0.25">
      <c r="A29" s="190" t="s">
        <v>37</v>
      </c>
      <c r="B29" s="34" t="s">
        <v>63</v>
      </c>
      <c r="C29" s="89">
        <v>7.36</v>
      </c>
      <c r="D29" s="76">
        <v>16592.990000000002</v>
      </c>
      <c r="E29" s="76">
        <v>14478.16</v>
      </c>
      <c r="F29" s="76">
        <f>D29</f>
        <v>16592.990000000002</v>
      </c>
      <c r="G29" s="76">
        <f t="shared" si="1"/>
        <v>2114.8300000000017</v>
      </c>
    </row>
    <row r="30" spans="1:16" x14ac:dyDescent="0.25">
      <c r="A30" s="190" t="s">
        <v>39</v>
      </c>
      <c r="B30" s="34" t="s">
        <v>84</v>
      </c>
      <c r="C30" s="89">
        <v>88.38</v>
      </c>
      <c r="D30" s="76">
        <v>5580.02</v>
      </c>
      <c r="E30" s="76">
        <v>5383.09</v>
      </c>
      <c r="F30" s="76">
        <f>D30</f>
        <v>5580.02</v>
      </c>
      <c r="G30" s="76">
        <f t="shared" si="1"/>
        <v>196.93000000000029</v>
      </c>
    </row>
    <row r="31" spans="1:16" x14ac:dyDescent="0.25">
      <c r="A31" s="190" t="s">
        <v>42</v>
      </c>
      <c r="B31" s="34" t="s">
        <v>135</v>
      </c>
      <c r="C31" s="128">
        <v>262.18</v>
      </c>
      <c r="D31" s="76">
        <v>12081.24</v>
      </c>
      <c r="E31" s="76">
        <v>11658.54</v>
      </c>
      <c r="F31" s="76">
        <v>5360.93</v>
      </c>
      <c r="G31" s="76">
        <f t="shared" si="1"/>
        <v>422.69999999999891</v>
      </c>
    </row>
    <row r="32" spans="1:16" x14ac:dyDescent="0.25">
      <c r="A32" s="190" t="s">
        <v>41</v>
      </c>
      <c r="B32" s="34" t="s">
        <v>43</v>
      </c>
      <c r="C32" s="89">
        <v>0</v>
      </c>
      <c r="D32" s="76">
        <v>0</v>
      </c>
      <c r="E32" s="76">
        <v>0</v>
      </c>
      <c r="F32" s="76">
        <f>D32</f>
        <v>0</v>
      </c>
      <c r="G32" s="76">
        <f t="shared" si="1"/>
        <v>0</v>
      </c>
    </row>
    <row r="33" spans="1:12" hidden="1" outlineLevel="1" x14ac:dyDescent="0.25">
      <c r="A33" s="189" t="s">
        <v>130</v>
      </c>
      <c r="B33" s="300" t="s">
        <v>140</v>
      </c>
      <c r="C33" s="298"/>
      <c r="D33" s="248">
        <v>1800</v>
      </c>
      <c r="E33" s="248">
        <v>1800</v>
      </c>
      <c r="F33" s="248"/>
      <c r="G33" s="248">
        <f t="shared" si="1"/>
        <v>0</v>
      </c>
    </row>
    <row r="34" spans="1:12" hidden="1" outlineLevel="1" x14ac:dyDescent="0.25">
      <c r="A34" s="299"/>
      <c r="B34" s="287"/>
      <c r="C34" s="376" t="s">
        <v>246</v>
      </c>
      <c r="D34" s="377"/>
      <c r="E34" s="377"/>
      <c r="F34" s="377"/>
      <c r="G34" s="82">
        <f>E33-(E33*15%)</f>
        <v>1530</v>
      </c>
    </row>
    <row r="35" spans="1:12" s="92" customFormat="1" ht="21" customHeight="1" collapsed="1" thickBot="1" x14ac:dyDescent="0.3">
      <c r="A35" s="373"/>
      <c r="B35" s="374"/>
      <c r="C35" s="374"/>
      <c r="D35" s="375"/>
      <c r="E35" s="375"/>
      <c r="F35" s="375"/>
      <c r="G35" s="91"/>
      <c r="H35" s="91"/>
      <c r="I35" s="91"/>
      <c r="J35" s="91"/>
    </row>
    <row r="36" spans="1:12" s="59" customFormat="1" ht="15.75" thickBot="1" x14ac:dyDescent="0.3">
      <c r="A36" s="387" t="s">
        <v>427</v>
      </c>
      <c r="B36" s="388"/>
      <c r="C36" s="388"/>
      <c r="D36" s="57">
        <v>37057.15</v>
      </c>
      <c r="E36" s="58"/>
      <c r="F36" s="58"/>
      <c r="G36" s="58"/>
      <c r="H36" s="54"/>
      <c r="I36" s="54"/>
    </row>
    <row r="37" spans="1:12" s="59" customFormat="1" ht="6" customHeight="1" thickBot="1" x14ac:dyDescent="0.3">
      <c r="A37" s="60"/>
      <c r="B37" s="60"/>
      <c r="C37" s="60"/>
      <c r="D37" s="38"/>
      <c r="E37" s="58"/>
      <c r="F37" s="58"/>
      <c r="G37" s="58"/>
      <c r="H37" s="54"/>
      <c r="I37" s="54"/>
    </row>
    <row r="38" spans="1:12" s="59" customFormat="1" ht="15.75" thickBot="1" x14ac:dyDescent="0.3">
      <c r="A38" s="55" t="s">
        <v>428</v>
      </c>
      <c r="B38" s="56"/>
      <c r="C38" s="56"/>
      <c r="D38" s="61"/>
      <c r="E38" s="62"/>
      <c r="F38" s="62"/>
      <c r="G38" s="129">
        <f>G14+E25-F25</f>
        <v>44725.70640000001</v>
      </c>
      <c r="H38" s="54"/>
      <c r="I38" s="54"/>
    </row>
    <row r="39" spans="1:12" s="59" customFormat="1" x14ac:dyDescent="0.25">
      <c r="A39" s="514" t="s">
        <v>134</v>
      </c>
      <c r="B39" s="515"/>
      <c r="C39" s="93"/>
      <c r="D39" s="93"/>
      <c r="E39" s="91"/>
      <c r="F39" s="91"/>
      <c r="G39" s="91"/>
      <c r="H39" s="54"/>
      <c r="I39" s="54"/>
    </row>
    <row r="40" spans="1:12" s="59" customFormat="1" x14ac:dyDescent="0.25">
      <c r="A40" s="393" t="s">
        <v>91</v>
      </c>
      <c r="B40" s="394"/>
      <c r="C40" s="41" t="s">
        <v>92</v>
      </c>
      <c r="D40" s="41" t="s">
        <v>93</v>
      </c>
      <c r="E40" s="42" t="s">
        <v>94</v>
      </c>
      <c r="F40" s="40" t="s">
        <v>95</v>
      </c>
      <c r="G40" s="42" t="s">
        <v>96</v>
      </c>
      <c r="H40" s="54"/>
      <c r="I40" s="54">
        <f>H41*392.3*3</f>
        <v>35977.832999999999</v>
      </c>
    </row>
    <row r="41" spans="1:12" s="59" customFormat="1" x14ac:dyDescent="0.25">
      <c r="A41" s="395"/>
      <c r="B41" s="396"/>
      <c r="C41" s="110">
        <f>159.6+392.3</f>
        <v>551.9</v>
      </c>
      <c r="D41" s="138">
        <f>E41/C41/12</f>
        <v>30.570030802681647</v>
      </c>
      <c r="E41" s="358">
        <f>143911.44+58547.76</f>
        <v>202459.2</v>
      </c>
      <c r="F41" s="358">
        <f>62234.52+58547.82</f>
        <v>120782.34</v>
      </c>
      <c r="G41" s="138">
        <f>E41-F41</f>
        <v>81676.860000000015</v>
      </c>
      <c r="H41" s="335">
        <f>C17+C25+C22</f>
        <v>30.57</v>
      </c>
      <c r="I41" s="54">
        <f>159.6*3*H41</f>
        <v>14636.915999999999</v>
      </c>
      <c r="J41" s="59">
        <f>15558.63+41933.34+87514.35</f>
        <v>145006.32</v>
      </c>
      <c r="K41" s="59">
        <f>31117.26+33626.19+31117.26</f>
        <v>95860.709999999992</v>
      </c>
      <c r="L41" s="59">
        <f>E41-J41</f>
        <v>57452.880000000005</v>
      </c>
    </row>
    <row r="42" spans="1:12" ht="26.25" customHeight="1" x14ac:dyDescent="0.25">
      <c r="A42" s="485" t="s">
        <v>44</v>
      </c>
      <c r="B42" s="485"/>
      <c r="C42" s="485"/>
      <c r="D42" s="485"/>
      <c r="E42" s="485"/>
      <c r="F42" s="485"/>
      <c r="G42" s="485"/>
      <c r="H42" s="485"/>
      <c r="I42" s="485"/>
    </row>
    <row r="43" spans="1:12" ht="3.75" customHeight="1" x14ac:dyDescent="0.25"/>
    <row r="44" spans="1:12" s="156" customFormat="1" ht="28.5" customHeight="1" x14ac:dyDescent="0.25">
      <c r="A44" s="94" t="s">
        <v>11</v>
      </c>
      <c r="B44" s="416" t="s">
        <v>45</v>
      </c>
      <c r="C44" s="425"/>
      <c r="D44" s="94" t="s">
        <v>99</v>
      </c>
      <c r="E44" s="94" t="s">
        <v>98</v>
      </c>
      <c r="F44" s="416" t="s">
        <v>46</v>
      </c>
      <c r="G44" s="425"/>
    </row>
    <row r="45" spans="1:12" s="103" customFormat="1" ht="13.5" customHeight="1" x14ac:dyDescent="0.25">
      <c r="A45" s="98" t="s">
        <v>47</v>
      </c>
      <c r="B45" s="418" t="s">
        <v>75</v>
      </c>
      <c r="C45" s="430"/>
      <c r="D45" s="99"/>
      <c r="E45" s="99"/>
      <c r="F45" s="436">
        <f>SUM(F46:L48)</f>
        <v>577.52690000000007</v>
      </c>
      <c r="G45" s="424"/>
    </row>
    <row r="46" spans="1:12" s="103" customFormat="1" x14ac:dyDescent="0.25">
      <c r="A46" s="34" t="s">
        <v>16</v>
      </c>
      <c r="B46" s="412"/>
      <c r="C46" s="428"/>
      <c r="D46" s="258"/>
      <c r="E46" s="258"/>
      <c r="F46" s="468"/>
      <c r="G46" s="469"/>
      <c r="H46" s="35"/>
      <c r="I46" s="35"/>
    </row>
    <row r="47" spans="1:12" s="103" customFormat="1" x14ac:dyDescent="0.25">
      <c r="A47" s="34" t="s">
        <v>18</v>
      </c>
      <c r="B47" s="412"/>
      <c r="C47" s="517"/>
      <c r="D47" s="258"/>
      <c r="E47" s="263"/>
      <c r="F47" s="429"/>
      <c r="G47" s="429"/>
      <c r="H47" s="35"/>
      <c r="I47" s="35"/>
    </row>
    <row r="48" spans="1:12" s="59" customFormat="1" x14ac:dyDescent="0.25">
      <c r="A48" s="34" t="s">
        <v>20</v>
      </c>
      <c r="B48" s="133" t="s">
        <v>108</v>
      </c>
      <c r="C48" s="134"/>
      <c r="D48" s="105"/>
      <c r="E48" s="105"/>
      <c r="F48" s="435">
        <f>E25*1%</f>
        <v>577.52690000000007</v>
      </c>
      <c r="G48" s="435"/>
      <c r="H48" s="35"/>
      <c r="I48" s="35"/>
    </row>
    <row r="49" spans="1:9" s="59" customFormat="1" ht="11.25" customHeight="1" x14ac:dyDescent="0.25">
      <c r="A49" s="153"/>
      <c r="B49" s="163"/>
      <c r="C49" s="163"/>
      <c r="D49" s="191"/>
      <c r="E49" s="191"/>
      <c r="F49" s="164"/>
      <c r="G49" s="164"/>
      <c r="H49" s="35"/>
      <c r="I49" s="35"/>
    </row>
    <row r="50" spans="1:9" s="59" customFormat="1" x14ac:dyDescent="0.25">
      <c r="A50" s="51" t="s">
        <v>372</v>
      </c>
      <c r="C50" s="59" t="s">
        <v>49</v>
      </c>
      <c r="F50" s="59" t="s">
        <v>60</v>
      </c>
      <c r="H50" s="35"/>
      <c r="I50" s="35"/>
    </row>
    <row r="51" spans="1:9" s="59" customFormat="1" x14ac:dyDescent="0.25">
      <c r="F51" s="111" t="s">
        <v>438</v>
      </c>
      <c r="H51" s="35"/>
      <c r="I51" s="35"/>
    </row>
  </sheetData>
  <mergeCells count="22">
    <mergeCell ref="A12:I12"/>
    <mergeCell ref="A35:F35"/>
    <mergeCell ref="B46:C46"/>
    <mergeCell ref="B44:C44"/>
    <mergeCell ref="F45:G45"/>
    <mergeCell ref="A42:I42"/>
    <mergeCell ref="B45:C45"/>
    <mergeCell ref="A39:B39"/>
    <mergeCell ref="A40:B41"/>
    <mergeCell ref="F48:G48"/>
    <mergeCell ref="F44:G44"/>
    <mergeCell ref="B47:C47"/>
    <mergeCell ref="F47:G47"/>
    <mergeCell ref="F46:G46"/>
    <mergeCell ref="C34:F34"/>
    <mergeCell ref="A36:C36"/>
    <mergeCell ref="A1:I1"/>
    <mergeCell ref="A5:I5"/>
    <mergeCell ref="A10:I10"/>
    <mergeCell ref="A3:K3"/>
    <mergeCell ref="A11:I11"/>
    <mergeCell ref="A2:K2"/>
  </mergeCells>
  <phoneticPr fontId="14" type="noConversion"/>
  <pageMargins left="0" right="0" top="0" bottom="0" header="0.31496062992125984" footer="0.31496062992125984"/>
  <pageSetup paperSize="9" orientation="portrait" verticalDpi="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AA5BEA-829D-4438-831B-871DF15D9C2B}">
  <sheetPr>
    <tabColor rgb="FF7030A0"/>
  </sheetPr>
  <dimension ref="A1:M50"/>
  <sheetViews>
    <sheetView topLeftCell="A33" zoomScaleNormal="100" workbookViewId="0">
      <selection activeCell="A53" sqref="A53:IV54"/>
    </sheetView>
  </sheetViews>
  <sheetFormatPr defaultRowHeight="15" outlineLevelRow="1" outlineLevelCol="1" x14ac:dyDescent="0.25"/>
  <cols>
    <col min="1" max="1" width="5.5703125" style="35" customWidth="1"/>
    <col min="2" max="2" width="46" style="35" customWidth="1"/>
    <col min="3" max="3" width="14.28515625" style="35" customWidth="1"/>
    <col min="4" max="5" width="12.7109375" style="35" customWidth="1"/>
    <col min="6" max="6" width="15.140625" style="35" customWidth="1"/>
    <col min="7" max="7" width="13.5703125" style="35" customWidth="1"/>
    <col min="8" max="8" width="10.85546875" style="35" hidden="1" customWidth="1" outlineLevel="1"/>
    <col min="9" max="9" width="13.42578125" style="35" hidden="1" customWidth="1" outlineLevel="1"/>
    <col min="10" max="12" width="9.140625" style="35" hidden="1" customWidth="1" outlineLevel="1"/>
    <col min="13" max="13" width="9.140625" style="35" collapsed="1"/>
    <col min="14" max="16384" width="9.140625" style="35"/>
  </cols>
  <sheetData>
    <row r="1" spans="1:11" x14ac:dyDescent="0.25">
      <c r="A1" s="397" t="s">
        <v>0</v>
      </c>
      <c r="B1" s="397"/>
      <c r="C1" s="397"/>
      <c r="D1" s="397"/>
      <c r="E1" s="397"/>
      <c r="F1" s="397"/>
      <c r="G1" s="397"/>
      <c r="H1" s="397"/>
      <c r="I1" s="397"/>
    </row>
    <row r="2" spans="1:11" ht="15" customHeight="1" x14ac:dyDescent="0.25">
      <c r="A2" s="370" t="s">
        <v>152</v>
      </c>
      <c r="B2" s="370"/>
      <c r="C2" s="370"/>
      <c r="D2" s="370"/>
      <c r="E2" s="370"/>
      <c r="F2" s="370"/>
      <c r="G2" s="370"/>
      <c r="H2" s="370"/>
      <c r="I2" s="370"/>
      <c r="J2" s="370"/>
      <c r="K2" s="370"/>
    </row>
    <row r="3" spans="1:11" ht="15.75" customHeight="1" x14ac:dyDescent="0.25">
      <c r="A3" s="370" t="s">
        <v>426</v>
      </c>
      <c r="B3" s="370"/>
      <c r="C3" s="370"/>
      <c r="D3" s="370"/>
      <c r="E3" s="370"/>
      <c r="F3" s="370"/>
      <c r="G3" s="370"/>
      <c r="H3" s="370"/>
      <c r="I3" s="370"/>
      <c r="J3" s="370"/>
      <c r="K3" s="370"/>
    </row>
    <row r="4" spans="1:11" ht="6" customHeight="1" x14ac:dyDescent="0.25">
      <c r="A4" s="142"/>
      <c r="B4" s="142"/>
      <c r="C4" s="142"/>
      <c r="D4" s="142"/>
      <c r="E4" s="142"/>
      <c r="F4" s="142"/>
      <c r="G4" s="142"/>
      <c r="H4" s="142"/>
      <c r="I4" s="142"/>
    </row>
    <row r="5" spans="1:11" ht="16.5" customHeight="1" x14ac:dyDescent="0.25">
      <c r="A5" s="398" t="s">
        <v>1</v>
      </c>
      <c r="B5" s="397"/>
      <c r="C5" s="397"/>
      <c r="D5" s="397"/>
      <c r="E5" s="397"/>
      <c r="F5" s="397"/>
      <c r="G5" s="397"/>
      <c r="H5" s="397"/>
      <c r="I5" s="397"/>
    </row>
    <row r="6" spans="1:11" ht="3.75" customHeight="1" x14ac:dyDescent="0.25"/>
    <row r="7" spans="1:11" s="59" customFormat="1" ht="16.5" customHeight="1" x14ac:dyDescent="0.25">
      <c r="A7" s="59" t="s">
        <v>2</v>
      </c>
      <c r="F7" s="111" t="s">
        <v>232</v>
      </c>
      <c r="H7" s="110"/>
      <c r="I7" s="110"/>
      <c r="J7" s="110"/>
    </row>
    <row r="8" spans="1:11" s="59" customFormat="1" x14ac:dyDescent="0.25">
      <c r="A8" s="59" t="s">
        <v>3</v>
      </c>
      <c r="F8" s="239" t="s">
        <v>233</v>
      </c>
      <c r="H8" s="110"/>
      <c r="I8" s="110">
        <v>283.3</v>
      </c>
      <c r="J8" s="110">
        <f>H8+I8+I7+H7</f>
        <v>283.3</v>
      </c>
    </row>
    <row r="9" spans="1:11" s="59" customFormat="1" x14ac:dyDescent="0.25">
      <c r="A9" s="372" t="s">
        <v>8</v>
      </c>
      <c r="B9" s="372"/>
      <c r="C9" s="372"/>
      <c r="D9" s="372"/>
      <c r="E9" s="372"/>
      <c r="F9" s="372"/>
      <c r="G9" s="372"/>
      <c r="H9" s="372"/>
      <c r="I9" s="372"/>
    </row>
    <row r="10" spans="1:11" s="59" customFormat="1" x14ac:dyDescent="0.25">
      <c r="A10" s="372" t="s">
        <v>9</v>
      </c>
      <c r="B10" s="372"/>
      <c r="C10" s="372"/>
      <c r="D10" s="372"/>
      <c r="E10" s="372"/>
      <c r="F10" s="372"/>
      <c r="G10" s="372"/>
      <c r="H10" s="372"/>
      <c r="I10" s="372"/>
    </row>
    <row r="11" spans="1:11" s="59" customFormat="1" x14ac:dyDescent="0.25">
      <c r="A11" s="372" t="s">
        <v>10</v>
      </c>
      <c r="B11" s="372"/>
      <c r="C11" s="372"/>
      <c r="D11" s="372"/>
      <c r="E11" s="372"/>
      <c r="F11" s="372"/>
      <c r="G11" s="372"/>
      <c r="H11" s="372"/>
      <c r="I11" s="372"/>
    </row>
    <row r="12" spans="1:11" s="59" customFormat="1" ht="6" customHeight="1" thickBot="1" x14ac:dyDescent="0.3">
      <c r="A12" s="60"/>
      <c r="B12" s="60"/>
      <c r="C12" s="60"/>
      <c r="D12" s="38"/>
      <c r="E12" s="58"/>
      <c r="F12" s="58"/>
      <c r="G12" s="58"/>
      <c r="H12" s="54"/>
      <c r="I12" s="54"/>
    </row>
    <row r="13" spans="1:11" s="59" customFormat="1" ht="15.75" thickBot="1" x14ac:dyDescent="0.3">
      <c r="A13" s="55"/>
      <c r="B13" s="55" t="s">
        <v>381</v>
      </c>
      <c r="C13" s="56"/>
      <c r="D13" s="56"/>
      <c r="E13" s="62"/>
      <c r="F13" s="62"/>
      <c r="G13" s="129">
        <f>'[1]пер Труда 4 корп.2'!$G$36</f>
        <v>9695.5322999999989</v>
      </c>
      <c r="H13" s="54"/>
      <c r="I13" s="54"/>
    </row>
    <row r="14" spans="1:11" s="59" customFormat="1" ht="6.75" customHeight="1" x14ac:dyDescent="0.25"/>
    <row r="15" spans="1:11" s="66" customFormat="1" ht="38.25" x14ac:dyDescent="0.25">
      <c r="A15" s="64" t="s">
        <v>11</v>
      </c>
      <c r="B15" s="64" t="s">
        <v>12</v>
      </c>
      <c r="C15" s="64" t="s">
        <v>61</v>
      </c>
      <c r="D15" s="64" t="s">
        <v>432</v>
      </c>
      <c r="E15" s="64" t="s">
        <v>433</v>
      </c>
      <c r="F15" s="65" t="s">
        <v>434</v>
      </c>
      <c r="G15" s="64" t="s">
        <v>435</v>
      </c>
    </row>
    <row r="16" spans="1:11" s="59" customFormat="1" x14ac:dyDescent="0.25">
      <c r="A16" s="67" t="s">
        <v>14</v>
      </c>
      <c r="B16" s="39" t="s">
        <v>379</v>
      </c>
      <c r="C16" s="120">
        <v>22.69</v>
      </c>
      <c r="D16" s="68">
        <v>70156.350000000006</v>
      </c>
      <c r="E16" s="68">
        <v>70928.800000000003</v>
      </c>
      <c r="F16" s="68">
        <f t="shared" ref="F16:F23" si="0">D16</f>
        <v>70156.350000000006</v>
      </c>
      <c r="G16" s="69">
        <f>D16-E16</f>
        <v>-772.44999999999709</v>
      </c>
      <c r="H16" s="70">
        <f>C16</f>
        <v>22.69</v>
      </c>
      <c r="I16" s="152"/>
    </row>
    <row r="17" spans="1:9" s="59" customFormat="1" hidden="1" outlineLevel="1" x14ac:dyDescent="0.25">
      <c r="A17" s="73" t="s">
        <v>16</v>
      </c>
      <c r="B17" s="34" t="s">
        <v>17</v>
      </c>
      <c r="C17" s="89">
        <v>3.46</v>
      </c>
      <c r="D17" s="75">
        <f>D16*I17</f>
        <v>10698.147686205377</v>
      </c>
      <c r="E17" s="75">
        <f>E16*I17</f>
        <v>10815.938651388276</v>
      </c>
      <c r="F17" s="75">
        <f t="shared" si="0"/>
        <v>10698.147686205377</v>
      </c>
      <c r="G17" s="76">
        <f>D17-E17</f>
        <v>-117.79096518289953</v>
      </c>
      <c r="H17" s="70">
        <f>C17</f>
        <v>3.46</v>
      </c>
      <c r="I17" s="59">
        <f>H17/H16</f>
        <v>0.1524900837373292</v>
      </c>
    </row>
    <row r="18" spans="1:9" s="59" customFormat="1" hidden="1" outlineLevel="1" x14ac:dyDescent="0.25">
      <c r="A18" s="73" t="s">
        <v>18</v>
      </c>
      <c r="B18" s="34" t="s">
        <v>19</v>
      </c>
      <c r="C18" s="89">
        <v>1.69</v>
      </c>
      <c r="D18" s="75">
        <f>D16*I18</f>
        <v>5225.3958351696783</v>
      </c>
      <c r="E18" s="75">
        <f>E16*I18</f>
        <v>5282.9295724988988</v>
      </c>
      <c r="F18" s="75">
        <f t="shared" si="0"/>
        <v>5225.3958351696783</v>
      </c>
      <c r="G18" s="76">
        <f>D18-E18</f>
        <v>-57.533737329220457</v>
      </c>
      <c r="H18" s="70">
        <f>C18</f>
        <v>1.69</v>
      </c>
      <c r="I18" s="59">
        <f>H18/H16</f>
        <v>7.4482150727192595E-2</v>
      </c>
    </row>
    <row r="19" spans="1:9" s="59" customFormat="1" hidden="1" outlineLevel="1" x14ac:dyDescent="0.25">
      <c r="A19" s="73" t="s">
        <v>20</v>
      </c>
      <c r="B19" s="34" t="s">
        <v>21</v>
      </c>
      <c r="C19" s="89">
        <v>1.69</v>
      </c>
      <c r="D19" s="75">
        <f>D16*I19</f>
        <v>5225.3958351696783</v>
      </c>
      <c r="E19" s="75">
        <f>E16*I19</f>
        <v>5282.9295724988988</v>
      </c>
      <c r="F19" s="75">
        <f t="shared" si="0"/>
        <v>5225.3958351696783</v>
      </c>
      <c r="G19" s="76">
        <f>D19-E19</f>
        <v>-57.533737329220457</v>
      </c>
      <c r="H19" s="70">
        <f>C19</f>
        <v>1.69</v>
      </c>
      <c r="I19" s="59">
        <f>H19/H16</f>
        <v>7.4482150727192595E-2</v>
      </c>
    </row>
    <row r="20" spans="1:9" s="59" customFormat="1" hidden="1" outlineLevel="1" x14ac:dyDescent="0.25">
      <c r="A20" s="73" t="s">
        <v>22</v>
      </c>
      <c r="B20" s="34" t="s">
        <v>23</v>
      </c>
      <c r="C20" s="89">
        <v>3.04</v>
      </c>
      <c r="D20" s="75">
        <f>D16*I20</f>
        <v>9399.5286029087692</v>
      </c>
      <c r="E20" s="75">
        <f>E16*I20</f>
        <v>9503.0212428382547</v>
      </c>
      <c r="F20" s="75">
        <f t="shared" si="0"/>
        <v>9399.5286029087692</v>
      </c>
      <c r="G20" s="76">
        <f>D20-E20</f>
        <v>-103.49263992948545</v>
      </c>
      <c r="H20" s="70">
        <f>C20</f>
        <v>3.04</v>
      </c>
      <c r="I20" s="59">
        <f>H20/H16</f>
        <v>0.13397972675187306</v>
      </c>
    </row>
    <row r="21" spans="1:9" collapsed="1" x14ac:dyDescent="0.25">
      <c r="A21" s="39" t="s">
        <v>25</v>
      </c>
      <c r="B21" s="78" t="s">
        <v>145</v>
      </c>
      <c r="C21" s="126">
        <v>0</v>
      </c>
      <c r="D21" s="69">
        <v>0</v>
      </c>
      <c r="E21" s="69">
        <v>0</v>
      </c>
      <c r="F21" s="68">
        <f t="shared" si="0"/>
        <v>0</v>
      </c>
      <c r="G21" s="69">
        <f t="shared" ref="G21:G31" si="1">D21-E21</f>
        <v>0</v>
      </c>
      <c r="H21" s="37"/>
      <c r="I21" s="272"/>
    </row>
    <row r="22" spans="1:9" x14ac:dyDescent="0.25">
      <c r="A22" s="39" t="s">
        <v>27</v>
      </c>
      <c r="B22" s="39" t="s">
        <v>28</v>
      </c>
      <c r="C22" s="126">
        <v>0</v>
      </c>
      <c r="D22" s="69">
        <v>0</v>
      </c>
      <c r="E22" s="69">
        <v>0</v>
      </c>
      <c r="F22" s="69">
        <f t="shared" si="0"/>
        <v>0</v>
      </c>
      <c r="G22" s="69">
        <f t="shared" si="1"/>
        <v>0</v>
      </c>
      <c r="H22" s="37"/>
      <c r="I22" s="37"/>
    </row>
    <row r="23" spans="1:9" x14ac:dyDescent="0.25">
      <c r="A23" s="39" t="s">
        <v>29</v>
      </c>
      <c r="B23" s="39" t="s">
        <v>30</v>
      </c>
      <c r="C23" s="126">
        <v>0</v>
      </c>
      <c r="D23" s="69">
        <v>0</v>
      </c>
      <c r="E23" s="69">
        <v>0</v>
      </c>
      <c r="F23" s="69">
        <f t="shared" si="0"/>
        <v>0</v>
      </c>
      <c r="G23" s="69">
        <f t="shared" si="1"/>
        <v>0</v>
      </c>
      <c r="H23" s="37"/>
      <c r="I23" s="37"/>
    </row>
    <row r="24" spans="1:9" x14ac:dyDescent="0.25">
      <c r="A24" s="39" t="s">
        <v>31</v>
      </c>
      <c r="B24" s="39" t="s">
        <v>80</v>
      </c>
      <c r="C24" s="126">
        <v>2.2400000000000002</v>
      </c>
      <c r="D24" s="69">
        <v>7561.32</v>
      </c>
      <c r="E24" s="69">
        <v>7646.53</v>
      </c>
      <c r="F24" s="79">
        <f>F41</f>
        <v>76.465299999999999</v>
      </c>
      <c r="G24" s="69">
        <f t="shared" si="1"/>
        <v>-85.210000000000036</v>
      </c>
      <c r="H24" s="37"/>
      <c r="I24" s="37"/>
    </row>
    <row r="25" spans="1:9" x14ac:dyDescent="0.25">
      <c r="A25" s="189">
        <v>6</v>
      </c>
      <c r="B25" s="78" t="s">
        <v>97</v>
      </c>
      <c r="C25" s="357">
        <v>0</v>
      </c>
      <c r="D25" s="69">
        <v>0</v>
      </c>
      <c r="E25" s="69">
        <v>0</v>
      </c>
      <c r="F25" s="79">
        <f>D25</f>
        <v>0</v>
      </c>
      <c r="G25" s="69">
        <f t="shared" si="1"/>
        <v>0</v>
      </c>
      <c r="H25" s="37"/>
      <c r="I25" s="37"/>
    </row>
    <row r="26" spans="1:9" x14ac:dyDescent="0.25">
      <c r="A26" s="189">
        <f>A25+1</f>
        <v>7</v>
      </c>
      <c r="B26" s="39" t="s">
        <v>36</v>
      </c>
      <c r="C26" s="127"/>
      <c r="D26" s="69">
        <f>SUM(D27:D30)</f>
        <v>216883.68000000002</v>
      </c>
      <c r="E26" s="69">
        <f>SUM(E27:E30)</f>
        <v>220023.36</v>
      </c>
      <c r="F26" s="69">
        <f>SUM(F27:F30)</f>
        <v>216883.68000000002</v>
      </c>
      <c r="G26" s="69">
        <f>D26-E26</f>
        <v>-3139.6799999999639</v>
      </c>
      <c r="H26" s="37"/>
      <c r="I26" s="37"/>
    </row>
    <row r="27" spans="1:9" x14ac:dyDescent="0.25">
      <c r="A27" s="190" t="s">
        <v>37</v>
      </c>
      <c r="B27" s="34" t="s">
        <v>63</v>
      </c>
      <c r="C27" s="89">
        <v>7.36</v>
      </c>
      <c r="D27" s="76">
        <v>2874.8</v>
      </c>
      <c r="E27" s="76">
        <v>2924.2</v>
      </c>
      <c r="F27" s="76">
        <f>D27</f>
        <v>2874.8</v>
      </c>
      <c r="G27" s="76">
        <f t="shared" si="1"/>
        <v>-49.399999999999636</v>
      </c>
    </row>
    <row r="28" spans="1:9" x14ac:dyDescent="0.25">
      <c r="A28" s="190" t="s">
        <v>39</v>
      </c>
      <c r="B28" s="34" t="s">
        <v>84</v>
      </c>
      <c r="C28" s="89">
        <v>88.38</v>
      </c>
      <c r="D28" s="76">
        <v>54685.62</v>
      </c>
      <c r="E28" s="76">
        <v>54724.86</v>
      </c>
      <c r="F28" s="76">
        <f>D28</f>
        <v>54685.62</v>
      </c>
      <c r="G28" s="76">
        <f t="shared" si="1"/>
        <v>-39.239999999997963</v>
      </c>
    </row>
    <row r="29" spans="1:9" x14ac:dyDescent="0.25">
      <c r="A29" s="190" t="s">
        <v>42</v>
      </c>
      <c r="B29" s="34" t="s">
        <v>135</v>
      </c>
      <c r="C29" s="128">
        <v>0</v>
      </c>
      <c r="D29" s="76">
        <v>0</v>
      </c>
      <c r="E29" s="76">
        <v>0</v>
      </c>
      <c r="F29" s="76">
        <f>D29</f>
        <v>0</v>
      </c>
      <c r="G29" s="76">
        <f t="shared" si="1"/>
        <v>0</v>
      </c>
    </row>
    <row r="30" spans="1:9" x14ac:dyDescent="0.25">
      <c r="A30" s="190" t="s">
        <v>41</v>
      </c>
      <c r="B30" s="34" t="s">
        <v>43</v>
      </c>
      <c r="C30" s="89">
        <v>3352.42</v>
      </c>
      <c r="D30" s="76">
        <v>159323.26</v>
      </c>
      <c r="E30" s="76">
        <v>162374.29999999999</v>
      </c>
      <c r="F30" s="76">
        <f>D30</f>
        <v>159323.26</v>
      </c>
      <c r="G30" s="76">
        <f t="shared" si="1"/>
        <v>-3051.039999999979</v>
      </c>
    </row>
    <row r="31" spans="1:9" hidden="1" outlineLevel="1" x14ac:dyDescent="0.25">
      <c r="A31" s="189" t="s">
        <v>130</v>
      </c>
      <c r="B31" s="300" t="s">
        <v>140</v>
      </c>
      <c r="C31" s="298"/>
      <c r="D31" s="248">
        <v>1800</v>
      </c>
      <c r="E31" s="248">
        <v>1800</v>
      </c>
      <c r="F31" s="248"/>
      <c r="G31" s="248">
        <f t="shared" si="1"/>
        <v>0</v>
      </c>
    </row>
    <row r="32" spans="1:9" hidden="1" outlineLevel="1" x14ac:dyDescent="0.25">
      <c r="A32" s="299"/>
      <c r="B32" s="287"/>
      <c r="C32" s="376" t="s">
        <v>246</v>
      </c>
      <c r="D32" s="377"/>
      <c r="E32" s="377"/>
      <c r="F32" s="377"/>
      <c r="G32" s="82">
        <f>E31-(E31*15%)</f>
        <v>1530</v>
      </c>
    </row>
    <row r="33" spans="1:10" s="92" customFormat="1" ht="19.5" customHeight="1" collapsed="1" thickBot="1" x14ac:dyDescent="0.3">
      <c r="A33" s="373"/>
      <c r="B33" s="374"/>
      <c r="C33" s="374"/>
      <c r="D33" s="375"/>
      <c r="E33" s="375"/>
      <c r="F33" s="375"/>
      <c r="G33" s="91"/>
      <c r="H33" s="91"/>
      <c r="I33" s="91"/>
      <c r="J33" s="91"/>
    </row>
    <row r="34" spans="1:10" s="59" customFormat="1" ht="15.75" thickBot="1" x14ac:dyDescent="0.3">
      <c r="A34" s="387" t="s">
        <v>427</v>
      </c>
      <c r="B34" s="388"/>
      <c r="C34" s="388"/>
      <c r="D34" s="57">
        <v>-3997.34</v>
      </c>
      <c r="E34" s="58"/>
      <c r="F34" s="58"/>
      <c r="G34" s="58"/>
      <c r="H34" s="54"/>
      <c r="I34" s="54"/>
    </row>
    <row r="35" spans="1:10" s="59" customFormat="1" ht="6" customHeight="1" thickBot="1" x14ac:dyDescent="0.3">
      <c r="A35" s="60"/>
      <c r="B35" s="60"/>
      <c r="C35" s="60"/>
      <c r="D35" s="38"/>
      <c r="E35" s="58"/>
      <c r="F35" s="58"/>
      <c r="G35" s="58"/>
      <c r="H35" s="54"/>
      <c r="I35" s="54"/>
    </row>
    <row r="36" spans="1:10" s="59" customFormat="1" ht="15.75" thickBot="1" x14ac:dyDescent="0.3">
      <c r="A36" s="55" t="s">
        <v>428</v>
      </c>
      <c r="B36" s="56"/>
      <c r="C36" s="56"/>
      <c r="D36" s="61"/>
      <c r="E36" s="62"/>
      <c r="F36" s="62"/>
      <c r="G36" s="129">
        <f>G13+E24-F24</f>
        <v>17265.596999999998</v>
      </c>
      <c r="H36" s="54"/>
      <c r="I36" s="54"/>
    </row>
    <row r="37" spans="1:10" s="59" customFormat="1" x14ac:dyDescent="0.25">
      <c r="A37" s="60"/>
      <c r="B37" s="60"/>
      <c r="C37" s="60"/>
      <c r="D37" s="38"/>
      <c r="E37" s="58"/>
      <c r="F37" s="58"/>
      <c r="G37" s="38"/>
      <c r="H37" s="54"/>
      <c r="I37" s="54"/>
    </row>
    <row r="38" spans="1:10" ht="26.25" customHeight="1" x14ac:dyDescent="0.25">
      <c r="A38" s="485" t="s">
        <v>44</v>
      </c>
      <c r="B38" s="485"/>
      <c r="C38" s="485"/>
      <c r="D38" s="485"/>
      <c r="E38" s="485"/>
      <c r="F38" s="485"/>
      <c r="G38" s="485"/>
      <c r="H38" s="485"/>
      <c r="I38" s="485"/>
    </row>
    <row r="39" spans="1:10" ht="3.75" customHeight="1" x14ac:dyDescent="0.25"/>
    <row r="40" spans="1:10" s="156" customFormat="1" ht="28.5" customHeight="1" x14ac:dyDescent="0.25">
      <c r="A40" s="94" t="s">
        <v>11</v>
      </c>
      <c r="B40" s="416" t="s">
        <v>45</v>
      </c>
      <c r="C40" s="425"/>
      <c r="D40" s="94" t="s">
        <v>99</v>
      </c>
      <c r="E40" s="94" t="s">
        <v>98</v>
      </c>
      <c r="F40" s="416" t="s">
        <v>46</v>
      </c>
      <c r="G40" s="425"/>
    </row>
    <row r="41" spans="1:10" s="103" customFormat="1" ht="13.5" customHeight="1" x14ac:dyDescent="0.25">
      <c r="A41" s="98" t="s">
        <v>47</v>
      </c>
      <c r="B41" s="418" t="s">
        <v>75</v>
      </c>
      <c r="C41" s="430"/>
      <c r="D41" s="99"/>
      <c r="E41" s="99"/>
      <c r="F41" s="436">
        <f>SUM(F42:L45)</f>
        <v>76.465299999999999</v>
      </c>
      <c r="G41" s="424"/>
    </row>
    <row r="42" spans="1:10" s="103" customFormat="1" ht="13.5" customHeight="1" x14ac:dyDescent="0.25">
      <c r="A42" s="34" t="s">
        <v>16</v>
      </c>
      <c r="B42" s="412"/>
      <c r="C42" s="428"/>
      <c r="D42" s="260"/>
      <c r="E42" s="260"/>
      <c r="F42" s="463"/>
      <c r="G42" s="463"/>
    </row>
    <row r="43" spans="1:10" s="103" customFormat="1" ht="17.25" customHeight="1" x14ac:dyDescent="0.25">
      <c r="A43" s="34" t="s">
        <v>18</v>
      </c>
      <c r="B43" s="412"/>
      <c r="C43" s="517"/>
      <c r="D43" s="260"/>
      <c r="E43" s="263"/>
      <c r="F43" s="429"/>
      <c r="G43" s="429"/>
    </row>
    <row r="44" spans="1:10" s="103" customFormat="1" ht="15.75" customHeight="1" x14ac:dyDescent="0.25">
      <c r="A44" s="34" t="s">
        <v>20</v>
      </c>
      <c r="B44" s="406"/>
      <c r="C44" s="454"/>
      <c r="D44" s="176"/>
      <c r="E44" s="137"/>
      <c r="F44" s="423"/>
      <c r="G44" s="423"/>
    </row>
    <row r="45" spans="1:10" x14ac:dyDescent="0.25">
      <c r="A45" s="34" t="s">
        <v>22</v>
      </c>
      <c r="B45" s="133" t="s">
        <v>108</v>
      </c>
      <c r="C45" s="134"/>
      <c r="D45" s="105"/>
      <c r="E45" s="105"/>
      <c r="F45" s="435">
        <f>E24*1%</f>
        <v>76.465299999999999</v>
      </c>
      <c r="G45" s="435"/>
    </row>
    <row r="46" spans="1:10" x14ac:dyDescent="0.25">
      <c r="A46" s="59"/>
      <c r="B46" s="59"/>
      <c r="C46" s="59"/>
      <c r="D46" s="59"/>
      <c r="E46" s="59"/>
      <c r="F46" s="59"/>
      <c r="G46" s="59"/>
    </row>
    <row r="47" spans="1:10" x14ac:dyDescent="0.25">
      <c r="A47" s="51" t="s">
        <v>372</v>
      </c>
      <c r="B47" s="59"/>
      <c r="C47" s="59" t="s">
        <v>49</v>
      </c>
      <c r="D47" s="59"/>
      <c r="E47" s="59"/>
      <c r="F47" s="59" t="s">
        <v>60</v>
      </c>
      <c r="G47" s="59"/>
    </row>
    <row r="48" spans="1:10" x14ac:dyDescent="0.25">
      <c r="A48" s="59"/>
      <c r="B48" s="59"/>
      <c r="C48" s="59"/>
      <c r="D48" s="59"/>
      <c r="E48" s="59"/>
      <c r="F48" s="111" t="s">
        <v>438</v>
      </c>
      <c r="G48" s="59"/>
    </row>
    <row r="49" spans="1:7" x14ac:dyDescent="0.25">
      <c r="A49" s="59" t="s">
        <v>50</v>
      </c>
      <c r="B49" s="59"/>
      <c r="C49" s="59"/>
      <c r="D49" s="59"/>
      <c r="E49" s="59"/>
      <c r="F49" s="59"/>
      <c r="G49" s="59"/>
    </row>
    <row r="50" spans="1:7" x14ac:dyDescent="0.25">
      <c r="A50" s="59"/>
      <c r="B50" s="59"/>
      <c r="C50" s="113" t="s">
        <v>51</v>
      </c>
      <c r="D50" s="59"/>
      <c r="E50" s="113"/>
      <c r="F50" s="113"/>
      <c r="G50" s="113"/>
    </row>
  </sheetData>
  <mergeCells count="22">
    <mergeCell ref="F45:G45"/>
    <mergeCell ref="F40:G40"/>
    <mergeCell ref="B44:C44"/>
    <mergeCell ref="B42:C42"/>
    <mergeCell ref="B43:C43"/>
    <mergeCell ref="A34:C34"/>
    <mergeCell ref="C32:F32"/>
    <mergeCell ref="F44:G44"/>
    <mergeCell ref="F42:G42"/>
    <mergeCell ref="F41:G41"/>
    <mergeCell ref="B40:C40"/>
    <mergeCell ref="B41:C41"/>
    <mergeCell ref="A2:K2"/>
    <mergeCell ref="A11:I11"/>
    <mergeCell ref="F43:G43"/>
    <mergeCell ref="A1:I1"/>
    <mergeCell ref="A5:I5"/>
    <mergeCell ref="A9:I9"/>
    <mergeCell ref="A3:K3"/>
    <mergeCell ref="A38:I38"/>
    <mergeCell ref="A33:F33"/>
    <mergeCell ref="A10:I10"/>
  </mergeCells>
  <phoneticPr fontId="14" type="noConversion"/>
  <pageMargins left="0" right="0" top="0" bottom="0" header="0.31496062992125984" footer="0.31496062992125984"/>
  <pageSetup paperSize="9" scale="99" orientation="portrait" verticalDpi="0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7FEAA-4CF9-48E1-B04A-F268322F1BCD}">
  <sheetPr>
    <tabColor rgb="FF7030A0"/>
  </sheetPr>
  <dimension ref="A1:M54"/>
  <sheetViews>
    <sheetView topLeftCell="A34" zoomScaleNormal="100" workbookViewId="0">
      <selection activeCell="A56" sqref="A56:IV57"/>
    </sheetView>
  </sheetViews>
  <sheetFormatPr defaultRowHeight="15" outlineLevelRow="1" outlineLevelCol="1" x14ac:dyDescent="0.25"/>
  <cols>
    <col min="1" max="1" width="4.7109375" style="35" customWidth="1"/>
    <col min="2" max="2" width="40.28515625" style="35" customWidth="1"/>
    <col min="3" max="3" width="13.42578125" style="35" customWidth="1"/>
    <col min="4" max="5" width="12.7109375" style="35" customWidth="1"/>
    <col min="6" max="6" width="15" style="35" customWidth="1"/>
    <col min="7" max="7" width="13.42578125" style="35" customWidth="1"/>
    <col min="8" max="8" width="10.85546875" style="35" hidden="1" customWidth="1" outlineLevel="1"/>
    <col min="9" max="9" width="13.42578125" style="35" hidden="1" customWidth="1" outlineLevel="1"/>
    <col min="10" max="12" width="9.140625" style="35" hidden="1" customWidth="1" outlineLevel="1"/>
    <col min="13" max="13" width="9.5703125" style="35" bestFit="1" customWidth="1" collapsed="1"/>
    <col min="14" max="16384" width="9.140625" style="35"/>
  </cols>
  <sheetData>
    <row r="1" spans="1:11" x14ac:dyDescent="0.25">
      <c r="A1" s="397" t="s">
        <v>0</v>
      </c>
      <c r="B1" s="397"/>
      <c r="C1" s="397"/>
      <c r="D1" s="397"/>
      <c r="E1" s="397"/>
      <c r="F1" s="397"/>
      <c r="G1" s="397"/>
      <c r="H1" s="397"/>
      <c r="I1" s="397"/>
    </row>
    <row r="2" spans="1:11" ht="15" customHeight="1" x14ac:dyDescent="0.25">
      <c r="A2" s="370" t="s">
        <v>152</v>
      </c>
      <c r="B2" s="370"/>
      <c r="C2" s="370"/>
      <c r="D2" s="370"/>
      <c r="E2" s="370"/>
      <c r="F2" s="370"/>
      <c r="G2" s="370"/>
      <c r="H2" s="370"/>
      <c r="I2" s="370"/>
      <c r="J2" s="370"/>
      <c r="K2" s="370"/>
    </row>
    <row r="3" spans="1:11" ht="15" customHeight="1" x14ac:dyDescent="0.25">
      <c r="A3" s="370" t="s">
        <v>426</v>
      </c>
      <c r="B3" s="370"/>
      <c r="C3" s="370"/>
      <c r="D3" s="370"/>
      <c r="E3" s="370"/>
      <c r="F3" s="370"/>
      <c r="G3" s="370"/>
      <c r="H3" s="370"/>
      <c r="I3" s="370"/>
      <c r="J3" s="370"/>
      <c r="K3" s="370"/>
    </row>
    <row r="4" spans="1:11" ht="6" customHeight="1" x14ac:dyDescent="0.25">
      <c r="A4" s="142"/>
      <c r="B4" s="142"/>
      <c r="C4" s="142"/>
      <c r="D4" s="142"/>
      <c r="E4" s="142"/>
      <c r="F4" s="142"/>
      <c r="G4" s="142"/>
      <c r="H4" s="142"/>
      <c r="I4" s="142"/>
    </row>
    <row r="5" spans="1:11" ht="14.25" customHeight="1" x14ac:dyDescent="0.25">
      <c r="A5" s="398" t="s">
        <v>1</v>
      </c>
      <c r="B5" s="397"/>
      <c r="C5" s="397"/>
      <c r="D5" s="397"/>
      <c r="E5" s="397"/>
      <c r="F5" s="397"/>
      <c r="G5" s="397"/>
      <c r="H5" s="397"/>
      <c r="I5" s="397"/>
    </row>
    <row r="6" spans="1:11" ht="3" customHeight="1" x14ac:dyDescent="0.25"/>
    <row r="7" spans="1:11" s="59" customFormat="1" ht="16.5" customHeight="1" x14ac:dyDescent="0.25">
      <c r="A7" s="59" t="s">
        <v>2</v>
      </c>
      <c r="F7" s="111" t="s">
        <v>234</v>
      </c>
    </row>
    <row r="8" spans="1:11" s="59" customFormat="1" x14ac:dyDescent="0.25">
      <c r="A8" s="59" t="s">
        <v>3</v>
      </c>
      <c r="F8" s="239" t="s">
        <v>235</v>
      </c>
    </row>
    <row r="9" spans="1:11" s="59" customFormat="1" ht="6" customHeight="1" x14ac:dyDescent="0.25"/>
    <row r="10" spans="1:11" s="59" customFormat="1" x14ac:dyDescent="0.25">
      <c r="A10" s="372" t="s">
        <v>8</v>
      </c>
      <c r="B10" s="372"/>
      <c r="C10" s="372"/>
      <c r="D10" s="372"/>
      <c r="E10" s="372"/>
      <c r="F10" s="372"/>
      <c r="G10" s="372"/>
      <c r="H10" s="372"/>
      <c r="I10" s="372"/>
    </row>
    <row r="11" spans="1:11" s="59" customFormat="1" x14ac:dyDescent="0.25">
      <c r="A11" s="372" t="s">
        <v>9</v>
      </c>
      <c r="B11" s="372"/>
      <c r="C11" s="372"/>
      <c r="D11" s="372"/>
      <c r="E11" s="372"/>
      <c r="F11" s="372"/>
      <c r="G11" s="372"/>
      <c r="H11" s="372"/>
      <c r="I11" s="372"/>
    </row>
    <row r="12" spans="1:11" s="59" customFormat="1" x14ac:dyDescent="0.25">
      <c r="A12" s="372" t="s">
        <v>10</v>
      </c>
      <c r="B12" s="372"/>
      <c r="C12" s="372"/>
      <c r="D12" s="372"/>
      <c r="E12" s="372"/>
      <c r="F12" s="372"/>
      <c r="G12" s="372"/>
      <c r="H12" s="372"/>
      <c r="I12" s="372"/>
    </row>
    <row r="13" spans="1:11" s="59" customFormat="1" ht="6" customHeight="1" thickBot="1" x14ac:dyDescent="0.3">
      <c r="A13" s="60"/>
      <c r="B13" s="60"/>
      <c r="C13" s="60"/>
      <c r="D13" s="38"/>
      <c r="E13" s="58"/>
      <c r="F13" s="58"/>
      <c r="G13" s="58"/>
      <c r="H13" s="54"/>
      <c r="I13" s="54"/>
    </row>
    <row r="14" spans="1:11" s="59" customFormat="1" ht="15.75" thickBot="1" x14ac:dyDescent="0.3">
      <c r="A14" s="55" t="s">
        <v>381</v>
      </c>
      <c r="B14" s="56"/>
      <c r="C14" s="56"/>
      <c r="D14" s="61"/>
      <c r="E14" s="62"/>
      <c r="F14" s="62"/>
      <c r="G14" s="232">
        <f>'[1]Труда 16'!$G$37</f>
        <v>-83394.24940000003</v>
      </c>
      <c r="H14" s="54"/>
      <c r="I14" s="54"/>
    </row>
    <row r="15" spans="1:11" s="59" customFormat="1" ht="6.75" customHeight="1" x14ac:dyDescent="0.25"/>
    <row r="16" spans="1:11" s="66" customFormat="1" ht="38.25" x14ac:dyDescent="0.25">
      <c r="A16" s="64" t="s">
        <v>11</v>
      </c>
      <c r="B16" s="64" t="s">
        <v>12</v>
      </c>
      <c r="C16" s="64" t="s">
        <v>61</v>
      </c>
      <c r="D16" s="64" t="s">
        <v>432</v>
      </c>
      <c r="E16" s="64" t="s">
        <v>433</v>
      </c>
      <c r="F16" s="65" t="s">
        <v>434</v>
      </c>
      <c r="G16" s="64" t="s">
        <v>435</v>
      </c>
    </row>
    <row r="17" spans="1:13" s="59" customFormat="1" x14ac:dyDescent="0.25">
      <c r="A17" s="67" t="s">
        <v>14</v>
      </c>
      <c r="B17" s="39" t="s">
        <v>379</v>
      </c>
      <c r="C17" s="120">
        <v>23.85</v>
      </c>
      <c r="D17" s="68">
        <v>952790.76</v>
      </c>
      <c r="E17" s="68">
        <v>949755.81</v>
      </c>
      <c r="F17" s="68">
        <f t="shared" ref="F17:F23" si="0">D17</f>
        <v>952790.76</v>
      </c>
      <c r="G17" s="69">
        <f>D17-E17</f>
        <v>3034.9499999999534</v>
      </c>
      <c r="H17" s="70">
        <f>C17</f>
        <v>23.85</v>
      </c>
      <c r="I17" s="152"/>
    </row>
    <row r="18" spans="1:13" s="59" customFormat="1" hidden="1" outlineLevel="1" x14ac:dyDescent="0.25">
      <c r="A18" s="73" t="s">
        <v>16</v>
      </c>
      <c r="B18" s="34" t="s">
        <v>17</v>
      </c>
      <c r="C18" s="89">
        <v>3.46</v>
      </c>
      <c r="D18" s="75">
        <f>D17*I18</f>
        <v>138224.57147169809</v>
      </c>
      <c r="E18" s="75">
        <f>E17*I18</f>
        <v>137784.28103144653</v>
      </c>
      <c r="F18" s="75">
        <f t="shared" si="0"/>
        <v>138224.57147169809</v>
      </c>
      <c r="G18" s="76">
        <f>D18-E18</f>
        <v>440.29044025155599</v>
      </c>
      <c r="H18" s="70">
        <f>C18</f>
        <v>3.46</v>
      </c>
      <c r="I18" s="59">
        <f>H18/H17</f>
        <v>0.14507337526205449</v>
      </c>
    </row>
    <row r="19" spans="1:13" s="59" customFormat="1" hidden="1" outlineLevel="1" x14ac:dyDescent="0.25">
      <c r="A19" s="73" t="s">
        <v>18</v>
      </c>
      <c r="B19" s="34" t="s">
        <v>19</v>
      </c>
      <c r="C19" s="89">
        <v>1.69</v>
      </c>
      <c r="D19" s="75">
        <f>D17*I19</f>
        <v>67514.313811320739</v>
      </c>
      <c r="E19" s="75">
        <f>E17*I19</f>
        <v>67299.258654088044</v>
      </c>
      <c r="F19" s="75">
        <f t="shared" si="0"/>
        <v>67514.313811320739</v>
      </c>
      <c r="G19" s="76">
        <f>D19-E19</f>
        <v>215.05515723269491</v>
      </c>
      <c r="H19" s="70">
        <f>C19</f>
        <v>1.69</v>
      </c>
      <c r="I19" s="59">
        <f>H19/H17</f>
        <v>7.0859538784067075E-2</v>
      </c>
    </row>
    <row r="20" spans="1:13" s="59" customFormat="1" hidden="1" outlineLevel="1" x14ac:dyDescent="0.25">
      <c r="A20" s="73" t="s">
        <v>20</v>
      </c>
      <c r="B20" s="34" t="s">
        <v>21</v>
      </c>
      <c r="C20" s="89">
        <v>2.15</v>
      </c>
      <c r="D20" s="75">
        <f>D17*I20</f>
        <v>85890.990943396217</v>
      </c>
      <c r="E20" s="75">
        <f>E17*I20</f>
        <v>85617.400062893081</v>
      </c>
      <c r="F20" s="75">
        <f t="shared" si="0"/>
        <v>85890.990943396217</v>
      </c>
      <c r="G20" s="76">
        <f>D20-E20</f>
        <v>273.59088050313585</v>
      </c>
      <c r="H20" s="70">
        <f>C20</f>
        <v>2.15</v>
      </c>
      <c r="I20" s="59">
        <f>H20/H17</f>
        <v>9.0146750524109004E-2</v>
      </c>
    </row>
    <row r="21" spans="1:13" s="59" customFormat="1" hidden="1" outlineLevel="1" x14ac:dyDescent="0.25">
      <c r="A21" s="73" t="s">
        <v>22</v>
      </c>
      <c r="B21" s="34" t="s">
        <v>23</v>
      </c>
      <c r="C21" s="89">
        <v>3.04</v>
      </c>
      <c r="D21" s="75">
        <f>D17*I21</f>
        <v>121445.86626415093</v>
      </c>
      <c r="E21" s="75">
        <f>E17*I21</f>
        <v>121059.02148427673</v>
      </c>
      <c r="F21" s="75">
        <f t="shared" si="0"/>
        <v>121445.86626415093</v>
      </c>
      <c r="G21" s="76">
        <f>D21-E21</f>
        <v>386.84477987419814</v>
      </c>
      <c r="H21" s="70">
        <f>C21</f>
        <v>3.04</v>
      </c>
      <c r="I21" s="59">
        <f>H21/H17</f>
        <v>0.12746331236897274</v>
      </c>
    </row>
    <row r="22" spans="1:13" collapsed="1" x14ac:dyDescent="0.25">
      <c r="A22" s="39" t="s">
        <v>25</v>
      </c>
      <c r="B22" s="78" t="s">
        <v>145</v>
      </c>
      <c r="C22" s="357">
        <v>110</v>
      </c>
      <c r="D22" s="69">
        <v>0</v>
      </c>
      <c r="E22" s="69">
        <v>290.68</v>
      </c>
      <c r="F22" s="68">
        <f t="shared" si="0"/>
        <v>0</v>
      </c>
      <c r="G22" s="69">
        <f t="shared" ref="G22:G32" si="1">D22-E22</f>
        <v>-290.68</v>
      </c>
      <c r="H22" s="37"/>
      <c r="I22" s="37"/>
    </row>
    <row r="23" spans="1:13" x14ac:dyDescent="0.25">
      <c r="A23" s="39" t="s">
        <v>27</v>
      </c>
      <c r="B23" s="39" t="s">
        <v>28</v>
      </c>
      <c r="C23" s="126">
        <v>0</v>
      </c>
      <c r="D23" s="69">
        <v>0</v>
      </c>
      <c r="E23" s="69">
        <v>0</v>
      </c>
      <c r="F23" s="69">
        <f t="shared" si="0"/>
        <v>0</v>
      </c>
      <c r="G23" s="69">
        <f t="shared" si="1"/>
        <v>0</v>
      </c>
      <c r="H23" s="37"/>
      <c r="I23" s="37"/>
    </row>
    <row r="24" spans="1:13" x14ac:dyDescent="0.25">
      <c r="A24" s="39" t="s">
        <v>29</v>
      </c>
      <c r="B24" s="39" t="s">
        <v>62</v>
      </c>
      <c r="C24" s="126">
        <v>0</v>
      </c>
      <c r="D24" s="69">
        <v>0</v>
      </c>
      <c r="E24" s="69">
        <v>0</v>
      </c>
      <c r="F24" s="69">
        <v>0</v>
      </c>
      <c r="G24" s="69">
        <f t="shared" si="1"/>
        <v>0</v>
      </c>
      <c r="H24" s="37"/>
      <c r="I24" s="37"/>
    </row>
    <row r="25" spans="1:13" x14ac:dyDescent="0.25">
      <c r="A25" s="39" t="s">
        <v>31</v>
      </c>
      <c r="B25" s="39" t="s">
        <v>80</v>
      </c>
      <c r="C25" s="126">
        <v>2.36</v>
      </c>
      <c r="D25" s="69">
        <v>94280.4</v>
      </c>
      <c r="E25" s="69">
        <v>94133.759999999995</v>
      </c>
      <c r="F25" s="79">
        <f>F42</f>
        <v>104779.4676</v>
      </c>
      <c r="G25" s="69">
        <f t="shared" si="1"/>
        <v>146.63999999999942</v>
      </c>
      <c r="H25" s="37"/>
      <c r="I25" s="37"/>
    </row>
    <row r="26" spans="1:13" x14ac:dyDescent="0.25">
      <c r="A26" s="189">
        <v>6</v>
      </c>
      <c r="B26" s="78" t="s">
        <v>97</v>
      </c>
      <c r="C26" s="357">
        <v>0</v>
      </c>
      <c r="D26" s="69">
        <v>0</v>
      </c>
      <c r="E26" s="69">
        <v>0</v>
      </c>
      <c r="F26" s="79">
        <f>D26</f>
        <v>0</v>
      </c>
      <c r="G26" s="69">
        <f t="shared" si="1"/>
        <v>0</v>
      </c>
      <c r="H26" s="37"/>
      <c r="I26" s="37"/>
    </row>
    <row r="27" spans="1:13" x14ac:dyDescent="0.25">
      <c r="A27" s="189">
        <f>A26+1</f>
        <v>7</v>
      </c>
      <c r="B27" s="39" t="s">
        <v>36</v>
      </c>
      <c r="C27" s="127"/>
      <c r="D27" s="69">
        <f>SUM(D28:D31)</f>
        <v>2697932.69</v>
      </c>
      <c r="E27" s="69">
        <f>SUM(E28:E31)</f>
        <v>2689554.73</v>
      </c>
      <c r="F27" s="69">
        <f>SUM(F28:F31)</f>
        <v>2697932.69</v>
      </c>
      <c r="G27" s="69">
        <f>D27-E27</f>
        <v>8377.9599999999627</v>
      </c>
      <c r="H27" s="37"/>
      <c r="I27" s="37"/>
      <c r="M27" s="274"/>
    </row>
    <row r="28" spans="1:13" x14ac:dyDescent="0.25">
      <c r="A28" s="190" t="s">
        <v>37</v>
      </c>
      <c r="B28" s="34" t="s">
        <v>63</v>
      </c>
      <c r="C28" s="89">
        <v>7.36</v>
      </c>
      <c r="D28" s="76">
        <v>35089.56</v>
      </c>
      <c r="E28" s="76">
        <v>35303.1</v>
      </c>
      <c r="F28" s="76">
        <f>D28</f>
        <v>35089.56</v>
      </c>
      <c r="G28" s="76">
        <f t="shared" si="1"/>
        <v>-213.54000000000087</v>
      </c>
    </row>
    <row r="29" spans="1:13" x14ac:dyDescent="0.25">
      <c r="A29" s="190" t="s">
        <v>39</v>
      </c>
      <c r="B29" s="34" t="s">
        <v>84</v>
      </c>
      <c r="C29" s="89">
        <v>88.38</v>
      </c>
      <c r="D29" s="76">
        <v>517841.06</v>
      </c>
      <c r="E29" s="76">
        <v>513486.97</v>
      </c>
      <c r="F29" s="76">
        <f>D29</f>
        <v>517841.06</v>
      </c>
      <c r="G29" s="76">
        <f t="shared" si="1"/>
        <v>4354.0900000000256</v>
      </c>
    </row>
    <row r="30" spans="1:13" x14ac:dyDescent="0.25">
      <c r="A30" s="190" t="s">
        <v>42</v>
      </c>
      <c r="B30" s="34" t="s">
        <v>135</v>
      </c>
      <c r="C30" s="128">
        <v>262.18</v>
      </c>
      <c r="D30" s="76">
        <v>640428.68000000005</v>
      </c>
      <c r="E30" s="76">
        <v>633387.72</v>
      </c>
      <c r="F30" s="76">
        <f>D30</f>
        <v>640428.68000000005</v>
      </c>
      <c r="G30" s="76">
        <f t="shared" si="1"/>
        <v>7040.9600000000792</v>
      </c>
    </row>
    <row r="31" spans="1:13" x14ac:dyDescent="0.25">
      <c r="A31" s="190" t="s">
        <v>41</v>
      </c>
      <c r="B31" s="34" t="s">
        <v>43</v>
      </c>
      <c r="C31" s="89">
        <v>3352.42</v>
      </c>
      <c r="D31" s="76">
        <v>1504573.39</v>
      </c>
      <c r="E31" s="76">
        <v>1507376.94</v>
      </c>
      <c r="F31" s="76">
        <f>D31</f>
        <v>1504573.39</v>
      </c>
      <c r="G31" s="76">
        <f t="shared" si="1"/>
        <v>-2803.5500000000466</v>
      </c>
    </row>
    <row r="32" spans="1:13" ht="29.25" hidden="1" outlineLevel="1" x14ac:dyDescent="0.25">
      <c r="A32" s="189" t="s">
        <v>130</v>
      </c>
      <c r="B32" s="300" t="s">
        <v>140</v>
      </c>
      <c r="C32" s="298"/>
      <c r="D32" s="248">
        <v>1000</v>
      </c>
      <c r="E32" s="248">
        <v>0</v>
      </c>
      <c r="F32" s="248"/>
      <c r="G32" s="248">
        <f t="shared" si="1"/>
        <v>1000</v>
      </c>
    </row>
    <row r="33" spans="1:10" s="92" customFormat="1" ht="18.75" hidden="1" customHeight="1" outlineLevel="1" x14ac:dyDescent="0.25">
      <c r="A33" s="299"/>
      <c r="B33" s="287"/>
      <c r="C33" s="376" t="s">
        <v>246</v>
      </c>
      <c r="D33" s="377"/>
      <c r="E33" s="377"/>
      <c r="F33" s="377"/>
      <c r="G33" s="82">
        <f>E32-(E32*15%)</f>
        <v>0</v>
      </c>
      <c r="H33" s="91"/>
      <c r="I33" s="91"/>
      <c r="J33" s="91"/>
    </row>
    <row r="34" spans="1:10" s="92" customFormat="1" ht="18.75" customHeight="1" collapsed="1" thickBot="1" x14ac:dyDescent="0.3">
      <c r="A34" s="373"/>
      <c r="B34" s="374"/>
      <c r="C34" s="374"/>
      <c r="D34" s="375"/>
      <c r="E34" s="375"/>
      <c r="F34" s="375"/>
      <c r="G34" s="91"/>
      <c r="H34" s="91"/>
      <c r="I34" s="91"/>
      <c r="J34" s="91"/>
    </row>
    <row r="35" spans="1:10" s="59" customFormat="1" ht="15.75" thickBot="1" x14ac:dyDescent="0.3">
      <c r="A35" s="387" t="s">
        <v>427</v>
      </c>
      <c r="B35" s="388"/>
      <c r="C35" s="388"/>
      <c r="D35" s="57">
        <v>11268.87</v>
      </c>
      <c r="E35" s="58"/>
      <c r="F35" s="58"/>
      <c r="G35" s="58"/>
      <c r="H35" s="54"/>
      <c r="I35" s="54"/>
    </row>
    <row r="36" spans="1:10" s="59" customFormat="1" ht="6" customHeight="1" thickBot="1" x14ac:dyDescent="0.3">
      <c r="A36" s="60"/>
      <c r="B36" s="60"/>
      <c r="C36" s="60"/>
      <c r="D36" s="38"/>
      <c r="E36" s="58"/>
      <c r="F36" s="58"/>
      <c r="G36" s="58"/>
      <c r="H36" s="54"/>
      <c r="I36" s="54"/>
    </row>
    <row r="37" spans="1:10" s="59" customFormat="1" ht="15.75" thickBot="1" x14ac:dyDescent="0.3">
      <c r="A37" s="55" t="s">
        <v>428</v>
      </c>
      <c r="B37" s="56"/>
      <c r="C37" s="56"/>
      <c r="D37" s="61"/>
      <c r="E37" s="62"/>
      <c r="F37" s="62"/>
      <c r="G37" s="129">
        <f>G14+E25-F25</f>
        <v>-94039.957000000039</v>
      </c>
      <c r="H37" s="54"/>
      <c r="I37" s="54"/>
    </row>
    <row r="38" spans="1:10" s="59" customFormat="1" x14ac:dyDescent="0.25">
      <c r="A38" s="60"/>
      <c r="B38" s="60"/>
      <c r="C38" s="60"/>
      <c r="D38" s="38"/>
      <c r="E38" s="58"/>
      <c r="F38" s="58"/>
      <c r="G38" s="38"/>
      <c r="H38" s="54"/>
      <c r="I38" s="54"/>
    </row>
    <row r="39" spans="1:10" s="59" customFormat="1" ht="25.5" customHeight="1" x14ac:dyDescent="0.25">
      <c r="A39" s="485" t="s">
        <v>44</v>
      </c>
      <c r="B39" s="485"/>
      <c r="C39" s="485"/>
      <c r="D39" s="485"/>
      <c r="E39" s="485"/>
      <c r="F39" s="485"/>
      <c r="G39" s="485"/>
      <c r="H39" s="485"/>
      <c r="I39" s="485"/>
    </row>
    <row r="41" spans="1:10" ht="28.5" x14ac:dyDescent="0.25">
      <c r="A41" s="94" t="s">
        <v>11</v>
      </c>
      <c r="B41" s="416" t="s">
        <v>45</v>
      </c>
      <c r="C41" s="425"/>
      <c r="D41" s="94" t="s">
        <v>99</v>
      </c>
      <c r="E41" s="94" t="s">
        <v>98</v>
      </c>
      <c r="F41" s="416" t="s">
        <v>46</v>
      </c>
      <c r="G41" s="425"/>
      <c r="H41" s="156"/>
      <c r="I41" s="156"/>
    </row>
    <row r="42" spans="1:10" s="156" customFormat="1" x14ac:dyDescent="0.25">
      <c r="A42" s="98" t="s">
        <v>47</v>
      </c>
      <c r="B42" s="418" t="s">
        <v>75</v>
      </c>
      <c r="C42" s="430"/>
      <c r="D42" s="99"/>
      <c r="E42" s="99"/>
      <c r="F42" s="436">
        <f>SUM(F43:L47)</f>
        <v>104779.4676</v>
      </c>
      <c r="G42" s="424"/>
      <c r="H42" s="103"/>
      <c r="I42" s="103"/>
    </row>
    <row r="43" spans="1:10" ht="29.25" customHeight="1" x14ac:dyDescent="0.25">
      <c r="A43" s="34" t="s">
        <v>16</v>
      </c>
      <c r="B43" s="406" t="s">
        <v>513</v>
      </c>
      <c r="C43" s="431"/>
      <c r="D43" s="176" t="s">
        <v>137</v>
      </c>
      <c r="E43" s="176">
        <v>0.308</v>
      </c>
      <c r="F43" s="435">
        <v>13838.13</v>
      </c>
      <c r="G43" s="435"/>
    </row>
    <row r="44" spans="1:10" ht="29.25" customHeight="1" x14ac:dyDescent="0.25">
      <c r="A44" s="34" t="s">
        <v>18</v>
      </c>
      <c r="B44" s="406" t="s">
        <v>514</v>
      </c>
      <c r="C44" s="431"/>
      <c r="D44" s="176" t="s">
        <v>100</v>
      </c>
      <c r="E44" s="176">
        <v>3</v>
      </c>
      <c r="F44" s="435">
        <v>30000</v>
      </c>
      <c r="G44" s="435"/>
    </row>
    <row r="45" spans="1:10" ht="29.25" customHeight="1" x14ac:dyDescent="0.25">
      <c r="A45" s="34" t="s">
        <v>20</v>
      </c>
      <c r="B45" s="406" t="s">
        <v>515</v>
      </c>
      <c r="C45" s="431"/>
      <c r="D45" s="176" t="s">
        <v>100</v>
      </c>
      <c r="E45" s="176">
        <v>1</v>
      </c>
      <c r="F45" s="435">
        <v>60000</v>
      </c>
      <c r="G45" s="435"/>
    </row>
    <row r="46" spans="1:10" ht="29.25" customHeight="1" x14ac:dyDescent="0.25">
      <c r="A46" s="34" t="s">
        <v>22</v>
      </c>
      <c r="B46" s="412"/>
      <c r="C46" s="428"/>
      <c r="D46" s="260"/>
      <c r="E46" s="260"/>
      <c r="F46" s="463"/>
      <c r="G46" s="463"/>
    </row>
    <row r="47" spans="1:10" ht="13.5" customHeight="1" x14ac:dyDescent="0.25">
      <c r="A47" s="34" t="s">
        <v>24</v>
      </c>
      <c r="B47" s="133" t="s">
        <v>108</v>
      </c>
      <c r="C47" s="134"/>
      <c r="D47" s="105"/>
      <c r="E47" s="105"/>
      <c r="F47" s="435">
        <f>E25*1%</f>
        <v>941.33759999999995</v>
      </c>
      <c r="G47" s="435"/>
    </row>
    <row r="48" spans="1:10" s="59" customFormat="1" ht="6" customHeight="1" x14ac:dyDescent="0.25">
      <c r="H48" s="35"/>
      <c r="I48" s="35"/>
    </row>
    <row r="49" spans="1:9" s="59" customFormat="1" x14ac:dyDescent="0.25">
      <c r="A49" s="51" t="s">
        <v>372</v>
      </c>
      <c r="C49" s="59" t="s">
        <v>49</v>
      </c>
      <c r="F49" s="59" t="s">
        <v>60</v>
      </c>
      <c r="H49" s="35"/>
      <c r="I49" s="35"/>
    </row>
    <row r="50" spans="1:9" s="59" customFormat="1" ht="12.75" customHeight="1" x14ac:dyDescent="0.25">
      <c r="F50" s="111" t="s">
        <v>438</v>
      </c>
      <c r="H50" s="35"/>
      <c r="I50" s="35"/>
    </row>
    <row r="51" spans="1:9" s="59" customFormat="1" x14ac:dyDescent="0.25">
      <c r="A51" s="59" t="s">
        <v>50</v>
      </c>
      <c r="H51" s="35"/>
      <c r="I51" s="35"/>
    </row>
    <row r="52" spans="1:9" s="59" customFormat="1" x14ac:dyDescent="0.25">
      <c r="C52" s="113" t="s">
        <v>51</v>
      </c>
      <c r="E52" s="113"/>
      <c r="F52" s="113"/>
      <c r="G52" s="113"/>
      <c r="H52" s="35"/>
      <c r="I52" s="35"/>
    </row>
    <row r="53" spans="1:9" s="59" customFormat="1" x14ac:dyDescent="0.25"/>
    <row r="54" spans="1:9" s="59" customFormat="1" x14ac:dyDescent="0.25"/>
  </sheetData>
  <mergeCells count="24">
    <mergeCell ref="F42:G42"/>
    <mergeCell ref="B42:C42"/>
    <mergeCell ref="A2:K2"/>
    <mergeCell ref="A34:F34"/>
    <mergeCell ref="F47:G47"/>
    <mergeCell ref="F43:G43"/>
    <mergeCell ref="B43:C43"/>
    <mergeCell ref="A35:C35"/>
    <mergeCell ref="B41:C41"/>
    <mergeCell ref="F41:G41"/>
    <mergeCell ref="A1:I1"/>
    <mergeCell ref="A5:I5"/>
    <mergeCell ref="A10:I10"/>
    <mergeCell ref="A39:I39"/>
    <mergeCell ref="C33:F33"/>
    <mergeCell ref="A11:I11"/>
    <mergeCell ref="A3:K3"/>
    <mergeCell ref="A12:I12"/>
    <mergeCell ref="F44:G44"/>
    <mergeCell ref="F46:G46"/>
    <mergeCell ref="B44:C44"/>
    <mergeCell ref="B46:C46"/>
    <mergeCell ref="B45:C45"/>
    <mergeCell ref="F45:G45"/>
  </mergeCells>
  <phoneticPr fontId="14" type="noConversion"/>
  <pageMargins left="0" right="0" top="0" bottom="0" header="0.31496062992125984" footer="0.31496062992125984"/>
  <pageSetup paperSize="9" scale="99" orientation="portrait" verticalDpi="0" r:id="rId1"/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46833A-F20A-4A39-801E-27FD8703B5E2}">
  <sheetPr>
    <tabColor rgb="FF7030A0"/>
  </sheetPr>
  <dimension ref="A1:M56"/>
  <sheetViews>
    <sheetView topLeftCell="A34" zoomScaleNormal="100" workbookViewId="0">
      <selection activeCell="A59" sqref="A59:IV60"/>
    </sheetView>
  </sheetViews>
  <sheetFormatPr defaultRowHeight="15" outlineLevelRow="1" outlineLevelCol="1" x14ac:dyDescent="0.25"/>
  <cols>
    <col min="1" max="1" width="4.7109375" style="35" customWidth="1"/>
    <col min="2" max="2" width="47.85546875" style="35" customWidth="1"/>
    <col min="3" max="3" width="13" style="35" customWidth="1"/>
    <col min="4" max="5" width="12.7109375" style="35" customWidth="1"/>
    <col min="6" max="6" width="15.28515625" style="35" customWidth="1"/>
    <col min="7" max="7" width="13.42578125" style="35" customWidth="1"/>
    <col min="8" max="8" width="10.85546875" style="35" hidden="1" customWidth="1" outlineLevel="1"/>
    <col min="9" max="9" width="13.42578125" style="35" hidden="1" customWidth="1" outlineLevel="1"/>
    <col min="10" max="12" width="9.140625" style="35" hidden="1" customWidth="1" outlineLevel="1"/>
    <col min="13" max="13" width="9.140625" style="35" collapsed="1"/>
    <col min="14" max="16384" width="9.140625" style="35"/>
  </cols>
  <sheetData>
    <row r="1" spans="1:11" x14ac:dyDescent="0.25">
      <c r="A1" s="397" t="s">
        <v>0</v>
      </c>
      <c r="B1" s="397"/>
      <c r="C1" s="397"/>
      <c r="D1" s="397"/>
      <c r="E1" s="397"/>
      <c r="F1" s="397"/>
      <c r="G1" s="397"/>
      <c r="H1" s="397"/>
      <c r="I1" s="397"/>
    </row>
    <row r="2" spans="1:11" ht="15" customHeight="1" x14ac:dyDescent="0.25">
      <c r="A2" s="370" t="s">
        <v>152</v>
      </c>
      <c r="B2" s="370"/>
      <c r="C2" s="370"/>
      <c r="D2" s="370"/>
      <c r="E2" s="370"/>
      <c r="F2" s="370"/>
      <c r="G2" s="370"/>
      <c r="H2" s="370"/>
      <c r="I2" s="370"/>
      <c r="J2" s="370"/>
      <c r="K2" s="370"/>
    </row>
    <row r="3" spans="1:11" ht="15" customHeight="1" x14ac:dyDescent="0.25">
      <c r="A3" s="370" t="s">
        <v>426</v>
      </c>
      <c r="B3" s="370"/>
      <c r="C3" s="370"/>
      <c r="D3" s="370"/>
      <c r="E3" s="370"/>
      <c r="F3" s="370"/>
      <c r="G3" s="370"/>
      <c r="H3" s="370"/>
      <c r="I3" s="370"/>
      <c r="J3" s="370"/>
      <c r="K3" s="370"/>
    </row>
    <row r="4" spans="1:11" ht="6" customHeight="1" x14ac:dyDescent="0.25">
      <c r="A4" s="142"/>
      <c r="B4" s="142"/>
      <c r="C4" s="142"/>
      <c r="D4" s="142"/>
      <c r="E4" s="142"/>
      <c r="F4" s="142"/>
      <c r="G4" s="142"/>
      <c r="H4" s="142"/>
      <c r="I4" s="142"/>
    </row>
    <row r="5" spans="1:11" ht="14.25" customHeight="1" x14ac:dyDescent="0.25">
      <c r="A5" s="398" t="s">
        <v>1</v>
      </c>
      <c r="B5" s="397"/>
      <c r="C5" s="397"/>
      <c r="D5" s="397"/>
      <c r="E5" s="397"/>
      <c r="F5" s="397"/>
      <c r="G5" s="397"/>
      <c r="H5" s="397"/>
      <c r="I5" s="397"/>
    </row>
    <row r="6" spans="1:11" ht="3" customHeight="1" x14ac:dyDescent="0.25"/>
    <row r="7" spans="1:11" s="59" customFormat="1" ht="16.5" customHeight="1" x14ac:dyDescent="0.25">
      <c r="A7" s="59" t="s">
        <v>2</v>
      </c>
      <c r="F7" s="111" t="s">
        <v>236</v>
      </c>
    </row>
    <row r="8" spans="1:11" s="59" customFormat="1" x14ac:dyDescent="0.25">
      <c r="A8" s="59" t="s">
        <v>3</v>
      </c>
      <c r="F8" s="239" t="s">
        <v>237</v>
      </c>
      <c r="I8" s="180">
        <v>0</v>
      </c>
      <c r="J8" s="110">
        <v>4268.2</v>
      </c>
      <c r="K8" s="283">
        <f>I8+J8</f>
        <v>4268.2</v>
      </c>
    </row>
    <row r="9" spans="1:11" s="59" customFormat="1" ht="6" customHeight="1" x14ac:dyDescent="0.25"/>
    <row r="10" spans="1:11" s="59" customFormat="1" x14ac:dyDescent="0.25">
      <c r="A10" s="372" t="s">
        <v>8</v>
      </c>
      <c r="B10" s="372"/>
      <c r="C10" s="372"/>
      <c r="D10" s="372"/>
      <c r="E10" s="372"/>
      <c r="F10" s="372"/>
      <c r="G10" s="372"/>
      <c r="H10" s="372"/>
      <c r="I10" s="372"/>
    </row>
    <row r="11" spans="1:11" s="59" customFormat="1" x14ac:dyDescent="0.25">
      <c r="A11" s="372" t="s">
        <v>9</v>
      </c>
      <c r="B11" s="372"/>
      <c r="C11" s="372"/>
      <c r="D11" s="372"/>
      <c r="E11" s="372"/>
      <c r="F11" s="372"/>
      <c r="G11" s="372"/>
      <c r="H11" s="372"/>
      <c r="I11" s="372"/>
    </row>
    <row r="12" spans="1:11" s="59" customFormat="1" x14ac:dyDescent="0.25">
      <c r="A12" s="372" t="s">
        <v>10</v>
      </c>
      <c r="B12" s="372"/>
      <c r="C12" s="372"/>
      <c r="D12" s="372"/>
      <c r="E12" s="372"/>
      <c r="F12" s="372"/>
      <c r="G12" s="372"/>
      <c r="H12" s="372"/>
      <c r="I12" s="372"/>
    </row>
    <row r="13" spans="1:11" s="59" customFormat="1" ht="6" customHeight="1" thickBot="1" x14ac:dyDescent="0.3">
      <c r="A13" s="60"/>
      <c r="B13" s="60"/>
      <c r="C13" s="60"/>
      <c r="D13" s="38"/>
      <c r="E13" s="58"/>
      <c r="F13" s="58"/>
      <c r="G13" s="58"/>
      <c r="H13" s="54"/>
      <c r="I13" s="54"/>
    </row>
    <row r="14" spans="1:11" s="59" customFormat="1" ht="15.75" thickBot="1" x14ac:dyDescent="0.3">
      <c r="A14" s="55" t="s">
        <v>381</v>
      </c>
      <c r="B14" s="56"/>
      <c r="C14" s="56"/>
      <c r="D14" s="61"/>
      <c r="E14" s="62"/>
      <c r="F14" s="62"/>
      <c r="G14" s="232">
        <f>'[1]Труда 24'!$G$37</f>
        <v>142133.48680000001</v>
      </c>
      <c r="H14" s="54"/>
      <c r="I14" s="54"/>
    </row>
    <row r="15" spans="1:11" s="59" customFormat="1" ht="6.75" customHeight="1" x14ac:dyDescent="0.25"/>
    <row r="16" spans="1:11" s="66" customFormat="1" ht="52.5" customHeight="1" x14ac:dyDescent="0.25">
      <c r="A16" s="64" t="s">
        <v>11</v>
      </c>
      <c r="B16" s="64" t="s">
        <v>12</v>
      </c>
      <c r="C16" s="64" t="s">
        <v>61</v>
      </c>
      <c r="D16" s="64" t="s">
        <v>432</v>
      </c>
      <c r="E16" s="64" t="s">
        <v>433</v>
      </c>
      <c r="F16" s="65" t="s">
        <v>434</v>
      </c>
      <c r="G16" s="64" t="s">
        <v>435</v>
      </c>
    </row>
    <row r="17" spans="1:9" s="59" customFormat="1" ht="15" customHeight="1" x14ac:dyDescent="0.25">
      <c r="A17" s="67" t="s">
        <v>14</v>
      </c>
      <c r="B17" s="39" t="s">
        <v>379</v>
      </c>
      <c r="C17" s="120">
        <v>23.85</v>
      </c>
      <c r="D17" s="68">
        <v>1221561.24</v>
      </c>
      <c r="E17" s="68">
        <v>1243921.76</v>
      </c>
      <c r="F17" s="68">
        <f t="shared" ref="F17:F23" si="0">D17</f>
        <v>1221561.24</v>
      </c>
      <c r="G17" s="69">
        <f>D17-E17</f>
        <v>-22360.520000000019</v>
      </c>
      <c r="H17" s="70">
        <f>C17</f>
        <v>23.85</v>
      </c>
      <c r="I17" s="152"/>
    </row>
    <row r="18" spans="1:9" s="59" customFormat="1" ht="15" hidden="1" customHeight="1" outlineLevel="1" x14ac:dyDescent="0.25">
      <c r="A18" s="73" t="s">
        <v>16</v>
      </c>
      <c r="B18" s="34" t="s">
        <v>17</v>
      </c>
      <c r="C18" s="89">
        <v>3.46</v>
      </c>
      <c r="D18" s="75">
        <f>D17*I18</f>
        <v>177216.0121761006</v>
      </c>
      <c r="E18" s="75">
        <f>E17*I18</f>
        <v>180459.92828511528</v>
      </c>
      <c r="F18" s="75">
        <f t="shared" si="0"/>
        <v>177216.0121761006</v>
      </c>
      <c r="G18" s="76">
        <f>D18-E18</f>
        <v>-3243.9161090146808</v>
      </c>
      <c r="H18" s="70">
        <f>C18</f>
        <v>3.46</v>
      </c>
      <c r="I18" s="59">
        <f>H18/H17</f>
        <v>0.14507337526205449</v>
      </c>
    </row>
    <row r="19" spans="1:9" s="59" customFormat="1" ht="15" hidden="1" customHeight="1" outlineLevel="1" x14ac:dyDescent="0.25">
      <c r="A19" s="73" t="s">
        <v>18</v>
      </c>
      <c r="B19" s="34" t="s">
        <v>19</v>
      </c>
      <c r="C19" s="89">
        <v>1.69</v>
      </c>
      <c r="D19" s="75">
        <f>D17*I19</f>
        <v>86559.266062893061</v>
      </c>
      <c r="E19" s="75">
        <f>E17*I19</f>
        <v>88143.72219706497</v>
      </c>
      <c r="F19" s="75">
        <f t="shared" si="0"/>
        <v>86559.266062893061</v>
      </c>
      <c r="G19" s="76">
        <f>D19-E19</f>
        <v>-1584.4561341719091</v>
      </c>
      <c r="H19" s="70">
        <f>C19</f>
        <v>1.69</v>
      </c>
      <c r="I19" s="59">
        <f>H19/H17</f>
        <v>7.0859538784067075E-2</v>
      </c>
    </row>
    <row r="20" spans="1:9" s="59" customFormat="1" ht="15" hidden="1" customHeight="1" outlineLevel="1" x14ac:dyDescent="0.25">
      <c r="A20" s="73" t="s">
        <v>20</v>
      </c>
      <c r="B20" s="34" t="s">
        <v>21</v>
      </c>
      <c r="C20" s="89">
        <v>2.15</v>
      </c>
      <c r="D20" s="75">
        <f>D17*I20</f>
        <v>110119.77635220124</v>
      </c>
      <c r="E20" s="75">
        <f>E17*I20</f>
        <v>112135.50457023059</v>
      </c>
      <c r="F20" s="75">
        <f t="shared" si="0"/>
        <v>110119.77635220124</v>
      </c>
      <c r="G20" s="76">
        <f>D20-E20</f>
        <v>-2015.728218029355</v>
      </c>
      <c r="H20" s="70">
        <f>C20</f>
        <v>2.15</v>
      </c>
      <c r="I20" s="59">
        <f>H20/H17</f>
        <v>9.0146750524109004E-2</v>
      </c>
    </row>
    <row r="21" spans="1:9" s="59" customFormat="1" ht="15" hidden="1" customHeight="1" outlineLevel="1" x14ac:dyDescent="0.25">
      <c r="A21" s="73" t="s">
        <v>22</v>
      </c>
      <c r="B21" s="34" t="s">
        <v>23</v>
      </c>
      <c r="C21" s="89">
        <v>3.04</v>
      </c>
      <c r="D21" s="75">
        <f>D17*I21</f>
        <v>155704.24191194968</v>
      </c>
      <c r="E21" s="75">
        <f>E17*I21</f>
        <v>158554.38785744234</v>
      </c>
      <c r="F21" s="75">
        <f t="shared" si="0"/>
        <v>155704.24191194968</v>
      </c>
      <c r="G21" s="76">
        <f>D21-E21</f>
        <v>-2850.1459454926662</v>
      </c>
      <c r="H21" s="70">
        <f>C21</f>
        <v>3.04</v>
      </c>
      <c r="I21" s="59">
        <f>H21/H17</f>
        <v>0.12746331236897274</v>
      </c>
    </row>
    <row r="22" spans="1:9" ht="15" customHeight="1" collapsed="1" x14ac:dyDescent="0.25">
      <c r="A22" s="39" t="s">
        <v>25</v>
      </c>
      <c r="B22" s="39" t="s">
        <v>26</v>
      </c>
      <c r="C22" s="126">
        <v>0</v>
      </c>
      <c r="D22" s="69">
        <v>0</v>
      </c>
      <c r="E22" s="69">
        <v>0</v>
      </c>
      <c r="F22" s="68">
        <f t="shared" si="0"/>
        <v>0</v>
      </c>
      <c r="G22" s="69">
        <f t="shared" ref="G22:G32" si="1">D22-E22</f>
        <v>0</v>
      </c>
      <c r="H22" s="37"/>
      <c r="I22" s="37"/>
    </row>
    <row r="23" spans="1:9" ht="15" customHeight="1" x14ac:dyDescent="0.25">
      <c r="A23" s="39" t="s">
        <v>27</v>
      </c>
      <c r="B23" s="78" t="s">
        <v>145</v>
      </c>
      <c r="C23" s="357">
        <v>110</v>
      </c>
      <c r="D23" s="69">
        <v>0</v>
      </c>
      <c r="E23" s="69">
        <v>1470.78</v>
      </c>
      <c r="F23" s="69">
        <f t="shared" si="0"/>
        <v>0</v>
      </c>
      <c r="G23" s="69">
        <f t="shared" si="1"/>
        <v>-1470.78</v>
      </c>
      <c r="H23" s="37"/>
      <c r="I23" s="273"/>
    </row>
    <row r="24" spans="1:9" ht="15" customHeight="1" x14ac:dyDescent="0.25">
      <c r="A24" s="39" t="s">
        <v>29</v>
      </c>
      <c r="B24" s="39" t="s">
        <v>104</v>
      </c>
      <c r="C24" s="126">
        <v>0</v>
      </c>
      <c r="D24" s="69">
        <v>0</v>
      </c>
      <c r="E24" s="69">
        <v>0</v>
      </c>
      <c r="F24" s="69">
        <v>0</v>
      </c>
      <c r="G24" s="69">
        <f t="shared" si="1"/>
        <v>0</v>
      </c>
      <c r="H24" s="37"/>
      <c r="I24" s="37"/>
    </row>
    <row r="25" spans="1:9" ht="15" customHeight="1" x14ac:dyDescent="0.25">
      <c r="A25" s="39" t="s">
        <v>31</v>
      </c>
      <c r="B25" s="39" t="s">
        <v>80</v>
      </c>
      <c r="C25" s="126">
        <v>2.36</v>
      </c>
      <c r="D25" s="69">
        <v>120874.68</v>
      </c>
      <c r="E25" s="69">
        <v>127466.8</v>
      </c>
      <c r="F25" s="79">
        <f>F41</f>
        <v>118601.02799999999</v>
      </c>
      <c r="G25" s="69">
        <f t="shared" si="1"/>
        <v>-6592.1200000000099</v>
      </c>
      <c r="H25" s="37"/>
      <c r="I25" s="37"/>
    </row>
    <row r="26" spans="1:9" ht="15" customHeight="1" x14ac:dyDescent="0.25">
      <c r="A26" s="189">
        <v>6</v>
      </c>
      <c r="B26" s="78" t="s">
        <v>97</v>
      </c>
      <c r="C26" s="357">
        <v>0</v>
      </c>
      <c r="D26" s="69">
        <v>0</v>
      </c>
      <c r="E26" s="69">
        <v>0</v>
      </c>
      <c r="F26" s="79">
        <f>D26</f>
        <v>0</v>
      </c>
      <c r="G26" s="69">
        <f t="shared" si="1"/>
        <v>0</v>
      </c>
      <c r="H26" s="37"/>
      <c r="I26" s="37"/>
    </row>
    <row r="27" spans="1:9" ht="15" customHeight="1" x14ac:dyDescent="0.25">
      <c r="A27" s="189">
        <f>A26+1</f>
        <v>7</v>
      </c>
      <c r="B27" s="39" t="s">
        <v>36</v>
      </c>
      <c r="C27" s="127"/>
      <c r="D27" s="69">
        <f>SUM(D28:D31)</f>
        <v>3364116.2300000004</v>
      </c>
      <c r="E27" s="69">
        <f>SUM(E28:E31)</f>
        <v>3326981.7800000003</v>
      </c>
      <c r="F27" s="69">
        <f>SUM(F28:F31)</f>
        <v>3242732.35</v>
      </c>
      <c r="G27" s="69">
        <f>SUM(G28:G31)</f>
        <v>37134.450000000084</v>
      </c>
      <c r="H27" s="37"/>
      <c r="I27" s="37"/>
    </row>
    <row r="28" spans="1:9" ht="15" customHeight="1" x14ac:dyDescent="0.25">
      <c r="A28" s="190" t="s">
        <v>37</v>
      </c>
      <c r="B28" s="34" t="s">
        <v>63</v>
      </c>
      <c r="C28" s="89">
        <v>7.36</v>
      </c>
      <c r="D28" s="76">
        <v>123026.02</v>
      </c>
      <c r="E28" s="76">
        <v>130619.65</v>
      </c>
      <c r="F28" s="76">
        <v>1642.14</v>
      </c>
      <c r="G28" s="76">
        <f t="shared" si="1"/>
        <v>-7593.6299999999901</v>
      </c>
    </row>
    <row r="29" spans="1:9" ht="15" customHeight="1" x14ac:dyDescent="0.25">
      <c r="A29" s="190" t="s">
        <v>39</v>
      </c>
      <c r="B29" s="34" t="s">
        <v>84</v>
      </c>
      <c r="C29" s="89">
        <v>88.38</v>
      </c>
      <c r="D29" s="76">
        <v>462467.62</v>
      </c>
      <c r="E29" s="76">
        <v>537527.02</v>
      </c>
      <c r="F29" s="76">
        <f>D29</f>
        <v>462467.62</v>
      </c>
      <c r="G29" s="76">
        <f t="shared" si="1"/>
        <v>-75059.400000000023</v>
      </c>
    </row>
    <row r="30" spans="1:9" ht="15" customHeight="1" x14ac:dyDescent="0.25">
      <c r="A30" s="190" t="s">
        <v>42</v>
      </c>
      <c r="B30" s="34" t="s">
        <v>135</v>
      </c>
      <c r="C30" s="128">
        <v>278.94</v>
      </c>
      <c r="D30" s="76">
        <v>779494.02</v>
      </c>
      <c r="E30" s="76">
        <v>655348.64</v>
      </c>
      <c r="F30" s="76">
        <f>D30</f>
        <v>779494.02</v>
      </c>
      <c r="G30" s="76">
        <f t="shared" si="1"/>
        <v>124145.38</v>
      </c>
    </row>
    <row r="31" spans="1:9" ht="15" customHeight="1" x14ac:dyDescent="0.25">
      <c r="A31" s="190" t="s">
        <v>41</v>
      </c>
      <c r="B31" s="34" t="s">
        <v>43</v>
      </c>
      <c r="C31" s="89">
        <v>3352.42</v>
      </c>
      <c r="D31" s="76">
        <v>1999128.57</v>
      </c>
      <c r="E31" s="76">
        <v>2003486.47</v>
      </c>
      <c r="F31" s="76">
        <f>D31</f>
        <v>1999128.57</v>
      </c>
      <c r="G31" s="76">
        <f>D31-E31</f>
        <v>-4357.8999999999069</v>
      </c>
    </row>
    <row r="32" spans="1:9" ht="15" hidden="1" customHeight="1" outlineLevel="1" x14ac:dyDescent="0.25">
      <c r="A32" s="189" t="s">
        <v>130</v>
      </c>
      <c r="B32" s="300" t="s">
        <v>140</v>
      </c>
      <c r="C32" s="298"/>
      <c r="D32" s="248">
        <v>1800</v>
      </c>
      <c r="E32" s="248">
        <v>1800</v>
      </c>
      <c r="F32" s="248"/>
      <c r="G32" s="248">
        <f t="shared" si="1"/>
        <v>0</v>
      </c>
    </row>
    <row r="33" spans="1:10" ht="15" hidden="1" customHeight="1" outlineLevel="1" x14ac:dyDescent="0.25">
      <c r="A33" s="299"/>
      <c r="B33" s="287"/>
      <c r="C33" s="376" t="s">
        <v>246</v>
      </c>
      <c r="D33" s="377"/>
      <c r="E33" s="377"/>
      <c r="F33" s="377"/>
      <c r="G33" s="82">
        <f>E32-(E32*15%)</f>
        <v>1530</v>
      </c>
    </row>
    <row r="34" spans="1:10" s="92" customFormat="1" ht="18" customHeight="1" collapsed="1" thickBot="1" x14ac:dyDescent="0.3">
      <c r="A34" s="373"/>
      <c r="B34" s="374"/>
      <c r="C34" s="374"/>
      <c r="D34" s="375"/>
      <c r="E34" s="375"/>
      <c r="F34" s="375"/>
      <c r="G34" s="91"/>
      <c r="H34" s="91"/>
      <c r="I34" s="91"/>
      <c r="J34" s="91"/>
    </row>
    <row r="35" spans="1:10" s="59" customFormat="1" ht="15.75" thickBot="1" x14ac:dyDescent="0.3">
      <c r="A35" s="387" t="s">
        <v>427</v>
      </c>
      <c r="B35" s="388"/>
      <c r="C35" s="388"/>
      <c r="D35" s="57">
        <v>6711.03</v>
      </c>
      <c r="E35" s="58"/>
      <c r="F35" s="58"/>
      <c r="G35" s="58"/>
      <c r="H35" s="54"/>
      <c r="I35" s="54"/>
    </row>
    <row r="36" spans="1:10" s="59" customFormat="1" ht="6" customHeight="1" thickBot="1" x14ac:dyDescent="0.3">
      <c r="A36" s="60"/>
      <c r="B36" s="60"/>
      <c r="C36" s="60"/>
      <c r="D36" s="38"/>
      <c r="E36" s="58"/>
      <c r="F36" s="58"/>
      <c r="G36" s="58"/>
      <c r="H36" s="54"/>
      <c r="I36" s="54"/>
    </row>
    <row r="37" spans="1:10" s="59" customFormat="1" ht="16.5" customHeight="1" thickBot="1" x14ac:dyDescent="0.3">
      <c r="A37" s="55" t="s">
        <v>428</v>
      </c>
      <c r="B37" s="56"/>
      <c r="C37" s="56"/>
      <c r="D37" s="61"/>
      <c r="E37" s="62"/>
      <c r="F37" s="62"/>
      <c r="G37" s="129">
        <f>G14+E25-F25</f>
        <v>150999.25880000001</v>
      </c>
      <c r="H37" s="54"/>
      <c r="I37" s="54"/>
    </row>
    <row r="38" spans="1:10" ht="26.25" customHeight="1" x14ac:dyDescent="0.25">
      <c r="A38" s="485" t="s">
        <v>44</v>
      </c>
      <c r="B38" s="485"/>
      <c r="C38" s="485"/>
      <c r="D38" s="485"/>
      <c r="E38" s="485"/>
      <c r="F38" s="485"/>
      <c r="G38" s="485"/>
      <c r="H38" s="485"/>
      <c r="I38" s="485"/>
    </row>
    <row r="39" spans="1:10" ht="3.75" customHeight="1" x14ac:dyDescent="0.25"/>
    <row r="40" spans="1:10" s="156" customFormat="1" ht="28.5" customHeight="1" x14ac:dyDescent="0.25">
      <c r="A40" s="94" t="s">
        <v>11</v>
      </c>
      <c r="B40" s="416" t="s">
        <v>45</v>
      </c>
      <c r="C40" s="425"/>
      <c r="D40" s="94" t="s">
        <v>99</v>
      </c>
      <c r="E40" s="94" t="s">
        <v>98</v>
      </c>
      <c r="F40" s="416" t="s">
        <v>46</v>
      </c>
      <c r="G40" s="425"/>
    </row>
    <row r="41" spans="1:10" s="103" customFormat="1" ht="13.5" customHeight="1" x14ac:dyDescent="0.25">
      <c r="A41" s="98" t="s">
        <v>47</v>
      </c>
      <c r="B41" s="418" t="s">
        <v>75</v>
      </c>
      <c r="C41" s="430"/>
      <c r="D41" s="99"/>
      <c r="E41" s="99"/>
      <c r="F41" s="436">
        <f>SUM(F42:L50)</f>
        <v>118601.02799999999</v>
      </c>
      <c r="G41" s="424"/>
    </row>
    <row r="42" spans="1:10" ht="13.5" customHeight="1" x14ac:dyDescent="0.25">
      <c r="A42" s="34" t="s">
        <v>16</v>
      </c>
      <c r="B42" s="406" t="s">
        <v>516</v>
      </c>
      <c r="C42" s="431"/>
      <c r="D42" s="176" t="s">
        <v>137</v>
      </c>
      <c r="E42" s="176">
        <v>0.06</v>
      </c>
      <c r="F42" s="435">
        <v>6531.79</v>
      </c>
      <c r="G42" s="435"/>
    </row>
    <row r="43" spans="1:10" ht="13.5" customHeight="1" x14ac:dyDescent="0.25">
      <c r="A43" s="34" t="s">
        <v>18</v>
      </c>
      <c r="B43" s="406" t="s">
        <v>516</v>
      </c>
      <c r="C43" s="454"/>
      <c r="D43" s="105" t="s">
        <v>137</v>
      </c>
      <c r="E43" s="348">
        <v>0.04</v>
      </c>
      <c r="F43" s="423">
        <v>3648.69</v>
      </c>
      <c r="G43" s="423"/>
    </row>
    <row r="44" spans="1:10" ht="13.5" customHeight="1" x14ac:dyDescent="0.25">
      <c r="A44" s="34" t="s">
        <v>20</v>
      </c>
      <c r="B44" s="406" t="s">
        <v>517</v>
      </c>
      <c r="C44" s="454"/>
      <c r="D44" s="105" t="s">
        <v>100</v>
      </c>
      <c r="E44" s="348">
        <v>1</v>
      </c>
      <c r="F44" s="423">
        <v>9714</v>
      </c>
      <c r="G44" s="423"/>
    </row>
    <row r="45" spans="1:10" ht="13.5" customHeight="1" x14ac:dyDescent="0.25">
      <c r="A45" s="34" t="s">
        <v>22</v>
      </c>
      <c r="B45" s="406" t="s">
        <v>519</v>
      </c>
      <c r="C45" s="454"/>
      <c r="D45" s="105" t="s">
        <v>137</v>
      </c>
      <c r="E45" s="137">
        <v>0.08</v>
      </c>
      <c r="F45" s="423">
        <v>8768.49</v>
      </c>
      <c r="G45" s="423"/>
    </row>
    <row r="46" spans="1:10" ht="13.5" customHeight="1" x14ac:dyDescent="0.25">
      <c r="A46" s="34" t="s">
        <v>24</v>
      </c>
      <c r="B46" s="406" t="s">
        <v>520</v>
      </c>
      <c r="C46" s="454"/>
      <c r="D46" s="105" t="s">
        <v>137</v>
      </c>
      <c r="E46" s="137">
        <v>0.04</v>
      </c>
      <c r="F46" s="423">
        <v>21319.759999999998</v>
      </c>
      <c r="G46" s="423"/>
    </row>
    <row r="47" spans="1:10" ht="13.5" customHeight="1" x14ac:dyDescent="0.25">
      <c r="A47" s="34" t="s">
        <v>73</v>
      </c>
      <c r="B47" s="406" t="s">
        <v>521</v>
      </c>
      <c r="C47" s="454"/>
      <c r="D47" s="105" t="s">
        <v>137</v>
      </c>
      <c r="E47" s="137">
        <v>0.02</v>
      </c>
      <c r="F47" s="423">
        <v>16355.57</v>
      </c>
      <c r="G47" s="423"/>
    </row>
    <row r="48" spans="1:10" ht="13.5" customHeight="1" x14ac:dyDescent="0.25">
      <c r="A48" s="34" t="s">
        <v>74</v>
      </c>
      <c r="B48" s="406" t="s">
        <v>522</v>
      </c>
      <c r="C48" s="454"/>
      <c r="D48" s="105" t="s">
        <v>137</v>
      </c>
      <c r="E48" s="137">
        <v>0.04</v>
      </c>
      <c r="F48" s="423">
        <v>22992.06</v>
      </c>
      <c r="G48" s="423"/>
    </row>
    <row r="49" spans="1:9" ht="13.5" customHeight="1" x14ac:dyDescent="0.25">
      <c r="A49" s="34" t="s">
        <v>81</v>
      </c>
      <c r="B49" s="406" t="s">
        <v>408</v>
      </c>
      <c r="C49" s="454"/>
      <c r="D49" s="105" t="s">
        <v>100</v>
      </c>
      <c r="E49" s="137">
        <v>1</v>
      </c>
      <c r="F49" s="423">
        <v>27996</v>
      </c>
      <c r="G49" s="423"/>
    </row>
    <row r="50" spans="1:9" ht="13.5" customHeight="1" x14ac:dyDescent="0.25">
      <c r="A50" s="34" t="s">
        <v>82</v>
      </c>
      <c r="B50" s="133" t="s">
        <v>108</v>
      </c>
      <c r="C50" s="134"/>
      <c r="D50" s="105"/>
      <c r="E50" s="105"/>
      <c r="F50" s="435">
        <f>E25*1%</f>
        <v>1274.6680000000001</v>
      </c>
      <c r="G50" s="435"/>
    </row>
    <row r="51" spans="1:9" ht="13.5" customHeight="1" x14ac:dyDescent="0.25">
      <c r="A51" s="59"/>
      <c r="B51" s="59"/>
      <c r="C51" s="59"/>
      <c r="D51" s="59"/>
      <c r="E51" s="59"/>
      <c r="F51" s="59"/>
      <c r="G51" s="59"/>
    </row>
    <row r="52" spans="1:9" s="59" customFormat="1" x14ac:dyDescent="0.25">
      <c r="A52" s="51" t="s">
        <v>372</v>
      </c>
      <c r="C52" s="59" t="s">
        <v>49</v>
      </c>
      <c r="F52" s="59" t="s">
        <v>60</v>
      </c>
      <c r="H52" s="35"/>
      <c r="I52" s="35"/>
    </row>
    <row r="53" spans="1:9" s="59" customFormat="1" x14ac:dyDescent="0.25">
      <c r="F53" s="111" t="s">
        <v>438</v>
      </c>
      <c r="H53" s="35"/>
      <c r="I53" s="35"/>
    </row>
    <row r="54" spans="1:9" s="59" customFormat="1" ht="13.5" customHeight="1" x14ac:dyDescent="0.25">
      <c r="A54" s="59" t="s">
        <v>50</v>
      </c>
      <c r="H54" s="35"/>
      <c r="I54" s="35"/>
    </row>
    <row r="55" spans="1:9" s="59" customFormat="1" x14ac:dyDescent="0.25">
      <c r="C55" s="113" t="s">
        <v>51</v>
      </c>
      <c r="E55" s="113"/>
      <c r="F55" s="113"/>
      <c r="G55" s="113"/>
    </row>
    <row r="56" spans="1:9" s="59" customFormat="1" x14ac:dyDescent="0.25"/>
  </sheetData>
  <mergeCells count="32">
    <mergeCell ref="B47:C47"/>
    <mergeCell ref="B48:C48"/>
    <mergeCell ref="F47:G47"/>
    <mergeCell ref="F48:G48"/>
    <mergeCell ref="B49:C49"/>
    <mergeCell ref="F49:G49"/>
    <mergeCell ref="A1:I1"/>
    <mergeCell ref="A3:K3"/>
    <mergeCell ref="A5:I5"/>
    <mergeCell ref="A11:I11"/>
    <mergeCell ref="A10:I10"/>
    <mergeCell ref="A2:K2"/>
    <mergeCell ref="B42:C42"/>
    <mergeCell ref="A12:I12"/>
    <mergeCell ref="A35:C35"/>
    <mergeCell ref="A34:F34"/>
    <mergeCell ref="F43:G43"/>
    <mergeCell ref="F44:G44"/>
    <mergeCell ref="B43:C43"/>
    <mergeCell ref="B44:C44"/>
    <mergeCell ref="B41:C41"/>
    <mergeCell ref="C33:F33"/>
    <mergeCell ref="F50:G50"/>
    <mergeCell ref="F41:G41"/>
    <mergeCell ref="B46:C46"/>
    <mergeCell ref="F46:G46"/>
    <mergeCell ref="B40:C40"/>
    <mergeCell ref="A38:I38"/>
    <mergeCell ref="F40:G40"/>
    <mergeCell ref="F42:G42"/>
    <mergeCell ref="B45:C45"/>
    <mergeCell ref="F45:G45"/>
  </mergeCells>
  <phoneticPr fontId="14" type="noConversion"/>
  <pageMargins left="0" right="0" top="0" bottom="0" header="0.31496062992125984" footer="0.31496062992125984"/>
  <pageSetup paperSize="9" scale="99" orientation="portrait" verticalDpi="0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2EF85F-E238-4B13-ADFC-E4FE86A9467A}">
  <sheetPr>
    <tabColor rgb="FF7030A0"/>
  </sheetPr>
  <dimension ref="A1:O53"/>
  <sheetViews>
    <sheetView topLeftCell="A27" zoomScaleNormal="100" workbookViewId="0">
      <selection activeCell="A54" sqref="A54:IV55"/>
    </sheetView>
  </sheetViews>
  <sheetFormatPr defaultRowHeight="15" outlineLevelRow="1" outlineLevelCol="1" x14ac:dyDescent="0.25"/>
  <cols>
    <col min="1" max="1" width="4.7109375" style="35" customWidth="1"/>
    <col min="2" max="2" width="40.42578125" style="35" customWidth="1"/>
    <col min="3" max="3" width="13.28515625" style="35" customWidth="1"/>
    <col min="4" max="5" width="12.7109375" style="35" customWidth="1"/>
    <col min="6" max="6" width="15" style="35" customWidth="1"/>
    <col min="7" max="7" width="13.42578125" style="35" customWidth="1"/>
    <col min="8" max="8" width="10.85546875" style="35" hidden="1" customWidth="1" outlineLevel="1"/>
    <col min="9" max="9" width="13.42578125" style="35" hidden="1" customWidth="1" outlineLevel="1"/>
    <col min="10" max="12" width="9.140625" style="35" hidden="1" customWidth="1" outlineLevel="1"/>
    <col min="13" max="13" width="9.140625" style="35" collapsed="1"/>
    <col min="14" max="16384" width="9.140625" style="35"/>
  </cols>
  <sheetData>
    <row r="1" spans="1:15" x14ac:dyDescent="0.25">
      <c r="A1" s="397" t="s">
        <v>0</v>
      </c>
      <c r="B1" s="397"/>
      <c r="C1" s="397"/>
      <c r="D1" s="397"/>
      <c r="E1" s="397"/>
      <c r="F1" s="397"/>
      <c r="G1" s="397"/>
      <c r="H1" s="397"/>
      <c r="I1" s="397"/>
    </row>
    <row r="2" spans="1:15" ht="15" customHeight="1" x14ac:dyDescent="0.25">
      <c r="A2" s="370" t="s">
        <v>152</v>
      </c>
      <c r="B2" s="370"/>
      <c r="C2" s="370"/>
      <c r="D2" s="370"/>
      <c r="E2" s="370"/>
      <c r="F2" s="370"/>
      <c r="G2" s="370"/>
      <c r="H2" s="370"/>
      <c r="I2" s="370"/>
      <c r="J2" s="370"/>
      <c r="K2" s="370"/>
    </row>
    <row r="3" spans="1:15" ht="15" customHeight="1" x14ac:dyDescent="0.25">
      <c r="A3" s="370" t="s">
        <v>426</v>
      </c>
      <c r="B3" s="370"/>
      <c r="C3" s="370"/>
      <c r="D3" s="370"/>
      <c r="E3" s="370"/>
      <c r="F3" s="370"/>
      <c r="G3" s="370"/>
      <c r="H3" s="370"/>
      <c r="I3" s="370"/>
      <c r="J3" s="370"/>
      <c r="K3" s="370"/>
    </row>
    <row r="4" spans="1:15" ht="6" customHeight="1" x14ac:dyDescent="0.25">
      <c r="A4" s="142"/>
      <c r="B4" s="142"/>
      <c r="C4" s="142"/>
      <c r="D4" s="142"/>
      <c r="E4" s="142"/>
      <c r="F4" s="142"/>
      <c r="G4" s="142"/>
      <c r="H4" s="142"/>
      <c r="I4" s="142"/>
    </row>
    <row r="5" spans="1:15" ht="14.25" customHeight="1" x14ac:dyDescent="0.25">
      <c r="A5" s="398" t="s">
        <v>1</v>
      </c>
      <c r="B5" s="397"/>
      <c r="C5" s="397"/>
      <c r="D5" s="397"/>
      <c r="E5" s="397"/>
      <c r="F5" s="397"/>
      <c r="G5" s="397"/>
      <c r="H5" s="397"/>
      <c r="I5" s="397"/>
    </row>
    <row r="6" spans="1:15" ht="3" customHeight="1" x14ac:dyDescent="0.25"/>
    <row r="7" spans="1:15" s="59" customFormat="1" ht="16.5" customHeight="1" x14ac:dyDescent="0.25">
      <c r="A7" s="59" t="s">
        <v>2</v>
      </c>
      <c r="F7" s="111" t="s">
        <v>238</v>
      </c>
    </row>
    <row r="8" spans="1:15" s="59" customFormat="1" x14ac:dyDescent="0.25">
      <c r="A8" s="59" t="s">
        <v>3</v>
      </c>
      <c r="F8" s="239" t="s">
        <v>239</v>
      </c>
      <c r="H8" s="180">
        <v>0</v>
      </c>
      <c r="I8" s="110">
        <v>4229.6000000000004</v>
      </c>
      <c r="J8" s="283">
        <f>H8+I8</f>
        <v>4229.6000000000004</v>
      </c>
    </row>
    <row r="9" spans="1:15" s="59" customFormat="1" x14ac:dyDescent="0.25">
      <c r="A9" s="372" t="s">
        <v>8</v>
      </c>
      <c r="B9" s="372"/>
      <c r="C9" s="372"/>
      <c r="D9" s="372"/>
      <c r="E9" s="372"/>
      <c r="F9" s="372"/>
      <c r="G9" s="372"/>
      <c r="H9" s="372"/>
      <c r="I9" s="372"/>
    </row>
    <row r="10" spans="1:15" s="59" customFormat="1" x14ac:dyDescent="0.25">
      <c r="A10" s="372" t="s">
        <v>9</v>
      </c>
      <c r="B10" s="372"/>
      <c r="C10" s="372"/>
      <c r="D10" s="372"/>
      <c r="E10" s="372"/>
      <c r="F10" s="372"/>
      <c r="G10" s="372"/>
      <c r="H10" s="372"/>
      <c r="I10" s="372"/>
    </row>
    <row r="11" spans="1:15" s="59" customFormat="1" x14ac:dyDescent="0.25">
      <c r="A11" s="372" t="s">
        <v>10</v>
      </c>
      <c r="B11" s="372"/>
      <c r="C11" s="372"/>
      <c r="D11" s="372"/>
      <c r="E11" s="372"/>
      <c r="F11" s="372"/>
      <c r="G11" s="372"/>
      <c r="H11" s="372"/>
      <c r="I11" s="372"/>
    </row>
    <row r="12" spans="1:15" s="59" customFormat="1" ht="6" customHeight="1" thickBot="1" x14ac:dyDescent="0.3">
      <c r="A12" s="60"/>
      <c r="B12" s="60"/>
      <c r="C12" s="60"/>
      <c r="D12" s="38"/>
      <c r="E12" s="58"/>
      <c r="F12" s="58"/>
      <c r="G12" s="58"/>
      <c r="H12" s="54"/>
      <c r="I12" s="54"/>
    </row>
    <row r="13" spans="1:15" s="59" customFormat="1" ht="15.75" thickBot="1" x14ac:dyDescent="0.3">
      <c r="A13" s="55" t="s">
        <v>381</v>
      </c>
      <c r="B13" s="56"/>
      <c r="C13" s="56"/>
      <c r="D13" s="61"/>
      <c r="E13" s="62"/>
      <c r="F13" s="62"/>
      <c r="G13" s="232">
        <f>'[1]Труда 26'!$G$36</f>
        <v>152607.48889999997</v>
      </c>
      <c r="H13" s="54"/>
      <c r="I13" s="54"/>
      <c r="O13" s="111"/>
    </row>
    <row r="14" spans="1:15" s="59" customFormat="1" ht="6.75" customHeight="1" x14ac:dyDescent="0.25"/>
    <row r="15" spans="1:15" s="66" customFormat="1" ht="38.25" x14ac:dyDescent="0.25">
      <c r="A15" s="64" t="s">
        <v>11</v>
      </c>
      <c r="B15" s="64" t="s">
        <v>12</v>
      </c>
      <c r="C15" s="64" t="s">
        <v>61</v>
      </c>
      <c r="D15" s="64" t="s">
        <v>432</v>
      </c>
      <c r="E15" s="64" t="s">
        <v>433</v>
      </c>
      <c r="F15" s="65" t="s">
        <v>434</v>
      </c>
      <c r="G15" s="64" t="s">
        <v>435</v>
      </c>
    </row>
    <row r="16" spans="1:15" s="59" customFormat="1" x14ac:dyDescent="0.25">
      <c r="A16" s="67" t="s">
        <v>14</v>
      </c>
      <c r="B16" s="39" t="s">
        <v>379</v>
      </c>
      <c r="C16" s="120">
        <v>23.85</v>
      </c>
      <c r="D16" s="68">
        <v>1210514.1599999999</v>
      </c>
      <c r="E16" s="68">
        <v>1201732.1499999999</v>
      </c>
      <c r="F16" s="68">
        <f t="shared" ref="F16:F22" si="0">D16</f>
        <v>1210514.1599999999</v>
      </c>
      <c r="G16" s="69">
        <f>D16-E16</f>
        <v>8782.0100000000093</v>
      </c>
      <c r="H16" s="70">
        <f>C16</f>
        <v>23.85</v>
      </c>
      <c r="I16" s="152"/>
      <c r="K16" s="59">
        <f>D16/12/J8</f>
        <v>23.850052014374878</v>
      </c>
    </row>
    <row r="17" spans="1:10" s="59" customFormat="1" hidden="1" outlineLevel="1" x14ac:dyDescent="0.25">
      <c r="A17" s="73" t="s">
        <v>16</v>
      </c>
      <c r="B17" s="34" t="s">
        <v>17</v>
      </c>
      <c r="C17" s="89">
        <v>3.46</v>
      </c>
      <c r="D17" s="75">
        <f>D16*I17</f>
        <v>175613.37499371066</v>
      </c>
      <c r="E17" s="75">
        <f>E16*I17</f>
        <v>174339.33916142554</v>
      </c>
      <c r="F17" s="75">
        <f t="shared" si="0"/>
        <v>175613.37499371066</v>
      </c>
      <c r="G17" s="76">
        <f>D17-E17</f>
        <v>1274.0358322851243</v>
      </c>
      <c r="H17" s="70">
        <f>C17</f>
        <v>3.46</v>
      </c>
      <c r="I17" s="59">
        <f>H17/H16</f>
        <v>0.14507337526205449</v>
      </c>
    </row>
    <row r="18" spans="1:10" s="59" customFormat="1" hidden="1" outlineLevel="1" x14ac:dyDescent="0.25">
      <c r="A18" s="73" t="s">
        <v>18</v>
      </c>
      <c r="B18" s="34" t="s">
        <v>19</v>
      </c>
      <c r="C18" s="89">
        <v>1.69</v>
      </c>
      <c r="D18" s="75">
        <f>D16*I18</f>
        <v>85776.475069182372</v>
      </c>
      <c r="E18" s="75">
        <f>E16*I18</f>
        <v>85154.185890985304</v>
      </c>
      <c r="F18" s="75">
        <f t="shared" si="0"/>
        <v>85776.475069182372</v>
      </c>
      <c r="G18" s="76">
        <f>D18-E18</f>
        <v>622.2891781970684</v>
      </c>
      <c r="H18" s="70">
        <f>C18</f>
        <v>1.69</v>
      </c>
      <c r="I18" s="59">
        <f>H18/H16</f>
        <v>7.0859538784067075E-2</v>
      </c>
    </row>
    <row r="19" spans="1:10" s="59" customFormat="1" hidden="1" outlineLevel="1" x14ac:dyDescent="0.25">
      <c r="A19" s="73" t="s">
        <v>20</v>
      </c>
      <c r="B19" s="34" t="s">
        <v>21</v>
      </c>
      <c r="C19" s="89">
        <v>2.15</v>
      </c>
      <c r="D19" s="75">
        <f>D16*I19</f>
        <v>109123.91798742136</v>
      </c>
      <c r="E19" s="75">
        <f>E16*I19</f>
        <v>108332.24832285113</v>
      </c>
      <c r="F19" s="75">
        <f t="shared" si="0"/>
        <v>109123.91798742136</v>
      </c>
      <c r="G19" s="76">
        <f>D19-E19</f>
        <v>791.66966457023227</v>
      </c>
      <c r="H19" s="70">
        <f>C19</f>
        <v>2.15</v>
      </c>
      <c r="I19" s="59">
        <f>H19/H16</f>
        <v>9.0146750524109004E-2</v>
      </c>
    </row>
    <row r="20" spans="1:10" s="59" customFormat="1" hidden="1" outlineLevel="1" x14ac:dyDescent="0.25">
      <c r="A20" s="73" t="s">
        <v>22</v>
      </c>
      <c r="B20" s="34" t="s">
        <v>23</v>
      </c>
      <c r="C20" s="89">
        <v>3.04</v>
      </c>
      <c r="D20" s="75">
        <f>D16*I20</f>
        <v>154296.14450314463</v>
      </c>
      <c r="E20" s="75">
        <f>E16*I20</f>
        <v>153176.76041928719</v>
      </c>
      <c r="F20" s="75">
        <f t="shared" si="0"/>
        <v>154296.14450314463</v>
      </c>
      <c r="G20" s="76">
        <f>D20-E20</f>
        <v>1119.3840838574397</v>
      </c>
      <c r="H20" s="70">
        <f>C20</f>
        <v>3.04</v>
      </c>
      <c r="I20" s="59">
        <f>H20/H16</f>
        <v>0.12746331236897274</v>
      </c>
    </row>
    <row r="21" spans="1:10" collapsed="1" x14ac:dyDescent="0.25">
      <c r="A21" s="39" t="s">
        <v>25</v>
      </c>
      <c r="B21" s="39" t="s">
        <v>26</v>
      </c>
      <c r="C21" s="126">
        <v>0</v>
      </c>
      <c r="D21" s="69">
        <v>0</v>
      </c>
      <c r="E21" s="69">
        <v>0</v>
      </c>
      <c r="F21" s="68">
        <f t="shared" si="0"/>
        <v>0</v>
      </c>
      <c r="G21" s="69">
        <f t="shared" ref="G21:G31" si="1">D21-E21</f>
        <v>0</v>
      </c>
      <c r="H21" s="37"/>
      <c r="I21" s="37"/>
    </row>
    <row r="22" spans="1:10" ht="29.25" x14ac:dyDescent="0.25">
      <c r="A22" s="39" t="s">
        <v>27</v>
      </c>
      <c r="B22" s="39" t="s">
        <v>121</v>
      </c>
      <c r="C22" s="357">
        <v>125</v>
      </c>
      <c r="D22" s="69">
        <v>0</v>
      </c>
      <c r="E22" s="69">
        <v>486.96</v>
      </c>
      <c r="F22" s="69">
        <f t="shared" si="0"/>
        <v>0</v>
      </c>
      <c r="G22" s="69">
        <f t="shared" si="1"/>
        <v>-486.96</v>
      </c>
      <c r="H22" s="37"/>
      <c r="I22" s="272"/>
    </row>
    <row r="23" spans="1:10" x14ac:dyDescent="0.25">
      <c r="A23" s="39" t="s">
        <v>29</v>
      </c>
      <c r="B23" s="39" t="s">
        <v>62</v>
      </c>
      <c r="C23" s="126">
        <v>0</v>
      </c>
      <c r="D23" s="69">
        <v>0</v>
      </c>
      <c r="E23" s="69">
        <v>0</v>
      </c>
      <c r="F23" s="69">
        <v>0</v>
      </c>
      <c r="G23" s="69">
        <f t="shared" si="1"/>
        <v>0</v>
      </c>
      <c r="H23" s="37"/>
      <c r="I23" s="37"/>
    </row>
    <row r="24" spans="1:10" x14ac:dyDescent="0.25">
      <c r="A24" s="39" t="s">
        <v>31</v>
      </c>
      <c r="B24" s="39" t="s">
        <v>80</v>
      </c>
      <c r="C24" s="126">
        <v>5</v>
      </c>
      <c r="D24" s="69">
        <v>253776</v>
      </c>
      <c r="E24" s="69">
        <v>253106.41</v>
      </c>
      <c r="F24" s="79">
        <f>F40</f>
        <v>29078.894100000001</v>
      </c>
      <c r="G24" s="69">
        <f t="shared" si="1"/>
        <v>669.58999999999651</v>
      </c>
      <c r="H24" s="37"/>
      <c r="I24" s="37"/>
    </row>
    <row r="25" spans="1:10" x14ac:dyDescent="0.25">
      <c r="A25" s="189">
        <v>6</v>
      </c>
      <c r="B25" s="78" t="s">
        <v>97</v>
      </c>
      <c r="C25" s="357">
        <v>0</v>
      </c>
      <c r="D25" s="69">
        <v>0</v>
      </c>
      <c r="E25" s="69">
        <v>0</v>
      </c>
      <c r="F25" s="79">
        <f>D25</f>
        <v>0</v>
      </c>
      <c r="G25" s="69">
        <f t="shared" si="1"/>
        <v>0</v>
      </c>
      <c r="H25" s="37"/>
      <c r="I25" s="37"/>
    </row>
    <row r="26" spans="1:10" x14ac:dyDescent="0.25">
      <c r="A26" s="189">
        <f>A25+1</f>
        <v>7</v>
      </c>
      <c r="B26" s="39" t="s">
        <v>36</v>
      </c>
      <c r="C26" s="127"/>
      <c r="D26" s="69">
        <f>SUM(D27:D30)</f>
        <v>3570532.32</v>
      </c>
      <c r="E26" s="69">
        <f>SUM(E27:E30)</f>
        <v>3536456.7800000003</v>
      </c>
      <c r="F26" s="69">
        <f>SUM(F27:F30)</f>
        <v>3570532.32</v>
      </c>
      <c r="G26" s="69">
        <f t="shared" si="1"/>
        <v>34075.539999999572</v>
      </c>
      <c r="H26" s="37"/>
      <c r="I26" s="37"/>
    </row>
    <row r="27" spans="1:10" x14ac:dyDescent="0.25">
      <c r="A27" s="190" t="s">
        <v>37</v>
      </c>
      <c r="B27" s="34" t="s">
        <v>63</v>
      </c>
      <c r="C27" s="89">
        <v>7.36</v>
      </c>
      <c r="D27" s="76">
        <v>40735.599999999999</v>
      </c>
      <c r="E27" s="76">
        <v>40130.730000000003</v>
      </c>
      <c r="F27" s="76">
        <f>D27</f>
        <v>40735.599999999999</v>
      </c>
      <c r="G27" s="76">
        <f t="shared" si="1"/>
        <v>604.86999999999534</v>
      </c>
    </row>
    <row r="28" spans="1:10" x14ac:dyDescent="0.25">
      <c r="A28" s="190" t="s">
        <v>39</v>
      </c>
      <c r="B28" s="34" t="s">
        <v>84</v>
      </c>
      <c r="C28" s="89">
        <v>88.38</v>
      </c>
      <c r="D28" s="76">
        <v>581460.54</v>
      </c>
      <c r="E28" s="76">
        <v>571692.73</v>
      </c>
      <c r="F28" s="76">
        <f>D28</f>
        <v>581460.54</v>
      </c>
      <c r="G28" s="76">
        <f t="shared" si="1"/>
        <v>9767.8100000000559</v>
      </c>
    </row>
    <row r="29" spans="1:10" x14ac:dyDescent="0.25">
      <c r="A29" s="190" t="s">
        <v>42</v>
      </c>
      <c r="B29" s="34" t="s">
        <v>135</v>
      </c>
      <c r="C29" s="128">
        <v>278.94</v>
      </c>
      <c r="D29" s="76">
        <v>748512.99</v>
      </c>
      <c r="E29" s="76">
        <v>729160.55</v>
      </c>
      <c r="F29" s="76">
        <f>D29</f>
        <v>748512.99</v>
      </c>
      <c r="G29" s="76">
        <f t="shared" si="1"/>
        <v>19352.439999999944</v>
      </c>
    </row>
    <row r="30" spans="1:10" x14ac:dyDescent="0.25">
      <c r="A30" s="190" t="s">
        <v>41</v>
      </c>
      <c r="B30" s="34" t="s">
        <v>43</v>
      </c>
      <c r="C30" s="89">
        <v>3352.42</v>
      </c>
      <c r="D30" s="76">
        <v>2199823.19</v>
      </c>
      <c r="E30" s="76">
        <v>2195472.77</v>
      </c>
      <c r="F30" s="76">
        <f>D30</f>
        <v>2199823.19</v>
      </c>
      <c r="G30" s="76">
        <f t="shared" si="1"/>
        <v>4350.4199999999255</v>
      </c>
    </row>
    <row r="31" spans="1:10" ht="29.25" hidden="1" outlineLevel="1" x14ac:dyDescent="0.25">
      <c r="A31" s="189" t="s">
        <v>130</v>
      </c>
      <c r="B31" s="300" t="s">
        <v>140</v>
      </c>
      <c r="C31" s="298"/>
      <c r="D31" s="248">
        <v>1800</v>
      </c>
      <c r="E31" s="248">
        <v>1800</v>
      </c>
      <c r="F31" s="248"/>
      <c r="G31" s="248">
        <f t="shared" si="1"/>
        <v>0</v>
      </c>
    </row>
    <row r="32" spans="1:10" s="92" customFormat="1" ht="22.5" hidden="1" customHeight="1" outlineLevel="1" x14ac:dyDescent="0.25">
      <c r="A32" s="299"/>
      <c r="B32" s="287"/>
      <c r="C32" s="376" t="s">
        <v>246</v>
      </c>
      <c r="D32" s="377"/>
      <c r="E32" s="377"/>
      <c r="F32" s="377"/>
      <c r="G32" s="82">
        <f>E31-(E31*15%)</f>
        <v>1530</v>
      </c>
      <c r="H32" s="91"/>
      <c r="I32" s="91"/>
      <c r="J32" s="91"/>
    </row>
    <row r="33" spans="1:10" s="92" customFormat="1" ht="23.25" customHeight="1" collapsed="1" thickBot="1" x14ac:dyDescent="0.3">
      <c r="A33" s="373"/>
      <c r="B33" s="374"/>
      <c r="C33" s="374"/>
      <c r="D33" s="375"/>
      <c r="E33" s="375"/>
      <c r="F33" s="375"/>
      <c r="G33" s="91"/>
      <c r="H33" s="91"/>
      <c r="I33" s="91"/>
      <c r="J33" s="91"/>
    </row>
    <row r="34" spans="1:10" s="59" customFormat="1" ht="15.75" thickBot="1" x14ac:dyDescent="0.3">
      <c r="A34" s="387" t="s">
        <v>427</v>
      </c>
      <c r="B34" s="388"/>
      <c r="C34" s="388"/>
      <c r="D34" s="57">
        <v>43040.18</v>
      </c>
      <c r="E34" s="58"/>
      <c r="F34" s="58"/>
      <c r="G34" s="58"/>
      <c r="H34" s="54"/>
      <c r="I34" s="54"/>
    </row>
    <row r="35" spans="1:10" s="59" customFormat="1" ht="6" customHeight="1" thickBot="1" x14ac:dyDescent="0.3">
      <c r="A35" s="60"/>
      <c r="B35" s="60"/>
      <c r="C35" s="60"/>
      <c r="D35" s="38"/>
      <c r="E35" s="58"/>
      <c r="F35" s="58"/>
      <c r="G35" s="58"/>
      <c r="H35" s="54"/>
      <c r="I35" s="54"/>
    </row>
    <row r="36" spans="1:10" s="59" customFormat="1" ht="15.75" thickBot="1" x14ac:dyDescent="0.3">
      <c r="A36" s="55" t="s">
        <v>428</v>
      </c>
      <c r="B36" s="56"/>
      <c r="C36" s="56"/>
      <c r="D36" s="61"/>
      <c r="E36" s="62"/>
      <c r="F36" s="62"/>
      <c r="G36" s="129">
        <f>G13+E24-F24</f>
        <v>376635.0048</v>
      </c>
      <c r="H36" s="54"/>
      <c r="I36" s="54"/>
    </row>
    <row r="37" spans="1:10" ht="26.25" customHeight="1" x14ac:dyDescent="0.25">
      <c r="A37" s="485" t="s">
        <v>44</v>
      </c>
      <c r="B37" s="485"/>
      <c r="C37" s="485"/>
      <c r="D37" s="485"/>
      <c r="E37" s="485"/>
      <c r="F37" s="485"/>
      <c r="G37" s="485"/>
      <c r="H37" s="485"/>
      <c r="I37" s="485"/>
    </row>
    <row r="38" spans="1:10" ht="3.75" customHeight="1" x14ac:dyDescent="0.25"/>
    <row r="39" spans="1:10" s="156" customFormat="1" ht="28.5" customHeight="1" x14ac:dyDescent="0.25">
      <c r="A39" s="94" t="s">
        <v>11</v>
      </c>
      <c r="B39" s="416" t="s">
        <v>45</v>
      </c>
      <c r="C39" s="425"/>
      <c r="D39" s="94" t="s">
        <v>99</v>
      </c>
      <c r="E39" s="94" t="s">
        <v>98</v>
      </c>
      <c r="F39" s="416" t="s">
        <v>46</v>
      </c>
      <c r="G39" s="425"/>
    </row>
    <row r="40" spans="1:10" s="103" customFormat="1" ht="13.5" customHeight="1" x14ac:dyDescent="0.25">
      <c r="A40" s="98" t="s">
        <v>47</v>
      </c>
      <c r="B40" s="418" t="s">
        <v>75</v>
      </c>
      <c r="C40" s="430"/>
      <c r="D40" s="99"/>
      <c r="E40" s="99"/>
      <c r="F40" s="436">
        <f>SUM(F41:L45)</f>
        <v>29078.894100000001</v>
      </c>
      <c r="G40" s="424"/>
    </row>
    <row r="41" spans="1:10" ht="13.5" customHeight="1" x14ac:dyDescent="0.25">
      <c r="A41" s="34" t="s">
        <v>16</v>
      </c>
      <c r="B41" s="406" t="s">
        <v>523</v>
      </c>
      <c r="C41" s="431"/>
      <c r="D41" s="176" t="s">
        <v>137</v>
      </c>
      <c r="E41" s="176">
        <v>0.06</v>
      </c>
      <c r="F41" s="435">
        <v>6325.67</v>
      </c>
      <c r="G41" s="435"/>
    </row>
    <row r="42" spans="1:10" ht="13.5" customHeight="1" x14ac:dyDescent="0.25">
      <c r="A42" s="34" t="s">
        <v>18</v>
      </c>
      <c r="B42" s="406" t="s">
        <v>518</v>
      </c>
      <c r="C42" s="431"/>
      <c r="D42" s="105" t="s">
        <v>137</v>
      </c>
      <c r="E42" s="105">
        <v>0.08</v>
      </c>
      <c r="F42" s="435">
        <v>8942.86</v>
      </c>
      <c r="G42" s="435"/>
    </row>
    <row r="43" spans="1:10" ht="18.600000000000001" customHeight="1" x14ac:dyDescent="0.25">
      <c r="A43" s="34" t="s">
        <v>20</v>
      </c>
      <c r="B43" s="406" t="s">
        <v>616</v>
      </c>
      <c r="C43" s="431"/>
      <c r="D43" s="105" t="s">
        <v>137</v>
      </c>
      <c r="E43" s="107">
        <v>7.4999999999999997E-2</v>
      </c>
      <c r="F43" s="466">
        <v>11279.3</v>
      </c>
      <c r="G43" s="467"/>
    </row>
    <row r="44" spans="1:10" ht="13.5" customHeight="1" x14ac:dyDescent="0.25">
      <c r="A44" s="34" t="s">
        <v>22</v>
      </c>
      <c r="B44" s="412"/>
      <c r="C44" s="517"/>
      <c r="D44" s="258"/>
      <c r="E44" s="263"/>
      <c r="F44" s="429"/>
      <c r="G44" s="429"/>
    </row>
    <row r="45" spans="1:10" ht="13.5" customHeight="1" x14ac:dyDescent="0.25">
      <c r="A45" s="34" t="s">
        <v>24</v>
      </c>
      <c r="B45" s="133" t="s">
        <v>108</v>
      </c>
      <c r="C45" s="134"/>
      <c r="D45" s="105"/>
      <c r="E45" s="105"/>
      <c r="F45" s="435">
        <f>E24*1%</f>
        <v>2531.0641000000001</v>
      </c>
      <c r="G45" s="435"/>
      <c r="H45" s="59"/>
      <c r="I45" s="59"/>
    </row>
    <row r="46" spans="1:10" ht="13.5" customHeight="1" x14ac:dyDescent="0.25">
      <c r="A46" s="59"/>
      <c r="B46" s="59"/>
      <c r="C46" s="59"/>
      <c r="D46" s="59"/>
      <c r="E46" s="59"/>
      <c r="F46" s="59"/>
      <c r="G46" s="59"/>
    </row>
    <row r="47" spans="1:10" ht="13.5" customHeight="1" x14ac:dyDescent="0.25">
      <c r="A47" s="51" t="s">
        <v>372</v>
      </c>
      <c r="B47" s="59"/>
      <c r="C47" s="59" t="s">
        <v>49</v>
      </c>
      <c r="D47" s="59"/>
      <c r="E47" s="59"/>
      <c r="F47" s="59" t="s">
        <v>60</v>
      </c>
      <c r="G47" s="59"/>
    </row>
    <row r="48" spans="1:10" ht="13.5" customHeight="1" x14ac:dyDescent="0.25">
      <c r="A48" s="59"/>
      <c r="B48" s="59"/>
      <c r="C48" s="59"/>
      <c r="D48" s="59"/>
      <c r="E48" s="59"/>
      <c r="F48" s="111" t="s">
        <v>438</v>
      </c>
      <c r="G48" s="59"/>
    </row>
    <row r="49" spans="1:7" ht="13.5" customHeight="1" x14ac:dyDescent="0.25">
      <c r="A49" s="59" t="s">
        <v>50</v>
      </c>
      <c r="B49" s="59"/>
      <c r="C49" s="59"/>
      <c r="D49" s="59"/>
      <c r="E49" s="59"/>
      <c r="F49" s="59"/>
      <c r="G49" s="59"/>
    </row>
    <row r="50" spans="1:7" ht="13.5" customHeight="1" x14ac:dyDescent="0.25">
      <c r="A50" s="59"/>
      <c r="B50" s="59"/>
      <c r="C50" s="113" t="s">
        <v>51</v>
      </c>
      <c r="D50" s="59"/>
      <c r="E50" s="113"/>
      <c r="F50" s="113"/>
      <c r="G50" s="113"/>
    </row>
    <row r="51" spans="1:7" s="59" customFormat="1" x14ac:dyDescent="0.25"/>
    <row r="52" spans="1:7" s="59" customFormat="1" x14ac:dyDescent="0.25"/>
    <row r="53" spans="1:7" s="59" customFormat="1" x14ac:dyDescent="0.25"/>
  </sheetData>
  <mergeCells count="24">
    <mergeCell ref="F45:G45"/>
    <mergeCell ref="B42:C42"/>
    <mergeCell ref="F44:G44"/>
    <mergeCell ref="F43:G43"/>
    <mergeCell ref="B43:C43"/>
    <mergeCell ref="B41:C41"/>
    <mergeCell ref="A34:C34"/>
    <mergeCell ref="A37:I37"/>
    <mergeCell ref="B39:C39"/>
    <mergeCell ref="C32:F32"/>
    <mergeCell ref="B44:C44"/>
    <mergeCell ref="F42:G42"/>
    <mergeCell ref="B40:C40"/>
    <mergeCell ref="F40:G40"/>
    <mergeCell ref="F41:G41"/>
    <mergeCell ref="F39:G39"/>
    <mergeCell ref="A33:F33"/>
    <mergeCell ref="A1:I1"/>
    <mergeCell ref="A3:K3"/>
    <mergeCell ref="A5:I5"/>
    <mergeCell ref="A9:I9"/>
    <mergeCell ref="A10:I10"/>
    <mergeCell ref="A11:I11"/>
    <mergeCell ref="A2:K2"/>
  </mergeCells>
  <phoneticPr fontId="14" type="noConversion"/>
  <pageMargins left="0" right="0" top="0" bottom="0" header="0.31496062992125984" footer="0.31496062992125984"/>
  <pageSetup paperSize="9" scale="99" orientation="landscape" verticalDpi="0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3EDF03-6177-4FA7-884A-D5B1ED6CF9DC}">
  <sheetPr>
    <tabColor rgb="FF7030A0"/>
  </sheetPr>
  <dimension ref="A1:M50"/>
  <sheetViews>
    <sheetView topLeftCell="A34" zoomScaleNormal="100" workbookViewId="0">
      <selection activeCell="A51" sqref="A51:IV52"/>
    </sheetView>
  </sheetViews>
  <sheetFormatPr defaultRowHeight="15" outlineLevelRow="1" outlineLevelCol="1" x14ac:dyDescent="0.25"/>
  <cols>
    <col min="1" max="1" width="4.7109375" style="35" customWidth="1"/>
    <col min="2" max="2" width="40.7109375" style="35" customWidth="1"/>
    <col min="3" max="3" width="14.140625" style="35" customWidth="1"/>
    <col min="4" max="5" width="12.7109375" style="35" customWidth="1"/>
    <col min="6" max="6" width="14.5703125" style="35" customWidth="1"/>
    <col min="7" max="7" width="13.42578125" style="35" customWidth="1"/>
    <col min="8" max="8" width="10.85546875" style="35" hidden="1" customWidth="1" outlineLevel="1"/>
    <col min="9" max="9" width="13.42578125" style="35" hidden="1" customWidth="1" outlineLevel="1"/>
    <col min="10" max="12" width="9.140625" style="35" hidden="1" customWidth="1" outlineLevel="1"/>
    <col min="13" max="13" width="9.140625" style="35" collapsed="1"/>
    <col min="14" max="14" width="9.140625" style="35"/>
    <col min="15" max="15" width="11.42578125" style="35" bestFit="1" customWidth="1"/>
    <col min="16" max="16384" width="9.140625" style="35"/>
  </cols>
  <sheetData>
    <row r="1" spans="1:11" x14ac:dyDescent="0.25">
      <c r="A1" s="397" t="s">
        <v>0</v>
      </c>
      <c r="B1" s="397"/>
      <c r="C1" s="397"/>
      <c r="D1" s="397"/>
      <c r="E1" s="397"/>
      <c r="F1" s="397"/>
      <c r="G1" s="397"/>
      <c r="H1" s="397"/>
      <c r="I1" s="397"/>
    </row>
    <row r="2" spans="1:11" ht="15" customHeight="1" x14ac:dyDescent="0.25">
      <c r="A2" s="370" t="s">
        <v>152</v>
      </c>
      <c r="B2" s="370"/>
      <c r="C2" s="370"/>
      <c r="D2" s="370"/>
      <c r="E2" s="370"/>
      <c r="F2" s="370"/>
      <c r="G2" s="370"/>
      <c r="H2" s="370"/>
      <c r="I2" s="370"/>
      <c r="J2" s="370"/>
      <c r="K2" s="370"/>
    </row>
    <row r="3" spans="1:11" ht="15" customHeight="1" x14ac:dyDescent="0.25">
      <c r="A3" s="370" t="s">
        <v>426</v>
      </c>
      <c r="B3" s="370"/>
      <c r="C3" s="370"/>
      <c r="D3" s="370"/>
      <c r="E3" s="370"/>
      <c r="F3" s="370"/>
      <c r="G3" s="370"/>
      <c r="H3" s="370"/>
      <c r="I3" s="370"/>
      <c r="J3" s="370"/>
      <c r="K3" s="370"/>
    </row>
    <row r="4" spans="1:11" ht="6" customHeight="1" x14ac:dyDescent="0.25">
      <c r="A4" s="142"/>
      <c r="B4" s="142"/>
      <c r="C4" s="142"/>
      <c r="D4" s="142"/>
      <c r="E4" s="142"/>
      <c r="F4" s="142"/>
      <c r="G4" s="142"/>
      <c r="H4" s="142"/>
      <c r="I4" s="142"/>
    </row>
    <row r="5" spans="1:11" ht="14.25" customHeight="1" x14ac:dyDescent="0.25">
      <c r="A5" s="398" t="s">
        <v>1</v>
      </c>
      <c r="B5" s="397"/>
      <c r="C5" s="397"/>
      <c r="D5" s="397"/>
      <c r="E5" s="397"/>
      <c r="F5" s="397"/>
      <c r="G5" s="397"/>
      <c r="H5" s="397"/>
      <c r="I5" s="397"/>
    </row>
    <row r="6" spans="1:11" ht="3" customHeight="1" x14ac:dyDescent="0.25"/>
    <row r="7" spans="1:11" s="59" customFormat="1" ht="16.5" customHeight="1" x14ac:dyDescent="0.25">
      <c r="A7" s="59" t="s">
        <v>2</v>
      </c>
      <c r="F7" s="111" t="s">
        <v>240</v>
      </c>
    </row>
    <row r="8" spans="1:11" s="59" customFormat="1" x14ac:dyDescent="0.25">
      <c r="A8" s="59" t="s">
        <v>3</v>
      </c>
      <c r="F8" s="239" t="s">
        <v>241</v>
      </c>
      <c r="I8" s="180">
        <v>0</v>
      </c>
      <c r="J8" s="110">
        <v>370.8</v>
      </c>
      <c r="K8" s="283">
        <f>I8+J8</f>
        <v>370.8</v>
      </c>
    </row>
    <row r="9" spans="1:11" s="59" customFormat="1" ht="6" customHeight="1" x14ac:dyDescent="0.25"/>
    <row r="10" spans="1:11" s="59" customFormat="1" x14ac:dyDescent="0.25">
      <c r="A10" s="372" t="s">
        <v>8</v>
      </c>
      <c r="B10" s="372"/>
      <c r="C10" s="372"/>
      <c r="D10" s="372"/>
      <c r="E10" s="372"/>
      <c r="F10" s="372"/>
      <c r="G10" s="372"/>
      <c r="H10" s="372"/>
      <c r="I10" s="372"/>
    </row>
    <row r="11" spans="1:11" s="59" customFormat="1" x14ac:dyDescent="0.25">
      <c r="A11" s="372" t="s">
        <v>9</v>
      </c>
      <c r="B11" s="372"/>
      <c r="C11" s="372"/>
      <c r="D11" s="372"/>
      <c r="E11" s="372"/>
      <c r="F11" s="372"/>
      <c r="G11" s="372"/>
      <c r="H11" s="372"/>
      <c r="I11" s="372"/>
    </row>
    <row r="12" spans="1:11" s="59" customFormat="1" x14ac:dyDescent="0.25">
      <c r="A12" s="372" t="s">
        <v>10</v>
      </c>
      <c r="B12" s="372"/>
      <c r="C12" s="372"/>
      <c r="D12" s="372"/>
      <c r="E12" s="372"/>
      <c r="F12" s="372"/>
      <c r="G12" s="372"/>
      <c r="H12" s="372"/>
      <c r="I12" s="372"/>
    </row>
    <row r="13" spans="1:11" s="59" customFormat="1" ht="6" customHeight="1" thickBot="1" x14ac:dyDescent="0.3">
      <c r="A13" s="60"/>
      <c r="B13" s="60"/>
      <c r="C13" s="60"/>
      <c r="D13" s="38"/>
      <c r="E13" s="58"/>
      <c r="F13" s="58"/>
      <c r="G13" s="58"/>
      <c r="H13" s="54"/>
      <c r="I13" s="54"/>
    </row>
    <row r="14" spans="1:11" s="59" customFormat="1" ht="15.75" thickBot="1" x14ac:dyDescent="0.3">
      <c r="A14" s="55" t="s">
        <v>381</v>
      </c>
      <c r="B14" s="56"/>
      <c r="C14" s="56"/>
      <c r="D14" s="61"/>
      <c r="E14" s="62"/>
      <c r="F14" s="62"/>
      <c r="G14" s="232">
        <f>'[1]Труда 3а'!$G$35</f>
        <v>-31784.037599999996</v>
      </c>
      <c r="H14" s="54"/>
      <c r="I14" s="54"/>
    </row>
    <row r="15" spans="1:11" s="59" customFormat="1" ht="6.75" customHeight="1" x14ac:dyDescent="0.25"/>
    <row r="16" spans="1:11" s="66" customFormat="1" ht="38.25" x14ac:dyDescent="0.25">
      <c r="A16" s="64" t="s">
        <v>11</v>
      </c>
      <c r="B16" s="64" t="s">
        <v>12</v>
      </c>
      <c r="C16" s="64" t="s">
        <v>61</v>
      </c>
      <c r="D16" s="64" t="s">
        <v>432</v>
      </c>
      <c r="E16" s="64" t="s">
        <v>433</v>
      </c>
      <c r="F16" s="65" t="s">
        <v>434</v>
      </c>
      <c r="G16" s="64" t="s">
        <v>435</v>
      </c>
    </row>
    <row r="17" spans="1:9" s="59" customFormat="1" x14ac:dyDescent="0.25">
      <c r="A17" s="67" t="s">
        <v>14</v>
      </c>
      <c r="B17" s="39" t="s">
        <v>379</v>
      </c>
      <c r="C17" s="120">
        <v>22.69</v>
      </c>
      <c r="D17" s="68">
        <v>100961.4</v>
      </c>
      <c r="E17" s="68">
        <v>100961.4</v>
      </c>
      <c r="F17" s="68">
        <f t="shared" ref="F17:F24" si="0">D17</f>
        <v>100961.4</v>
      </c>
      <c r="G17" s="69">
        <f>D17-E17</f>
        <v>0</v>
      </c>
      <c r="H17" s="70">
        <f>C17</f>
        <v>22.69</v>
      </c>
    </row>
    <row r="18" spans="1:9" s="59" customFormat="1" hidden="1" outlineLevel="1" x14ac:dyDescent="0.25">
      <c r="A18" s="73" t="s">
        <v>16</v>
      </c>
      <c r="B18" s="34" t="s">
        <v>17</v>
      </c>
      <c r="C18" s="89">
        <v>3.46</v>
      </c>
      <c r="D18" s="75">
        <f>D17*I18</f>
        <v>15395.612340237987</v>
      </c>
      <c r="E18" s="75">
        <f>E17*I18</f>
        <v>15395.612340237987</v>
      </c>
      <c r="F18" s="75">
        <f t="shared" si="0"/>
        <v>15395.612340237987</v>
      </c>
      <c r="G18" s="76">
        <f>D18-E18</f>
        <v>0</v>
      </c>
      <c r="H18" s="70">
        <f>C18</f>
        <v>3.46</v>
      </c>
      <c r="I18" s="59">
        <f>H18/H17</f>
        <v>0.1524900837373292</v>
      </c>
    </row>
    <row r="19" spans="1:9" s="59" customFormat="1" hidden="1" outlineLevel="1" x14ac:dyDescent="0.25">
      <c r="A19" s="73" t="s">
        <v>18</v>
      </c>
      <c r="B19" s="34" t="s">
        <v>19</v>
      </c>
      <c r="C19" s="89">
        <v>1.69</v>
      </c>
      <c r="D19" s="75">
        <f>D17*I19</f>
        <v>7519.822212428382</v>
      </c>
      <c r="E19" s="75">
        <f>E17*I19</f>
        <v>7519.822212428382</v>
      </c>
      <c r="F19" s="75">
        <f t="shared" si="0"/>
        <v>7519.822212428382</v>
      </c>
      <c r="G19" s="76">
        <f>D19-E19</f>
        <v>0</v>
      </c>
      <c r="H19" s="70">
        <f>C19</f>
        <v>1.69</v>
      </c>
      <c r="I19" s="59">
        <f>H19/H17</f>
        <v>7.4482150727192595E-2</v>
      </c>
    </row>
    <row r="20" spans="1:9" s="59" customFormat="1" hidden="1" outlineLevel="1" x14ac:dyDescent="0.25">
      <c r="A20" s="73" t="s">
        <v>20</v>
      </c>
      <c r="B20" s="34" t="s">
        <v>21</v>
      </c>
      <c r="C20" s="89">
        <v>1.69</v>
      </c>
      <c r="D20" s="75">
        <f>D17*I20</f>
        <v>7519.822212428382</v>
      </c>
      <c r="E20" s="75">
        <f>E17*I20</f>
        <v>7519.822212428382</v>
      </c>
      <c r="F20" s="75">
        <f t="shared" si="0"/>
        <v>7519.822212428382</v>
      </c>
      <c r="G20" s="76">
        <f>D20-E20</f>
        <v>0</v>
      </c>
      <c r="H20" s="70">
        <f>C20</f>
        <v>1.69</v>
      </c>
      <c r="I20" s="59">
        <f>H20/H17</f>
        <v>7.4482150727192595E-2</v>
      </c>
    </row>
    <row r="21" spans="1:9" s="59" customFormat="1" hidden="1" outlineLevel="1" x14ac:dyDescent="0.25">
      <c r="A21" s="73" t="s">
        <v>22</v>
      </c>
      <c r="B21" s="34" t="s">
        <v>23</v>
      </c>
      <c r="C21" s="89">
        <v>3.04</v>
      </c>
      <c r="D21" s="75">
        <f>D17*I21</f>
        <v>13526.780784486557</v>
      </c>
      <c r="E21" s="75">
        <f>E17*I21</f>
        <v>13526.780784486557</v>
      </c>
      <c r="F21" s="75">
        <f t="shared" si="0"/>
        <v>13526.780784486557</v>
      </c>
      <c r="G21" s="76">
        <f>D21-E21</f>
        <v>0</v>
      </c>
      <c r="H21" s="70">
        <f>C21</f>
        <v>3.04</v>
      </c>
      <c r="I21" s="59">
        <f>H21/H17</f>
        <v>0.13397972675187306</v>
      </c>
    </row>
    <row r="22" spans="1:9" collapsed="1" x14ac:dyDescent="0.25">
      <c r="A22" s="39" t="s">
        <v>25</v>
      </c>
      <c r="B22" s="125" t="s">
        <v>121</v>
      </c>
      <c r="C22" s="43">
        <v>0</v>
      </c>
      <c r="D22" s="69">
        <v>0</v>
      </c>
      <c r="E22" s="69">
        <v>0</v>
      </c>
      <c r="F22" s="69">
        <f t="shared" si="0"/>
        <v>0</v>
      </c>
      <c r="G22" s="69">
        <f t="shared" ref="G22:G30" si="1">D22-E22</f>
        <v>0</v>
      </c>
      <c r="I22" s="274"/>
    </row>
    <row r="23" spans="1:9" x14ac:dyDescent="0.25">
      <c r="A23" s="39" t="s">
        <v>27</v>
      </c>
      <c r="B23" s="125" t="s">
        <v>28</v>
      </c>
      <c r="C23" s="87">
        <v>0</v>
      </c>
      <c r="D23" s="69">
        <v>0</v>
      </c>
      <c r="E23" s="69">
        <v>0</v>
      </c>
      <c r="F23" s="69">
        <f t="shared" si="0"/>
        <v>0</v>
      </c>
      <c r="G23" s="69">
        <f t="shared" si="1"/>
        <v>0</v>
      </c>
    </row>
    <row r="24" spans="1:9" x14ac:dyDescent="0.25">
      <c r="A24" s="39" t="s">
        <v>29</v>
      </c>
      <c r="B24" s="125" t="s">
        <v>97</v>
      </c>
      <c r="C24" s="357">
        <v>0</v>
      </c>
      <c r="D24" s="69">
        <v>0</v>
      </c>
      <c r="E24" s="69">
        <v>0</v>
      </c>
      <c r="F24" s="69">
        <f t="shared" si="0"/>
        <v>0</v>
      </c>
      <c r="G24" s="69">
        <f t="shared" si="1"/>
        <v>0</v>
      </c>
    </row>
    <row r="25" spans="1:9" x14ac:dyDescent="0.25">
      <c r="A25" s="39" t="s">
        <v>31</v>
      </c>
      <c r="B25" s="125" t="s">
        <v>80</v>
      </c>
      <c r="C25" s="87">
        <v>2.2400000000000002</v>
      </c>
      <c r="D25" s="69">
        <v>9967.2000000000007</v>
      </c>
      <c r="E25" s="69">
        <v>9967.2000000000007</v>
      </c>
      <c r="F25" s="79">
        <f>F39</f>
        <v>23326.261999999999</v>
      </c>
      <c r="G25" s="69">
        <f t="shared" si="1"/>
        <v>0</v>
      </c>
    </row>
    <row r="26" spans="1:9" x14ac:dyDescent="0.25">
      <c r="A26" s="39" t="s">
        <v>33</v>
      </c>
      <c r="B26" s="119" t="s">
        <v>34</v>
      </c>
      <c r="C26" s="43">
        <v>0</v>
      </c>
      <c r="D26" s="69">
        <v>0</v>
      </c>
      <c r="E26" s="69">
        <v>0</v>
      </c>
      <c r="F26" s="79">
        <v>0</v>
      </c>
      <c r="G26" s="69">
        <f t="shared" si="1"/>
        <v>0</v>
      </c>
    </row>
    <row r="27" spans="1:9" x14ac:dyDescent="0.25">
      <c r="A27" s="39" t="s">
        <v>35</v>
      </c>
      <c r="B27" s="119" t="s">
        <v>36</v>
      </c>
      <c r="C27" s="87"/>
      <c r="D27" s="69">
        <f>SUM(D28:D31)</f>
        <v>301899.31</v>
      </c>
      <c r="E27" s="69">
        <f>SUM(E28:E31)</f>
        <v>301899.31</v>
      </c>
      <c r="F27" s="69">
        <f>SUM(F28:F31)</f>
        <v>301899.31</v>
      </c>
      <c r="G27" s="69">
        <f>D27-E27</f>
        <v>0</v>
      </c>
    </row>
    <row r="28" spans="1:9" x14ac:dyDescent="0.25">
      <c r="A28" s="34" t="s">
        <v>37</v>
      </c>
      <c r="B28" s="34" t="s">
        <v>101</v>
      </c>
      <c r="C28" s="89">
        <v>7.36</v>
      </c>
      <c r="D28" s="76">
        <v>5111.3999999999996</v>
      </c>
      <c r="E28" s="76">
        <v>5111.3999999999996</v>
      </c>
      <c r="F28" s="76">
        <f>D28</f>
        <v>5111.3999999999996</v>
      </c>
      <c r="G28" s="76">
        <f t="shared" si="1"/>
        <v>0</v>
      </c>
    </row>
    <row r="29" spans="1:9" x14ac:dyDescent="0.25">
      <c r="A29" s="34" t="s">
        <v>39</v>
      </c>
      <c r="B29" s="34" t="s">
        <v>84</v>
      </c>
      <c r="C29" s="89">
        <v>88.38</v>
      </c>
      <c r="D29" s="76">
        <v>86773.32</v>
      </c>
      <c r="E29" s="76">
        <v>86773.32</v>
      </c>
      <c r="F29" s="76">
        <f>D29</f>
        <v>86773.32</v>
      </c>
      <c r="G29" s="76">
        <f t="shared" si="1"/>
        <v>0</v>
      </c>
    </row>
    <row r="30" spans="1:9" x14ac:dyDescent="0.25">
      <c r="A30" s="34" t="s">
        <v>42</v>
      </c>
      <c r="B30" s="34" t="s">
        <v>40</v>
      </c>
      <c r="C30" s="128">
        <v>0</v>
      </c>
      <c r="D30" s="76">
        <v>0</v>
      </c>
      <c r="E30" s="76">
        <v>0</v>
      </c>
      <c r="F30" s="76">
        <f>D30</f>
        <v>0</v>
      </c>
      <c r="G30" s="76">
        <f t="shared" si="1"/>
        <v>0</v>
      </c>
    </row>
    <row r="31" spans="1:9" x14ac:dyDescent="0.25">
      <c r="A31" s="34" t="s">
        <v>41</v>
      </c>
      <c r="B31" s="34" t="s">
        <v>43</v>
      </c>
      <c r="C31" s="89">
        <v>3352.42</v>
      </c>
      <c r="D31" s="76">
        <v>210014.59</v>
      </c>
      <c r="E31" s="76">
        <v>210014.59</v>
      </c>
      <c r="F31" s="76">
        <f>D31</f>
        <v>210014.59</v>
      </c>
      <c r="G31" s="76">
        <f>D31-E31</f>
        <v>0</v>
      </c>
    </row>
    <row r="32" spans="1:9" ht="15" customHeight="1" thickBot="1" x14ac:dyDescent="0.3">
      <c r="A32" s="373"/>
      <c r="B32" s="374"/>
      <c r="C32" s="374"/>
      <c r="D32" s="375"/>
      <c r="E32" s="375"/>
      <c r="F32" s="375"/>
      <c r="G32" s="155"/>
    </row>
    <row r="33" spans="1:10" s="92" customFormat="1" ht="14.25" thickBot="1" x14ac:dyDescent="0.3">
      <c r="A33" s="387" t="s">
        <v>427</v>
      </c>
      <c r="B33" s="388"/>
      <c r="C33" s="388"/>
      <c r="D33" s="57">
        <v>0</v>
      </c>
      <c r="E33" s="58"/>
      <c r="F33" s="58"/>
      <c r="G33" s="58"/>
      <c r="H33" s="91"/>
      <c r="I33" s="91"/>
      <c r="J33" s="91"/>
    </row>
    <row r="34" spans="1:10" s="59" customFormat="1" ht="8.25" customHeight="1" thickBot="1" x14ac:dyDescent="0.3">
      <c r="A34" s="60"/>
      <c r="B34" s="60"/>
      <c r="C34" s="60"/>
      <c r="D34" s="38"/>
      <c r="E34" s="58"/>
      <c r="F34" s="58"/>
      <c r="G34" s="58"/>
      <c r="H34" s="54"/>
      <c r="I34" s="54"/>
    </row>
    <row r="35" spans="1:10" s="59" customFormat="1" ht="15" customHeight="1" thickBot="1" x14ac:dyDescent="0.3">
      <c r="A35" s="55" t="s">
        <v>428</v>
      </c>
      <c r="B35" s="56"/>
      <c r="C35" s="56"/>
      <c r="D35" s="61"/>
      <c r="E35" s="62"/>
      <c r="F35" s="62"/>
      <c r="G35" s="129">
        <f>G14+E25-F25</f>
        <v>-45143.099599999994</v>
      </c>
      <c r="H35" s="54"/>
      <c r="I35" s="54"/>
    </row>
    <row r="36" spans="1:10" ht="28.5" customHeight="1" x14ac:dyDescent="0.25">
      <c r="A36" s="485" t="s">
        <v>44</v>
      </c>
      <c r="B36" s="485"/>
      <c r="C36" s="485"/>
      <c r="D36" s="485"/>
      <c r="E36" s="485"/>
      <c r="F36" s="485"/>
      <c r="G36" s="485"/>
      <c r="H36" s="485"/>
      <c r="I36" s="485"/>
    </row>
    <row r="37" spans="1:10" ht="3.75" customHeight="1" x14ac:dyDescent="0.25"/>
    <row r="38" spans="1:10" s="156" customFormat="1" ht="28.5" customHeight="1" x14ac:dyDescent="0.25">
      <c r="A38" s="94" t="s">
        <v>11</v>
      </c>
      <c r="B38" s="416" t="s">
        <v>45</v>
      </c>
      <c r="C38" s="425"/>
      <c r="D38" s="94" t="s">
        <v>99</v>
      </c>
      <c r="E38" s="94" t="s">
        <v>98</v>
      </c>
      <c r="F38" s="416" t="s">
        <v>46</v>
      </c>
      <c r="G38" s="425"/>
    </row>
    <row r="39" spans="1:10" s="103" customFormat="1" ht="13.5" customHeight="1" x14ac:dyDescent="0.25">
      <c r="A39" s="98" t="s">
        <v>47</v>
      </c>
      <c r="B39" s="418" t="s">
        <v>75</v>
      </c>
      <c r="C39" s="430"/>
      <c r="D39" s="99"/>
      <c r="E39" s="99"/>
      <c r="F39" s="436">
        <f>SUM(F40:L43)</f>
        <v>23326.261999999999</v>
      </c>
      <c r="G39" s="424"/>
    </row>
    <row r="40" spans="1:10" ht="27.75" customHeight="1" x14ac:dyDescent="0.25">
      <c r="A40" s="34" t="s">
        <v>16</v>
      </c>
      <c r="B40" s="406" t="s">
        <v>525</v>
      </c>
      <c r="C40" s="431"/>
      <c r="D40" s="176" t="s">
        <v>137</v>
      </c>
      <c r="E40" s="176">
        <v>2.5000000000000001E-2</v>
      </c>
      <c r="F40" s="435">
        <v>23226.59</v>
      </c>
      <c r="G40" s="435"/>
    </row>
    <row r="41" spans="1:10" ht="17.25" customHeight="1" x14ac:dyDescent="0.25">
      <c r="A41" s="34" t="s">
        <v>18</v>
      </c>
      <c r="B41" s="412"/>
      <c r="C41" s="428"/>
      <c r="D41" s="258"/>
      <c r="E41" s="258"/>
      <c r="F41" s="463"/>
      <c r="G41" s="463"/>
    </row>
    <row r="42" spans="1:10" ht="17.25" customHeight="1" x14ac:dyDescent="0.25">
      <c r="A42" s="34" t="s">
        <v>20</v>
      </c>
      <c r="B42" s="412"/>
      <c r="C42" s="428"/>
      <c r="D42" s="258"/>
      <c r="E42" s="258"/>
      <c r="F42" s="468"/>
      <c r="G42" s="469"/>
    </row>
    <row r="43" spans="1:10" s="59" customFormat="1" ht="13.5" customHeight="1" x14ac:dyDescent="0.25">
      <c r="A43" s="34" t="s">
        <v>22</v>
      </c>
      <c r="B43" s="133" t="s">
        <v>108</v>
      </c>
      <c r="C43" s="134"/>
      <c r="D43" s="105"/>
      <c r="E43" s="105"/>
      <c r="F43" s="435">
        <f>E25*1%</f>
        <v>99.672000000000011</v>
      </c>
      <c r="G43" s="435"/>
    </row>
    <row r="44" spans="1:10" s="59" customFormat="1" x14ac:dyDescent="0.25">
      <c r="H44" s="35"/>
      <c r="I44" s="35"/>
    </row>
    <row r="45" spans="1:10" s="59" customFormat="1" x14ac:dyDescent="0.25">
      <c r="A45" s="51" t="s">
        <v>372</v>
      </c>
      <c r="C45" s="59" t="s">
        <v>49</v>
      </c>
      <c r="F45" s="59" t="s">
        <v>60</v>
      </c>
      <c r="H45" s="35"/>
      <c r="I45" s="35"/>
    </row>
    <row r="46" spans="1:10" s="59" customFormat="1" x14ac:dyDescent="0.25">
      <c r="F46" s="111" t="s">
        <v>524</v>
      </c>
      <c r="H46" s="35"/>
      <c r="I46" s="35"/>
    </row>
    <row r="47" spans="1:10" s="59" customFormat="1" x14ac:dyDescent="0.25">
      <c r="A47" s="59" t="s">
        <v>50</v>
      </c>
      <c r="H47" s="35"/>
      <c r="I47" s="35"/>
    </row>
    <row r="48" spans="1:10" x14ac:dyDescent="0.25">
      <c r="A48" s="59"/>
      <c r="B48" s="59"/>
      <c r="C48" s="113" t="s">
        <v>51</v>
      </c>
      <c r="D48" s="59"/>
      <c r="E48" s="113"/>
      <c r="F48" s="113"/>
      <c r="G48" s="113"/>
    </row>
    <row r="49" spans="1:9" x14ac:dyDescent="0.25">
      <c r="A49" s="59"/>
      <c r="B49" s="59"/>
      <c r="C49" s="59"/>
      <c r="D49" s="59"/>
      <c r="E49" s="59"/>
      <c r="F49" s="59"/>
      <c r="G49" s="59"/>
      <c r="H49" s="59"/>
      <c r="I49" s="59"/>
    </row>
    <row r="50" spans="1:9" x14ac:dyDescent="0.25">
      <c r="A50" s="59"/>
      <c r="B50" s="59"/>
      <c r="C50" s="59"/>
      <c r="D50" s="59"/>
      <c r="E50" s="59"/>
      <c r="F50" s="59"/>
      <c r="G50" s="59"/>
      <c r="H50" s="59"/>
      <c r="I50" s="59"/>
    </row>
  </sheetData>
  <mergeCells count="21">
    <mergeCell ref="F43:G43"/>
    <mergeCell ref="F42:G42"/>
    <mergeCell ref="B38:C38"/>
    <mergeCell ref="B41:C41"/>
    <mergeCell ref="F41:G41"/>
    <mergeCell ref="F40:G40"/>
    <mergeCell ref="B42:C42"/>
    <mergeCell ref="F39:G39"/>
    <mergeCell ref="B40:C40"/>
    <mergeCell ref="A1:I1"/>
    <mergeCell ref="A3:K3"/>
    <mergeCell ref="A5:I5"/>
    <mergeCell ref="A10:I10"/>
    <mergeCell ref="A12:I12"/>
    <mergeCell ref="A11:I11"/>
    <mergeCell ref="A32:F32"/>
    <mergeCell ref="A33:C33"/>
    <mergeCell ref="A36:I36"/>
    <mergeCell ref="A2:K2"/>
    <mergeCell ref="B39:C39"/>
    <mergeCell ref="F38:G38"/>
  </mergeCells>
  <phoneticPr fontId="14" type="noConversion"/>
  <pageMargins left="0" right="0" top="0" bottom="0" header="0.31496062992125984" footer="0.31496062992125984"/>
  <pageSetup paperSize="9" scale="99" orientation="portrait" verticalDpi="0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B191CC-8735-4E85-ABE9-6848F8ED512C}">
  <sheetPr>
    <tabColor rgb="FF7030A0"/>
  </sheetPr>
  <dimension ref="A1:M54"/>
  <sheetViews>
    <sheetView topLeftCell="A31" zoomScaleNormal="100" workbookViewId="0">
      <selection activeCell="A58" sqref="A58:IV59"/>
    </sheetView>
  </sheetViews>
  <sheetFormatPr defaultRowHeight="15" outlineLevelRow="1" outlineLevelCol="1" x14ac:dyDescent="0.25"/>
  <cols>
    <col min="1" max="1" width="4.7109375" style="35" customWidth="1"/>
    <col min="2" max="2" width="44.28515625" style="35" customWidth="1"/>
    <col min="3" max="3" width="12.42578125" style="35" customWidth="1"/>
    <col min="4" max="5" width="12.7109375" style="35" customWidth="1"/>
    <col min="6" max="6" width="15" style="35" customWidth="1"/>
    <col min="7" max="7" width="13.42578125" style="35" customWidth="1"/>
    <col min="8" max="8" width="10.85546875" style="35" hidden="1" customWidth="1" outlineLevel="1"/>
    <col min="9" max="9" width="13.42578125" style="35" hidden="1" customWidth="1" outlineLevel="1"/>
    <col min="10" max="12" width="9.140625" style="35" hidden="1" customWidth="1" outlineLevel="1"/>
    <col min="13" max="13" width="13.42578125" style="35" customWidth="1" collapsed="1"/>
    <col min="14" max="16384" width="9.140625" style="35"/>
  </cols>
  <sheetData>
    <row r="1" spans="1:11" x14ac:dyDescent="0.25">
      <c r="A1" s="397" t="s">
        <v>0</v>
      </c>
      <c r="B1" s="397"/>
      <c r="C1" s="397"/>
      <c r="D1" s="397"/>
      <c r="E1" s="397"/>
      <c r="F1" s="397"/>
      <c r="G1" s="397"/>
      <c r="H1" s="397"/>
      <c r="I1" s="397"/>
    </row>
    <row r="2" spans="1:11" ht="15" customHeight="1" x14ac:dyDescent="0.25">
      <c r="A2" s="370" t="s">
        <v>152</v>
      </c>
      <c r="B2" s="370"/>
      <c r="C2" s="370"/>
      <c r="D2" s="370"/>
      <c r="E2" s="370"/>
      <c r="F2" s="370"/>
      <c r="G2" s="370"/>
      <c r="H2" s="370"/>
      <c r="I2" s="370"/>
      <c r="J2" s="370"/>
      <c r="K2" s="370"/>
    </row>
    <row r="3" spans="1:11" ht="15" customHeight="1" x14ac:dyDescent="0.25">
      <c r="A3" s="370" t="s">
        <v>426</v>
      </c>
      <c r="B3" s="370"/>
      <c r="C3" s="370"/>
      <c r="D3" s="370"/>
      <c r="E3" s="370"/>
      <c r="F3" s="370"/>
      <c r="G3" s="370"/>
      <c r="H3" s="370"/>
      <c r="I3" s="370"/>
      <c r="J3" s="370"/>
      <c r="K3" s="370"/>
    </row>
    <row r="4" spans="1:11" ht="6" customHeight="1" x14ac:dyDescent="0.25">
      <c r="A4" s="142"/>
      <c r="B4" s="142"/>
      <c r="C4" s="142"/>
      <c r="D4" s="142"/>
      <c r="E4" s="142"/>
      <c r="F4" s="142"/>
      <c r="G4" s="142"/>
      <c r="H4" s="142"/>
      <c r="I4" s="142"/>
    </row>
    <row r="5" spans="1:11" ht="14.25" customHeight="1" x14ac:dyDescent="0.25">
      <c r="A5" s="398" t="s">
        <v>1</v>
      </c>
      <c r="B5" s="397"/>
      <c r="C5" s="397"/>
      <c r="D5" s="397"/>
      <c r="E5" s="397"/>
      <c r="F5" s="397"/>
      <c r="G5" s="397"/>
      <c r="H5" s="397"/>
      <c r="I5" s="397"/>
    </row>
    <row r="6" spans="1:11" ht="3" customHeight="1" x14ac:dyDescent="0.25"/>
    <row r="7" spans="1:11" s="59" customFormat="1" ht="16.5" customHeight="1" x14ac:dyDescent="0.25">
      <c r="A7" s="59" t="s">
        <v>2</v>
      </c>
      <c r="F7" s="111" t="s">
        <v>242</v>
      </c>
    </row>
    <row r="8" spans="1:11" s="59" customFormat="1" x14ac:dyDescent="0.25">
      <c r="A8" s="59" t="s">
        <v>3</v>
      </c>
      <c r="F8" s="239" t="s">
        <v>243</v>
      </c>
    </row>
    <row r="9" spans="1:11" s="59" customFormat="1" ht="6" customHeight="1" x14ac:dyDescent="0.25"/>
    <row r="10" spans="1:11" s="59" customFormat="1" x14ac:dyDescent="0.25">
      <c r="A10" s="372" t="s">
        <v>8</v>
      </c>
      <c r="B10" s="372"/>
      <c r="C10" s="372"/>
      <c r="D10" s="372"/>
      <c r="E10" s="372"/>
      <c r="F10" s="372"/>
      <c r="G10" s="372"/>
      <c r="H10" s="372"/>
      <c r="I10" s="372"/>
    </row>
    <row r="11" spans="1:11" s="59" customFormat="1" x14ac:dyDescent="0.25">
      <c r="A11" s="372" t="s">
        <v>9</v>
      </c>
      <c r="B11" s="372"/>
      <c r="C11" s="372"/>
      <c r="D11" s="372"/>
      <c r="E11" s="372"/>
      <c r="F11" s="372"/>
      <c r="G11" s="372"/>
      <c r="H11" s="372"/>
      <c r="I11" s="372"/>
    </row>
    <row r="12" spans="1:11" s="59" customFormat="1" x14ac:dyDescent="0.25">
      <c r="A12" s="372" t="s">
        <v>10</v>
      </c>
      <c r="B12" s="372"/>
      <c r="C12" s="372"/>
      <c r="D12" s="372"/>
      <c r="E12" s="372"/>
      <c r="F12" s="372"/>
      <c r="G12" s="372"/>
      <c r="H12" s="372"/>
      <c r="I12" s="372"/>
    </row>
    <row r="13" spans="1:11" s="59" customFormat="1" ht="6" customHeight="1" thickBot="1" x14ac:dyDescent="0.3">
      <c r="A13" s="60"/>
      <c r="B13" s="60"/>
      <c r="C13" s="60"/>
      <c r="D13" s="38"/>
      <c r="E13" s="58"/>
      <c r="F13" s="58"/>
      <c r="G13" s="58"/>
      <c r="H13" s="54"/>
      <c r="I13" s="54"/>
    </row>
    <row r="14" spans="1:11" s="59" customFormat="1" ht="15.75" thickBot="1" x14ac:dyDescent="0.3">
      <c r="A14" s="55" t="s">
        <v>381</v>
      </c>
      <c r="B14" s="56"/>
      <c r="C14" s="56"/>
      <c r="D14" s="61"/>
      <c r="E14" s="62"/>
      <c r="F14" s="62"/>
      <c r="G14" s="232">
        <f>'[1]Труда 5а корп.1'!$G$38</f>
        <v>-31582.074999999997</v>
      </c>
      <c r="H14" s="54"/>
      <c r="I14" s="54"/>
    </row>
    <row r="15" spans="1:11" s="59" customFormat="1" ht="6.75" customHeight="1" x14ac:dyDescent="0.25"/>
    <row r="16" spans="1:11" s="66" customFormat="1" ht="38.25" x14ac:dyDescent="0.25">
      <c r="A16" s="64" t="s">
        <v>11</v>
      </c>
      <c r="B16" s="64" t="s">
        <v>12</v>
      </c>
      <c r="C16" s="64" t="s">
        <v>61</v>
      </c>
      <c r="D16" s="64" t="s">
        <v>432</v>
      </c>
      <c r="E16" s="64" t="s">
        <v>433</v>
      </c>
      <c r="F16" s="65" t="s">
        <v>434</v>
      </c>
      <c r="G16" s="64" t="s">
        <v>435</v>
      </c>
    </row>
    <row r="17" spans="1:9" s="59" customFormat="1" x14ac:dyDescent="0.25">
      <c r="A17" s="67" t="s">
        <v>14</v>
      </c>
      <c r="B17" s="39" t="s">
        <v>379</v>
      </c>
      <c r="C17" s="120">
        <v>22.69</v>
      </c>
      <c r="D17" s="68">
        <v>182015.4</v>
      </c>
      <c r="E17" s="68">
        <v>172002.79</v>
      </c>
      <c r="F17" s="68">
        <f t="shared" ref="F17:F25" si="0">D17</f>
        <v>182015.4</v>
      </c>
      <c r="G17" s="69">
        <f>D17-E17</f>
        <v>10012.609999999986</v>
      </c>
      <c r="H17" s="70">
        <f t="shared" ref="H17:H22" si="1">C17</f>
        <v>22.69</v>
      </c>
    </row>
    <row r="18" spans="1:9" s="59" customFormat="1" hidden="1" outlineLevel="1" x14ac:dyDescent="0.25">
      <c r="A18" s="73" t="s">
        <v>16</v>
      </c>
      <c r="B18" s="34" t="s">
        <v>17</v>
      </c>
      <c r="C18" s="89">
        <v>3.46</v>
      </c>
      <c r="D18" s="75">
        <f>D17*I18</f>
        <v>27755.543587483469</v>
      </c>
      <c r="E18" s="75">
        <f>E17*I18</f>
        <v>26228.719850154252</v>
      </c>
      <c r="F18" s="75">
        <f t="shared" si="0"/>
        <v>27755.543587483469</v>
      </c>
      <c r="G18" s="76">
        <f>D18-E18</f>
        <v>1526.8237373292177</v>
      </c>
      <c r="H18" s="70">
        <f t="shared" si="1"/>
        <v>3.46</v>
      </c>
      <c r="I18" s="59">
        <f>H18/H17</f>
        <v>0.1524900837373292</v>
      </c>
    </row>
    <row r="19" spans="1:9" s="59" customFormat="1" hidden="1" outlineLevel="1" x14ac:dyDescent="0.25">
      <c r="A19" s="73" t="s">
        <v>18</v>
      </c>
      <c r="B19" s="34" t="s">
        <v>19</v>
      </c>
      <c r="C19" s="89">
        <v>1.69</v>
      </c>
      <c r="D19" s="75">
        <f>D17*I19</f>
        <v>13556.89845747025</v>
      </c>
      <c r="E19" s="75">
        <f>E17*I19</f>
        <v>12811.137730277656</v>
      </c>
      <c r="F19" s="75">
        <f t="shared" si="0"/>
        <v>13556.89845747025</v>
      </c>
      <c r="G19" s="76">
        <f>D19-E19</f>
        <v>745.76072719259355</v>
      </c>
      <c r="H19" s="70">
        <f t="shared" si="1"/>
        <v>1.69</v>
      </c>
      <c r="I19" s="59">
        <f>H19/H17</f>
        <v>7.4482150727192595E-2</v>
      </c>
    </row>
    <row r="20" spans="1:9" s="59" customFormat="1" hidden="1" outlineLevel="1" x14ac:dyDescent="0.25">
      <c r="A20" s="73" t="s">
        <v>20</v>
      </c>
      <c r="B20" s="34" t="s">
        <v>21</v>
      </c>
      <c r="C20" s="89">
        <v>1.69</v>
      </c>
      <c r="D20" s="75">
        <f>D17*I20</f>
        <v>13556.89845747025</v>
      </c>
      <c r="E20" s="75">
        <f>E17*I20</f>
        <v>12811.137730277656</v>
      </c>
      <c r="F20" s="75">
        <f t="shared" si="0"/>
        <v>13556.89845747025</v>
      </c>
      <c r="G20" s="76">
        <f>D20-E20</f>
        <v>745.76072719259355</v>
      </c>
      <c r="H20" s="70">
        <f t="shared" si="1"/>
        <v>1.69</v>
      </c>
      <c r="I20" s="59">
        <f>H20/H17</f>
        <v>7.4482150727192595E-2</v>
      </c>
    </row>
    <row r="21" spans="1:9" s="59" customFormat="1" hidden="1" outlineLevel="1" x14ac:dyDescent="0.25">
      <c r="A21" s="73" t="s">
        <v>22</v>
      </c>
      <c r="B21" s="34" t="s">
        <v>23</v>
      </c>
      <c r="C21" s="89">
        <v>3.04</v>
      </c>
      <c r="D21" s="75">
        <f>D17*I21</f>
        <v>24386.373556632876</v>
      </c>
      <c r="E21" s="75">
        <f>E17*I21</f>
        <v>23044.886804759804</v>
      </c>
      <c r="F21" s="75">
        <f t="shared" si="0"/>
        <v>24386.373556632876</v>
      </c>
      <c r="G21" s="76">
        <f>D21-E21</f>
        <v>1341.4867518730716</v>
      </c>
      <c r="H21" s="70">
        <f t="shared" si="1"/>
        <v>3.04</v>
      </c>
      <c r="I21" s="59">
        <f>H21/H17</f>
        <v>0.13397972675187306</v>
      </c>
    </row>
    <row r="22" spans="1:9" s="59" customFormat="1" collapsed="1" x14ac:dyDescent="0.25">
      <c r="A22" s="39" t="s">
        <v>25</v>
      </c>
      <c r="B22" s="39" t="s">
        <v>26</v>
      </c>
      <c r="C22" s="120">
        <v>0</v>
      </c>
      <c r="D22" s="68">
        <v>0</v>
      </c>
      <c r="E22" s="68">
        <v>0</v>
      </c>
      <c r="F22" s="68">
        <f>D22</f>
        <v>0</v>
      </c>
      <c r="G22" s="69">
        <f t="shared" ref="G22:G33" si="2">D22-E22</f>
        <v>0</v>
      </c>
      <c r="H22" s="70">
        <f t="shared" si="1"/>
        <v>0</v>
      </c>
    </row>
    <row r="23" spans="1:9" ht="19.149999999999999" customHeight="1" x14ac:dyDescent="0.25">
      <c r="A23" s="39" t="s">
        <v>27</v>
      </c>
      <c r="B23" s="78" t="s">
        <v>145</v>
      </c>
      <c r="C23" s="43">
        <v>0</v>
      </c>
      <c r="D23" s="69">
        <v>0</v>
      </c>
      <c r="E23" s="69">
        <v>0</v>
      </c>
      <c r="F23" s="69">
        <f t="shared" si="0"/>
        <v>0</v>
      </c>
      <c r="G23" s="69">
        <f t="shared" si="2"/>
        <v>0</v>
      </c>
      <c r="I23" s="274"/>
    </row>
    <row r="24" spans="1:9" x14ac:dyDescent="0.25">
      <c r="A24" s="39" t="s">
        <v>29</v>
      </c>
      <c r="B24" s="78" t="s">
        <v>28</v>
      </c>
      <c r="C24" s="87">
        <v>0</v>
      </c>
      <c r="D24" s="69">
        <v>0</v>
      </c>
      <c r="E24" s="69">
        <v>0</v>
      </c>
      <c r="F24" s="69">
        <f t="shared" si="0"/>
        <v>0</v>
      </c>
      <c r="G24" s="69">
        <f t="shared" si="2"/>
        <v>0</v>
      </c>
    </row>
    <row r="25" spans="1:9" ht="15.75" customHeight="1" x14ac:dyDescent="0.25">
      <c r="A25" s="39" t="s">
        <v>31</v>
      </c>
      <c r="B25" s="78" t="s">
        <v>97</v>
      </c>
      <c r="C25" s="357">
        <v>0</v>
      </c>
      <c r="D25" s="69">
        <v>0</v>
      </c>
      <c r="E25" s="69">
        <v>0</v>
      </c>
      <c r="F25" s="69">
        <f t="shared" si="0"/>
        <v>0</v>
      </c>
      <c r="G25" s="69">
        <f t="shared" si="2"/>
        <v>0</v>
      </c>
    </row>
    <row r="26" spans="1:9" x14ac:dyDescent="0.25">
      <c r="A26" s="39" t="s">
        <v>111</v>
      </c>
      <c r="B26" s="78" t="s">
        <v>80</v>
      </c>
      <c r="C26" s="87">
        <v>2.2400000000000002</v>
      </c>
      <c r="D26" s="69">
        <v>19479.72</v>
      </c>
      <c r="E26" s="69">
        <v>18418.72</v>
      </c>
      <c r="F26" s="79">
        <f>F43</f>
        <v>12742.787200000001</v>
      </c>
      <c r="G26" s="69">
        <f t="shared" si="2"/>
        <v>1061</v>
      </c>
    </row>
    <row r="27" spans="1:9" x14ac:dyDescent="0.25">
      <c r="A27" s="39" t="s">
        <v>123</v>
      </c>
      <c r="B27" s="39" t="s">
        <v>34</v>
      </c>
      <c r="C27" s="43">
        <v>0</v>
      </c>
      <c r="D27" s="69">
        <v>0</v>
      </c>
      <c r="E27" s="69">
        <v>0</v>
      </c>
      <c r="F27" s="79">
        <v>0</v>
      </c>
      <c r="G27" s="69">
        <f t="shared" si="2"/>
        <v>0</v>
      </c>
    </row>
    <row r="28" spans="1:9" x14ac:dyDescent="0.25">
      <c r="A28" s="39" t="s">
        <v>112</v>
      </c>
      <c r="B28" s="39" t="s">
        <v>36</v>
      </c>
      <c r="C28" s="87"/>
      <c r="D28" s="69">
        <f>SUM(D29:D32)</f>
        <v>566063.88</v>
      </c>
      <c r="E28" s="69">
        <f>SUM(E29:E32)</f>
        <v>527335.47</v>
      </c>
      <c r="F28" s="69">
        <f>SUM(F29:F32)</f>
        <v>566063.88</v>
      </c>
      <c r="G28" s="69">
        <f t="shared" si="2"/>
        <v>38728.410000000033</v>
      </c>
    </row>
    <row r="29" spans="1:9" x14ac:dyDescent="0.25">
      <c r="A29" s="34" t="s">
        <v>114</v>
      </c>
      <c r="B29" s="34" t="s">
        <v>101</v>
      </c>
      <c r="C29" s="89">
        <v>7.36</v>
      </c>
      <c r="D29" s="76">
        <v>23107.08</v>
      </c>
      <c r="E29" s="76">
        <v>21808.799999999999</v>
      </c>
      <c r="F29" s="76">
        <f>D29</f>
        <v>23107.08</v>
      </c>
      <c r="G29" s="76">
        <f t="shared" si="2"/>
        <v>1298.2800000000025</v>
      </c>
    </row>
    <row r="30" spans="1:9" x14ac:dyDescent="0.25">
      <c r="A30" s="34" t="s">
        <v>115</v>
      </c>
      <c r="B30" s="34" t="s">
        <v>84</v>
      </c>
      <c r="C30" s="89">
        <v>88.38</v>
      </c>
      <c r="D30" s="76">
        <v>132499.53</v>
      </c>
      <c r="E30" s="76">
        <v>127117.2</v>
      </c>
      <c r="F30" s="76">
        <f>D30</f>
        <v>132499.53</v>
      </c>
      <c r="G30" s="76">
        <f t="shared" si="2"/>
        <v>5382.3300000000017</v>
      </c>
    </row>
    <row r="31" spans="1:9" s="36" customFormat="1" x14ac:dyDescent="0.25">
      <c r="A31" s="34" t="s">
        <v>116</v>
      </c>
      <c r="B31" s="34" t="s">
        <v>40</v>
      </c>
      <c r="C31" s="128">
        <v>0</v>
      </c>
      <c r="D31" s="76">
        <v>0</v>
      </c>
      <c r="E31" s="76">
        <v>0</v>
      </c>
      <c r="F31" s="76">
        <f>D31</f>
        <v>0</v>
      </c>
      <c r="G31" s="76">
        <f t="shared" si="2"/>
        <v>0</v>
      </c>
      <c r="H31" s="35"/>
      <c r="I31" s="35"/>
    </row>
    <row r="32" spans="1:9" ht="23.25" customHeight="1" x14ac:dyDescent="0.25">
      <c r="A32" s="34" t="s">
        <v>117</v>
      </c>
      <c r="B32" s="34" t="s">
        <v>43</v>
      </c>
      <c r="C32" s="89">
        <v>3352.42</v>
      </c>
      <c r="D32" s="76">
        <v>410457.27</v>
      </c>
      <c r="E32" s="76">
        <v>378409.47</v>
      </c>
      <c r="F32" s="76">
        <f>D32</f>
        <v>410457.27</v>
      </c>
      <c r="G32" s="76">
        <f t="shared" si="2"/>
        <v>32047.800000000047</v>
      </c>
    </row>
    <row r="33" spans="1:10" ht="17.25" hidden="1" customHeight="1" outlineLevel="1" x14ac:dyDescent="0.25">
      <c r="A33" s="39" t="s">
        <v>132</v>
      </c>
      <c r="B33" s="300" t="s">
        <v>140</v>
      </c>
      <c r="C33" s="298"/>
      <c r="D33" s="248">
        <v>1000</v>
      </c>
      <c r="E33" s="248">
        <v>0</v>
      </c>
      <c r="F33" s="248">
        <v>0</v>
      </c>
      <c r="G33" s="248">
        <f t="shared" si="2"/>
        <v>1000</v>
      </c>
    </row>
    <row r="34" spans="1:10" ht="17.25" hidden="1" customHeight="1" outlineLevel="1" x14ac:dyDescent="0.25">
      <c r="A34" s="153"/>
      <c r="B34" s="301"/>
      <c r="C34" s="376" t="s">
        <v>246</v>
      </c>
      <c r="D34" s="377"/>
      <c r="E34" s="377"/>
      <c r="F34" s="377"/>
      <c r="G34" s="82">
        <f>E33-(E33*15%)</f>
        <v>0</v>
      </c>
    </row>
    <row r="35" spans="1:10" ht="14.25" customHeight="1" collapsed="1" thickBot="1" x14ac:dyDescent="0.3">
      <c r="A35" s="373"/>
      <c r="B35" s="374"/>
      <c r="C35" s="374"/>
      <c r="D35" s="375"/>
      <c r="E35" s="375"/>
      <c r="F35" s="375"/>
      <c r="G35" s="155"/>
    </row>
    <row r="36" spans="1:10" s="92" customFormat="1" ht="14.25" thickBot="1" x14ac:dyDescent="0.3">
      <c r="A36" s="387" t="s">
        <v>427</v>
      </c>
      <c r="B36" s="388"/>
      <c r="C36" s="388"/>
      <c r="D36" s="57">
        <v>49802.02</v>
      </c>
      <c r="E36" s="58"/>
      <c r="F36" s="58"/>
      <c r="G36" s="58"/>
      <c r="H36" s="91"/>
      <c r="I36" s="91"/>
      <c r="J36" s="91"/>
    </row>
    <row r="37" spans="1:10" s="59" customFormat="1" ht="15.75" thickBot="1" x14ac:dyDescent="0.3">
      <c r="A37" s="60"/>
      <c r="B37" s="60"/>
      <c r="C37" s="60"/>
      <c r="D37" s="38"/>
      <c r="E37" s="58"/>
      <c r="F37" s="58"/>
      <c r="G37" s="58"/>
      <c r="H37" s="54"/>
      <c r="I37" s="54"/>
    </row>
    <row r="38" spans="1:10" s="59" customFormat="1" ht="15.75" thickBot="1" x14ac:dyDescent="0.3">
      <c r="A38" s="55" t="s">
        <v>428</v>
      </c>
      <c r="B38" s="56"/>
      <c r="C38" s="56"/>
      <c r="D38" s="61"/>
      <c r="E38" s="62"/>
      <c r="F38" s="62"/>
      <c r="G38" s="129">
        <f>G14+E26-F26</f>
        <v>-25906.142199999995</v>
      </c>
      <c r="H38" s="54"/>
      <c r="I38" s="54"/>
    </row>
    <row r="39" spans="1:10" s="59" customFormat="1" x14ac:dyDescent="0.25">
      <c r="A39" s="60"/>
      <c r="B39" s="60"/>
      <c r="C39" s="60"/>
      <c r="D39" s="38"/>
      <c r="E39" s="58"/>
      <c r="F39" s="58"/>
      <c r="G39" s="38"/>
      <c r="H39" s="54"/>
      <c r="I39" s="54"/>
    </row>
    <row r="40" spans="1:10" s="59" customFormat="1" ht="29.25" customHeight="1" x14ac:dyDescent="0.25">
      <c r="A40" s="485" t="s">
        <v>44</v>
      </c>
      <c r="B40" s="485"/>
      <c r="C40" s="485"/>
      <c r="D40" s="485"/>
      <c r="E40" s="485"/>
      <c r="F40" s="485"/>
      <c r="G40" s="485"/>
      <c r="H40" s="485"/>
      <c r="I40" s="485"/>
    </row>
    <row r="41" spans="1:10" ht="26.25" customHeight="1" x14ac:dyDescent="0.25"/>
    <row r="42" spans="1:10" ht="28.5" x14ac:dyDescent="0.25">
      <c r="A42" s="94" t="s">
        <v>11</v>
      </c>
      <c r="B42" s="416" t="s">
        <v>45</v>
      </c>
      <c r="C42" s="425"/>
      <c r="D42" s="94" t="s">
        <v>99</v>
      </c>
      <c r="E42" s="94" t="s">
        <v>98</v>
      </c>
      <c r="F42" s="416" t="s">
        <v>46</v>
      </c>
      <c r="G42" s="425"/>
      <c r="H42" s="156"/>
      <c r="I42" s="156"/>
    </row>
    <row r="43" spans="1:10" s="156" customFormat="1" x14ac:dyDescent="0.25">
      <c r="A43" s="98" t="s">
        <v>47</v>
      </c>
      <c r="B43" s="418" t="s">
        <v>75</v>
      </c>
      <c r="C43" s="430"/>
      <c r="D43" s="99"/>
      <c r="E43" s="99"/>
      <c r="F43" s="436">
        <f>SUM(F44:L47)</f>
        <v>12742.787200000001</v>
      </c>
      <c r="G43" s="424"/>
      <c r="H43" s="103"/>
      <c r="I43" s="103"/>
    </row>
    <row r="44" spans="1:10" s="103" customFormat="1" ht="19.149999999999999" customHeight="1" x14ac:dyDescent="0.25">
      <c r="A44" s="34" t="s">
        <v>16</v>
      </c>
      <c r="B44" s="406" t="s">
        <v>526</v>
      </c>
      <c r="C44" s="431"/>
      <c r="D44" s="176" t="s">
        <v>137</v>
      </c>
      <c r="E44" s="176">
        <v>3.5000000000000003E-2</v>
      </c>
      <c r="F44" s="435">
        <v>12558.6</v>
      </c>
      <c r="G44" s="435"/>
      <c r="H44" s="35"/>
      <c r="I44" s="35"/>
    </row>
    <row r="45" spans="1:10" ht="12" customHeight="1" x14ac:dyDescent="0.25">
      <c r="A45" s="34" t="s">
        <v>18</v>
      </c>
      <c r="B45" s="406"/>
      <c r="C45" s="431"/>
      <c r="D45" s="105"/>
      <c r="E45" s="105"/>
      <c r="F45" s="435"/>
      <c r="G45" s="435"/>
    </row>
    <row r="46" spans="1:10" ht="13.9" customHeight="1" x14ac:dyDescent="0.25">
      <c r="A46" s="34" t="s">
        <v>20</v>
      </c>
      <c r="B46" s="412"/>
      <c r="C46" s="428"/>
      <c r="D46" s="105"/>
      <c r="E46" s="258"/>
      <c r="F46" s="468"/>
      <c r="G46" s="469"/>
    </row>
    <row r="47" spans="1:10" s="59" customFormat="1" x14ac:dyDescent="0.25">
      <c r="A47" s="34" t="s">
        <v>22</v>
      </c>
      <c r="B47" s="133" t="s">
        <v>108</v>
      </c>
      <c r="C47" s="134"/>
      <c r="D47" s="105"/>
      <c r="E47" s="105"/>
      <c r="F47" s="435">
        <f>E26*1%</f>
        <v>184.18720000000002</v>
      </c>
      <c r="G47" s="435"/>
    </row>
    <row r="48" spans="1:10" s="59" customFormat="1" x14ac:dyDescent="0.25">
      <c r="H48" s="35"/>
      <c r="I48" s="35"/>
    </row>
    <row r="49" spans="1:9" s="59" customFormat="1" x14ac:dyDescent="0.25">
      <c r="H49" s="35"/>
      <c r="I49" s="35"/>
    </row>
    <row r="50" spans="1:9" s="59" customFormat="1" x14ac:dyDescent="0.25">
      <c r="A50" s="51" t="s">
        <v>372</v>
      </c>
      <c r="C50" s="59" t="s">
        <v>49</v>
      </c>
      <c r="F50" s="59" t="s">
        <v>60</v>
      </c>
      <c r="H50" s="35"/>
      <c r="I50" s="35"/>
    </row>
    <row r="51" spans="1:9" s="59" customFormat="1" x14ac:dyDescent="0.25">
      <c r="F51" s="111" t="s">
        <v>438</v>
      </c>
    </row>
    <row r="52" spans="1:9" x14ac:dyDescent="0.25">
      <c r="A52" s="59" t="s">
        <v>50</v>
      </c>
      <c r="B52" s="59"/>
      <c r="C52" s="59"/>
      <c r="D52" s="59"/>
      <c r="E52" s="59"/>
      <c r="F52" s="59"/>
      <c r="G52" s="59"/>
    </row>
    <row r="53" spans="1:9" x14ac:dyDescent="0.25">
      <c r="A53" s="59"/>
      <c r="B53" s="59"/>
      <c r="C53" s="113" t="s">
        <v>51</v>
      </c>
      <c r="D53" s="59"/>
      <c r="E53" s="113"/>
      <c r="F53" s="113"/>
      <c r="G53" s="113"/>
    </row>
    <row r="54" spans="1:9" x14ac:dyDescent="0.25">
      <c r="A54" s="59"/>
      <c r="B54" s="59"/>
      <c r="C54" s="59"/>
      <c r="D54" s="59"/>
      <c r="E54" s="59"/>
      <c r="F54" s="59"/>
      <c r="G54" s="59"/>
    </row>
  </sheetData>
  <mergeCells count="22">
    <mergeCell ref="F47:G47"/>
    <mergeCell ref="B46:C46"/>
    <mergeCell ref="F46:G46"/>
    <mergeCell ref="B43:C43"/>
    <mergeCell ref="F43:G43"/>
    <mergeCell ref="B44:C44"/>
    <mergeCell ref="F44:G44"/>
    <mergeCell ref="B45:C45"/>
    <mergeCell ref="F45:G45"/>
    <mergeCell ref="A12:I12"/>
    <mergeCell ref="A36:C36"/>
    <mergeCell ref="A40:I40"/>
    <mergeCell ref="B42:C42"/>
    <mergeCell ref="F42:G42"/>
    <mergeCell ref="A35:F35"/>
    <mergeCell ref="C34:F34"/>
    <mergeCell ref="A1:I1"/>
    <mergeCell ref="A3:K3"/>
    <mergeCell ref="A5:I5"/>
    <mergeCell ref="A10:I10"/>
    <mergeCell ref="A11:I11"/>
    <mergeCell ref="A2:K2"/>
  </mergeCells>
  <pageMargins left="0" right="0" top="0" bottom="0" header="0.31496062992125984" footer="0.31496062992125984"/>
  <pageSetup paperSize="9" scale="99"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3685BC-8FFE-4EF2-8203-EE3FF7A6A099}">
  <sheetPr>
    <tabColor rgb="FF7030A0"/>
  </sheetPr>
  <dimension ref="A1:M53"/>
  <sheetViews>
    <sheetView topLeftCell="A37" zoomScaleNormal="100" workbookViewId="0">
      <selection activeCell="A56" sqref="A56:IV57"/>
    </sheetView>
  </sheetViews>
  <sheetFormatPr defaultRowHeight="15" outlineLevelRow="1" outlineLevelCol="1" x14ac:dyDescent="0.25"/>
  <cols>
    <col min="1" max="1" width="4.7109375" style="35" customWidth="1"/>
    <col min="2" max="2" width="44.28515625" style="35" customWidth="1"/>
    <col min="3" max="3" width="12.42578125" style="35" customWidth="1"/>
    <col min="4" max="5" width="12.7109375" style="35" customWidth="1"/>
    <col min="6" max="6" width="15" style="35" customWidth="1"/>
    <col min="7" max="7" width="13.42578125" style="35" customWidth="1"/>
    <col min="8" max="8" width="10.85546875" style="35" hidden="1" customWidth="1" outlineLevel="1"/>
    <col min="9" max="9" width="13.42578125" style="35" hidden="1" customWidth="1" outlineLevel="1"/>
    <col min="10" max="12" width="9.140625" style="35" hidden="1" customWidth="1" outlineLevel="1"/>
    <col min="13" max="13" width="13.42578125" style="35" customWidth="1" collapsed="1"/>
    <col min="14" max="16384" width="9.140625" style="35"/>
  </cols>
  <sheetData>
    <row r="1" spans="1:11" x14ac:dyDescent="0.25">
      <c r="A1" s="397" t="s">
        <v>0</v>
      </c>
      <c r="B1" s="397"/>
      <c r="C1" s="397"/>
      <c r="D1" s="397"/>
      <c r="E1" s="397"/>
      <c r="F1" s="397"/>
      <c r="G1" s="397"/>
      <c r="H1" s="397"/>
      <c r="I1" s="397"/>
    </row>
    <row r="2" spans="1:11" ht="15" customHeight="1" x14ac:dyDescent="0.25">
      <c r="A2" s="370" t="s">
        <v>152</v>
      </c>
      <c r="B2" s="370"/>
      <c r="C2" s="370"/>
      <c r="D2" s="370"/>
      <c r="E2" s="370"/>
      <c r="F2" s="370"/>
      <c r="G2" s="370"/>
      <c r="H2" s="370"/>
      <c r="I2" s="370"/>
      <c r="J2" s="370"/>
      <c r="K2" s="370"/>
    </row>
    <row r="3" spans="1:11" ht="15" customHeight="1" x14ac:dyDescent="0.25">
      <c r="A3" s="370" t="s">
        <v>426</v>
      </c>
      <c r="B3" s="370"/>
      <c r="C3" s="370"/>
      <c r="D3" s="370"/>
      <c r="E3" s="370"/>
      <c r="F3" s="370"/>
      <c r="G3" s="370"/>
      <c r="H3" s="370"/>
      <c r="I3" s="370"/>
      <c r="J3" s="370"/>
      <c r="K3" s="370"/>
    </row>
    <row r="4" spans="1:11" ht="6" customHeight="1" x14ac:dyDescent="0.25">
      <c r="A4" s="142"/>
      <c r="B4" s="142"/>
      <c r="C4" s="142"/>
      <c r="D4" s="142"/>
      <c r="E4" s="142"/>
      <c r="F4" s="142"/>
      <c r="G4" s="142"/>
      <c r="H4" s="142"/>
      <c r="I4" s="142"/>
    </row>
    <row r="5" spans="1:11" ht="14.25" customHeight="1" x14ac:dyDescent="0.25">
      <c r="A5" s="398" t="s">
        <v>1</v>
      </c>
      <c r="B5" s="397"/>
      <c r="C5" s="397"/>
      <c r="D5" s="397"/>
      <c r="E5" s="397"/>
      <c r="F5" s="397"/>
      <c r="G5" s="397"/>
      <c r="H5" s="397"/>
      <c r="I5" s="397"/>
    </row>
    <row r="6" spans="1:11" ht="3" customHeight="1" x14ac:dyDescent="0.25"/>
    <row r="7" spans="1:11" s="59" customFormat="1" ht="16.5" customHeight="1" x14ac:dyDescent="0.25">
      <c r="A7" s="59" t="s">
        <v>2</v>
      </c>
      <c r="F7" s="111" t="s">
        <v>268</v>
      </c>
    </row>
    <row r="8" spans="1:11" s="59" customFormat="1" x14ac:dyDescent="0.25">
      <c r="A8" s="59" t="s">
        <v>3</v>
      </c>
      <c r="F8" s="239" t="s">
        <v>266</v>
      </c>
      <c r="H8" s="180">
        <v>101.9</v>
      </c>
      <c r="I8" s="59">
        <v>784.9</v>
      </c>
      <c r="J8" s="281">
        <f>H8+I8</f>
        <v>886.8</v>
      </c>
    </row>
    <row r="9" spans="1:11" s="59" customFormat="1" ht="17.25" customHeight="1" x14ac:dyDescent="0.25">
      <c r="B9" s="59" t="s">
        <v>252</v>
      </c>
      <c r="F9" s="239" t="s">
        <v>267</v>
      </c>
    </row>
    <row r="10" spans="1:11" s="59" customFormat="1" x14ac:dyDescent="0.25">
      <c r="A10" s="372" t="s">
        <v>8</v>
      </c>
      <c r="B10" s="372"/>
      <c r="C10" s="372"/>
      <c r="D10" s="372"/>
      <c r="E10" s="372"/>
      <c r="F10" s="372"/>
      <c r="G10" s="372"/>
      <c r="H10" s="372"/>
      <c r="I10" s="372"/>
    </row>
    <row r="11" spans="1:11" s="59" customFormat="1" x14ac:dyDescent="0.25">
      <c r="A11" s="372" t="s">
        <v>9</v>
      </c>
      <c r="B11" s="372"/>
      <c r="C11" s="372"/>
      <c r="D11" s="372"/>
      <c r="E11" s="372"/>
      <c r="F11" s="372"/>
      <c r="G11" s="372"/>
      <c r="H11" s="372"/>
      <c r="I11" s="372"/>
    </row>
    <row r="12" spans="1:11" s="59" customFormat="1" x14ac:dyDescent="0.25">
      <c r="A12" s="372" t="s">
        <v>10</v>
      </c>
      <c r="B12" s="372"/>
      <c r="C12" s="372"/>
      <c r="D12" s="372"/>
      <c r="E12" s="372"/>
      <c r="F12" s="372"/>
      <c r="G12" s="372"/>
      <c r="H12" s="372"/>
      <c r="I12" s="372"/>
    </row>
    <row r="13" spans="1:11" s="59" customFormat="1" ht="6" customHeight="1" thickBot="1" x14ac:dyDescent="0.3">
      <c r="A13" s="60"/>
      <c r="B13" s="60"/>
      <c r="C13" s="60"/>
      <c r="D13" s="38"/>
      <c r="E13" s="58"/>
      <c r="F13" s="58"/>
      <c r="G13" s="58"/>
      <c r="H13" s="54"/>
      <c r="I13" s="54"/>
    </row>
    <row r="14" spans="1:11" s="59" customFormat="1" ht="15.75" thickBot="1" x14ac:dyDescent="0.3">
      <c r="A14" s="55" t="s">
        <v>381</v>
      </c>
      <c r="B14" s="56"/>
      <c r="C14" s="56"/>
      <c r="D14" s="61"/>
      <c r="E14" s="62"/>
      <c r="F14" s="62"/>
      <c r="G14" s="129">
        <f>'[1]Труда 5а корп.2'!$G$36</f>
        <v>-96651.610500000024</v>
      </c>
      <c r="H14" s="54"/>
      <c r="I14" s="54"/>
    </row>
    <row r="15" spans="1:11" s="59" customFormat="1" ht="6.75" customHeight="1" x14ac:dyDescent="0.25"/>
    <row r="16" spans="1:11" s="66" customFormat="1" ht="38.25" x14ac:dyDescent="0.25">
      <c r="A16" s="64" t="s">
        <v>11</v>
      </c>
      <c r="B16" s="64" t="s">
        <v>12</v>
      </c>
      <c r="C16" s="64" t="s">
        <v>61</v>
      </c>
      <c r="D16" s="64" t="s">
        <v>432</v>
      </c>
      <c r="E16" s="64" t="s">
        <v>433</v>
      </c>
      <c r="F16" s="65" t="s">
        <v>434</v>
      </c>
      <c r="G16" s="64" t="s">
        <v>435</v>
      </c>
    </row>
    <row r="17" spans="1:9" s="59" customFormat="1" x14ac:dyDescent="0.25">
      <c r="A17" s="67" t="s">
        <v>14</v>
      </c>
      <c r="B17" s="39" t="s">
        <v>379</v>
      </c>
      <c r="C17" s="120">
        <v>21.98</v>
      </c>
      <c r="D17" s="68">
        <v>190448.4</v>
      </c>
      <c r="E17" s="68">
        <v>159419.82999999999</v>
      </c>
      <c r="F17" s="68">
        <f t="shared" ref="F17:F24" si="0">D17</f>
        <v>190448.4</v>
      </c>
      <c r="G17" s="69">
        <f>D17-E17</f>
        <v>31028.570000000007</v>
      </c>
      <c r="H17" s="70">
        <f>C17</f>
        <v>21.98</v>
      </c>
    </row>
    <row r="18" spans="1:9" s="59" customFormat="1" hidden="1" outlineLevel="1" x14ac:dyDescent="0.25">
      <c r="A18" s="73" t="s">
        <v>16</v>
      </c>
      <c r="B18" s="34" t="s">
        <v>17</v>
      </c>
      <c r="C18" s="89">
        <v>3.46</v>
      </c>
      <c r="D18" s="75">
        <f>D17*I18</f>
        <v>29979.593448589629</v>
      </c>
      <c r="E18" s="75">
        <f>E17*I18</f>
        <v>25095.205268425841</v>
      </c>
      <c r="F18" s="75">
        <f t="shared" si="0"/>
        <v>29979.593448589629</v>
      </c>
      <c r="G18" s="76">
        <f>D18-E18</f>
        <v>4884.3881801637872</v>
      </c>
      <c r="H18" s="70">
        <f>C18</f>
        <v>3.46</v>
      </c>
      <c r="I18" s="59">
        <f>H18/H17</f>
        <v>0.15741583257506825</v>
      </c>
    </row>
    <row r="19" spans="1:9" s="59" customFormat="1" hidden="1" outlineLevel="1" x14ac:dyDescent="0.25">
      <c r="A19" s="73" t="s">
        <v>18</v>
      </c>
      <c r="B19" s="34" t="s">
        <v>19</v>
      </c>
      <c r="C19" s="89">
        <v>1.69</v>
      </c>
      <c r="D19" s="75">
        <f>D17*I19</f>
        <v>14643.211828935395</v>
      </c>
      <c r="E19" s="75">
        <f>E17*I19</f>
        <v>12257.484654231119</v>
      </c>
      <c r="F19" s="75">
        <f t="shared" si="0"/>
        <v>14643.211828935395</v>
      </c>
      <c r="G19" s="76">
        <f>D19-E19</f>
        <v>2385.727174704276</v>
      </c>
      <c r="H19" s="70">
        <f>C19</f>
        <v>1.69</v>
      </c>
      <c r="I19" s="59">
        <f>H19/H17</f>
        <v>7.6888080072793449E-2</v>
      </c>
    </row>
    <row r="20" spans="1:9" s="59" customFormat="1" hidden="1" outlineLevel="1" x14ac:dyDescent="0.25">
      <c r="A20" s="73" t="s">
        <v>20</v>
      </c>
      <c r="B20" s="34" t="s">
        <v>21</v>
      </c>
      <c r="C20" s="89">
        <v>1.69</v>
      </c>
      <c r="D20" s="75">
        <f>D17*I20</f>
        <v>14643.211828935395</v>
      </c>
      <c r="E20" s="75">
        <f>E17*I20</f>
        <v>12257.484654231119</v>
      </c>
      <c r="F20" s="75">
        <f t="shared" si="0"/>
        <v>14643.211828935395</v>
      </c>
      <c r="G20" s="76">
        <f>D20-E20</f>
        <v>2385.727174704276</v>
      </c>
      <c r="H20" s="70">
        <f>C20</f>
        <v>1.69</v>
      </c>
      <c r="I20" s="59">
        <f>H20/H17</f>
        <v>7.6888080072793449E-2</v>
      </c>
    </row>
    <row r="21" spans="1:9" s="59" customFormat="1" hidden="1" outlineLevel="1" x14ac:dyDescent="0.25">
      <c r="A21" s="73" t="s">
        <v>22</v>
      </c>
      <c r="B21" s="34" t="s">
        <v>23</v>
      </c>
      <c r="C21" s="89">
        <v>3.04</v>
      </c>
      <c r="D21" s="75">
        <f>D17*I21</f>
        <v>26340.452047315743</v>
      </c>
      <c r="E21" s="75">
        <f>E17*I21</f>
        <v>22048.966478616923</v>
      </c>
      <c r="F21" s="75">
        <f t="shared" si="0"/>
        <v>26340.452047315743</v>
      </c>
      <c r="G21" s="76">
        <f>D21-E21</f>
        <v>4291.4855686988194</v>
      </c>
      <c r="H21" s="70">
        <f>C21</f>
        <v>3.04</v>
      </c>
      <c r="I21" s="59">
        <f>H21/H17</f>
        <v>0.13830755232029118</v>
      </c>
    </row>
    <row r="22" spans="1:9" ht="21" customHeight="1" collapsed="1" x14ac:dyDescent="0.25">
      <c r="A22" s="39" t="s">
        <v>25</v>
      </c>
      <c r="B22" s="78" t="s">
        <v>145</v>
      </c>
      <c r="C22" s="43">
        <v>0</v>
      </c>
      <c r="D22" s="69">
        <v>0</v>
      </c>
      <c r="E22" s="69">
        <v>0</v>
      </c>
      <c r="F22" s="69">
        <v>0</v>
      </c>
      <c r="G22" s="69">
        <f t="shared" ref="G22:G32" si="1">D22-E22</f>
        <v>0</v>
      </c>
      <c r="H22" s="35">
        <f>71*130</f>
        <v>9230</v>
      </c>
      <c r="I22" s="274">
        <f>D22/H22</f>
        <v>0</v>
      </c>
    </row>
    <row r="23" spans="1:9" x14ac:dyDescent="0.25">
      <c r="A23" s="39" t="s">
        <v>27</v>
      </c>
      <c r="B23" s="125" t="s">
        <v>28</v>
      </c>
      <c r="C23" s="87">
        <v>0</v>
      </c>
      <c r="D23" s="69">
        <v>0</v>
      </c>
      <c r="E23" s="69">
        <v>0</v>
      </c>
      <c r="F23" s="69">
        <f t="shared" si="0"/>
        <v>0</v>
      </c>
      <c r="G23" s="69">
        <f t="shared" si="1"/>
        <v>0</v>
      </c>
    </row>
    <row r="24" spans="1:9" ht="15.75" customHeight="1" x14ac:dyDescent="0.25">
      <c r="A24" s="39" t="s">
        <v>29</v>
      </c>
      <c r="B24" s="125" t="s">
        <v>97</v>
      </c>
      <c r="C24" s="357">
        <v>0</v>
      </c>
      <c r="D24" s="69">
        <v>0</v>
      </c>
      <c r="E24" s="69">
        <v>0</v>
      </c>
      <c r="F24" s="69">
        <f t="shared" si="0"/>
        <v>0</v>
      </c>
      <c r="G24" s="69">
        <f t="shared" si="1"/>
        <v>0</v>
      </c>
    </row>
    <row r="25" spans="1:9" x14ac:dyDescent="0.25">
      <c r="A25" s="39" t="s">
        <v>31</v>
      </c>
      <c r="B25" s="125" t="s">
        <v>80</v>
      </c>
      <c r="C25" s="87">
        <v>2.17</v>
      </c>
      <c r="D25" s="69">
        <f>20438.52+D26</f>
        <v>23092</v>
      </c>
      <c r="E25" s="69">
        <f>16892.57+E26</f>
        <v>19546.05</v>
      </c>
      <c r="F25" s="79">
        <f>F43</f>
        <v>195.4605</v>
      </c>
      <c r="G25" s="69">
        <f t="shared" si="1"/>
        <v>3545.9500000000007</v>
      </c>
    </row>
    <row r="26" spans="1:9" x14ac:dyDescent="0.25">
      <c r="A26" s="39"/>
      <c r="B26" s="292" t="s">
        <v>244</v>
      </c>
      <c r="C26" s="293"/>
      <c r="D26" s="294">
        <v>2653.48</v>
      </c>
      <c r="E26" s="294">
        <v>2653.48</v>
      </c>
      <c r="F26" s="294"/>
      <c r="G26" s="248">
        <f>D26-E26</f>
        <v>0</v>
      </c>
    </row>
    <row r="27" spans="1:9" x14ac:dyDescent="0.25">
      <c r="A27" s="39" t="s">
        <v>33</v>
      </c>
      <c r="B27" s="119" t="s">
        <v>34</v>
      </c>
      <c r="C27" s="43">
        <v>0</v>
      </c>
      <c r="D27" s="69">
        <v>0</v>
      </c>
      <c r="E27" s="69">
        <v>0</v>
      </c>
      <c r="F27" s="79">
        <v>0</v>
      </c>
      <c r="G27" s="69">
        <f t="shared" si="1"/>
        <v>0</v>
      </c>
    </row>
    <row r="28" spans="1:9" x14ac:dyDescent="0.25">
      <c r="A28" s="39" t="s">
        <v>35</v>
      </c>
      <c r="B28" s="119" t="s">
        <v>36</v>
      </c>
      <c r="C28" s="87"/>
      <c r="D28" s="69">
        <f>SUM(D29:D32)</f>
        <v>660224.05000000005</v>
      </c>
      <c r="E28" s="69">
        <f>SUM(E29:E32)</f>
        <v>566639.85</v>
      </c>
      <c r="F28" s="69">
        <f>SUM(F29:F32)</f>
        <v>660224.05000000005</v>
      </c>
      <c r="G28" s="69">
        <f t="shared" si="1"/>
        <v>93584.20000000007</v>
      </c>
    </row>
    <row r="29" spans="1:9" x14ac:dyDescent="0.25">
      <c r="A29" s="34" t="s">
        <v>37</v>
      </c>
      <c r="B29" s="34" t="s">
        <v>101</v>
      </c>
      <c r="C29" s="89">
        <v>7.36</v>
      </c>
      <c r="D29" s="76">
        <v>32209.14</v>
      </c>
      <c r="E29" s="76">
        <v>27855.55</v>
      </c>
      <c r="F29" s="76">
        <f>D29</f>
        <v>32209.14</v>
      </c>
      <c r="G29" s="76">
        <f t="shared" si="1"/>
        <v>4353.59</v>
      </c>
    </row>
    <row r="30" spans="1:9" x14ac:dyDescent="0.25">
      <c r="A30" s="34" t="s">
        <v>39</v>
      </c>
      <c r="B30" s="34" t="s">
        <v>84</v>
      </c>
      <c r="C30" s="89">
        <v>88.38</v>
      </c>
      <c r="D30" s="76">
        <v>143676.56</v>
      </c>
      <c r="E30" s="76">
        <v>135496.74</v>
      </c>
      <c r="F30" s="76">
        <f>D30</f>
        <v>143676.56</v>
      </c>
      <c r="G30" s="76">
        <f t="shared" si="1"/>
        <v>8179.820000000007</v>
      </c>
    </row>
    <row r="31" spans="1:9" s="36" customFormat="1" x14ac:dyDescent="0.25">
      <c r="A31" s="34" t="s">
        <v>42</v>
      </c>
      <c r="B31" s="34" t="s">
        <v>40</v>
      </c>
      <c r="C31" s="128">
        <v>0</v>
      </c>
      <c r="D31" s="76">
        <v>0</v>
      </c>
      <c r="E31" s="76">
        <v>0</v>
      </c>
      <c r="F31" s="76">
        <f>D31</f>
        <v>0</v>
      </c>
      <c r="G31" s="76">
        <f t="shared" si="1"/>
        <v>0</v>
      </c>
      <c r="H31" s="35"/>
      <c r="I31" s="35"/>
    </row>
    <row r="32" spans="1:9" ht="23.25" customHeight="1" x14ac:dyDescent="0.25">
      <c r="A32" s="34" t="s">
        <v>41</v>
      </c>
      <c r="B32" s="34" t="s">
        <v>43</v>
      </c>
      <c r="C32" s="89">
        <v>3352.42</v>
      </c>
      <c r="D32" s="76">
        <v>484338.35</v>
      </c>
      <c r="E32" s="76">
        <v>403287.56</v>
      </c>
      <c r="F32" s="76">
        <f>D32</f>
        <v>484338.35</v>
      </c>
      <c r="G32" s="76">
        <f t="shared" si="1"/>
        <v>81050.789999999979</v>
      </c>
    </row>
    <row r="33" spans="1:10" ht="23.25" customHeight="1" thickBot="1" x14ac:dyDescent="0.3">
      <c r="A33" s="373"/>
      <c r="B33" s="374"/>
      <c r="C33" s="374"/>
      <c r="D33" s="375"/>
      <c r="E33" s="375"/>
      <c r="F33" s="375"/>
      <c r="G33" s="155"/>
    </row>
    <row r="34" spans="1:10" s="92" customFormat="1" ht="14.25" thickBot="1" x14ac:dyDescent="0.3">
      <c r="A34" s="387" t="s">
        <v>427</v>
      </c>
      <c r="B34" s="388"/>
      <c r="C34" s="388"/>
      <c r="D34" s="57">
        <v>128158.72</v>
      </c>
      <c r="E34" s="58"/>
      <c r="F34" s="58"/>
      <c r="G34" s="58"/>
      <c r="H34" s="91"/>
      <c r="I34" s="91"/>
      <c r="J34" s="91"/>
    </row>
    <row r="35" spans="1:10" s="59" customFormat="1" ht="15.75" thickBot="1" x14ac:dyDescent="0.3">
      <c r="A35" s="373"/>
      <c r="B35" s="374"/>
      <c r="C35" s="374"/>
      <c r="D35" s="375"/>
      <c r="E35" s="375"/>
      <c r="F35" s="375"/>
      <c r="G35" s="58"/>
      <c r="H35" s="54"/>
      <c r="I35" s="54"/>
    </row>
    <row r="36" spans="1:10" s="59" customFormat="1" ht="15.75" thickBot="1" x14ac:dyDescent="0.3">
      <c r="A36" s="55" t="s">
        <v>428</v>
      </c>
      <c r="B36" s="56"/>
      <c r="C36" s="56"/>
      <c r="D36" s="61"/>
      <c r="E36" s="62"/>
      <c r="F36" s="62"/>
      <c r="G36" s="129">
        <f>G14+E25-F25</f>
        <v>-77301.021000000022</v>
      </c>
      <c r="H36" s="54"/>
      <c r="I36" s="54"/>
    </row>
    <row r="37" spans="1:10" s="59" customFormat="1" x14ac:dyDescent="0.25">
      <c r="A37" s="514" t="s">
        <v>134</v>
      </c>
      <c r="B37" s="515"/>
      <c r="C37" s="93"/>
      <c r="D37" s="93"/>
      <c r="E37" s="91"/>
      <c r="F37" s="91"/>
      <c r="G37" s="91"/>
      <c r="H37" s="54"/>
      <c r="I37" s="54"/>
    </row>
    <row r="38" spans="1:10" s="59" customFormat="1" x14ac:dyDescent="0.25">
      <c r="A38" s="393" t="s">
        <v>91</v>
      </c>
      <c r="B38" s="394"/>
      <c r="C38" s="41" t="s">
        <v>92</v>
      </c>
      <c r="D38" s="41" t="s">
        <v>93</v>
      </c>
      <c r="E38" s="42" t="s">
        <v>94</v>
      </c>
      <c r="F38" s="40" t="s">
        <v>95</v>
      </c>
      <c r="G38" s="42" t="s">
        <v>96</v>
      </c>
      <c r="H38" s="54"/>
      <c r="I38" s="54"/>
    </row>
    <row r="39" spans="1:10" s="59" customFormat="1" x14ac:dyDescent="0.25">
      <c r="A39" s="395"/>
      <c r="B39" s="396"/>
      <c r="C39" s="110">
        <v>101.9</v>
      </c>
      <c r="D39" s="138">
        <f>E39/C39/12</f>
        <v>24.149950932286554</v>
      </c>
      <c r="E39" s="358">
        <v>29530.560000000001</v>
      </c>
      <c r="F39" s="358">
        <f>29530.56</f>
        <v>29530.560000000001</v>
      </c>
      <c r="G39" s="138">
        <f>E39-F39</f>
        <v>0</v>
      </c>
      <c r="H39" s="335">
        <f>C17+C25</f>
        <v>24.15</v>
      </c>
      <c r="I39" s="54">
        <f>H39*C39*3</f>
        <v>7382.6550000000007</v>
      </c>
    </row>
    <row r="40" spans="1:10" s="59" customFormat="1" ht="29.25" customHeight="1" x14ac:dyDescent="0.25">
      <c r="A40" s="485" t="s">
        <v>44</v>
      </c>
      <c r="B40" s="485"/>
      <c r="C40" s="485"/>
      <c r="D40" s="485"/>
      <c r="E40" s="485"/>
      <c r="F40" s="485"/>
      <c r="G40" s="485"/>
      <c r="H40" s="485"/>
      <c r="I40" s="485"/>
    </row>
    <row r="41" spans="1:10" ht="26.25" customHeight="1" x14ac:dyDescent="0.25"/>
    <row r="42" spans="1:10" ht="28.5" x14ac:dyDescent="0.25">
      <c r="A42" s="94" t="s">
        <v>11</v>
      </c>
      <c r="B42" s="416" t="s">
        <v>45</v>
      </c>
      <c r="C42" s="425"/>
      <c r="D42" s="94" t="s">
        <v>99</v>
      </c>
      <c r="E42" s="94" t="s">
        <v>98</v>
      </c>
      <c r="F42" s="416" t="s">
        <v>46</v>
      </c>
      <c r="G42" s="425"/>
      <c r="H42" s="156"/>
      <c r="I42" s="156"/>
    </row>
    <row r="43" spans="1:10" s="156" customFormat="1" x14ac:dyDescent="0.25">
      <c r="A43" s="98" t="s">
        <v>47</v>
      </c>
      <c r="B43" s="418" t="s">
        <v>75</v>
      </c>
      <c r="C43" s="430"/>
      <c r="D43" s="99"/>
      <c r="E43" s="99"/>
      <c r="F43" s="436">
        <f>SUM(F44:L46)</f>
        <v>195.4605</v>
      </c>
      <c r="G43" s="424"/>
      <c r="H43" s="103"/>
      <c r="I43" s="103"/>
    </row>
    <row r="44" spans="1:10" s="103" customFormat="1" ht="27.75" customHeight="1" x14ac:dyDescent="0.25">
      <c r="A44" s="34" t="s">
        <v>16</v>
      </c>
      <c r="B44" s="412"/>
      <c r="C44" s="428"/>
      <c r="D44" s="260"/>
      <c r="E44" s="260"/>
      <c r="F44" s="463"/>
      <c r="G44" s="463"/>
      <c r="H44" s="35"/>
      <c r="I44" s="35"/>
    </row>
    <row r="45" spans="1:10" ht="13.5" customHeight="1" x14ac:dyDescent="0.25">
      <c r="A45" s="34" t="s">
        <v>18</v>
      </c>
      <c r="B45" s="412"/>
      <c r="C45" s="428"/>
      <c r="D45" s="258"/>
      <c r="E45" s="258"/>
      <c r="F45" s="463"/>
      <c r="G45" s="463"/>
    </row>
    <row r="46" spans="1:10" s="59" customFormat="1" x14ac:dyDescent="0.25">
      <c r="A46" s="34" t="s">
        <v>20</v>
      </c>
      <c r="B46" s="133" t="s">
        <v>108</v>
      </c>
      <c r="C46" s="134"/>
      <c r="D46" s="105"/>
      <c r="E46" s="105"/>
      <c r="F46" s="435">
        <f>E25*1%</f>
        <v>195.4605</v>
      </c>
      <c r="G46" s="435"/>
    </row>
    <row r="47" spans="1:10" s="59" customFormat="1" x14ac:dyDescent="0.25">
      <c r="H47" s="35"/>
      <c r="I47" s="35"/>
    </row>
    <row r="48" spans="1:10" s="59" customFormat="1" x14ac:dyDescent="0.25">
      <c r="H48" s="35"/>
      <c r="I48" s="35"/>
    </row>
    <row r="49" spans="1:9" s="59" customFormat="1" x14ac:dyDescent="0.25">
      <c r="A49" s="51" t="s">
        <v>372</v>
      </c>
      <c r="C49" s="59" t="s">
        <v>49</v>
      </c>
      <c r="F49" s="59" t="s">
        <v>60</v>
      </c>
      <c r="H49" s="35"/>
      <c r="I49" s="35"/>
    </row>
    <row r="50" spans="1:9" s="59" customFormat="1" x14ac:dyDescent="0.25">
      <c r="F50" s="111" t="s">
        <v>438</v>
      </c>
    </row>
    <row r="51" spans="1:9" x14ac:dyDescent="0.25">
      <c r="A51" s="59" t="s">
        <v>50</v>
      </c>
      <c r="B51" s="59"/>
      <c r="C51" s="59"/>
      <c r="D51" s="59"/>
      <c r="E51" s="59"/>
      <c r="F51" s="59"/>
      <c r="G51" s="59"/>
    </row>
    <row r="52" spans="1:9" x14ac:dyDescent="0.25">
      <c r="A52" s="59"/>
      <c r="B52" s="59"/>
      <c r="C52" s="113" t="s">
        <v>51</v>
      </c>
      <c r="D52" s="59"/>
      <c r="E52" s="113"/>
      <c r="F52" s="113"/>
      <c r="G52" s="113"/>
    </row>
    <row r="53" spans="1:9" x14ac:dyDescent="0.25">
      <c r="A53" s="59"/>
      <c r="B53" s="59"/>
      <c r="C53" s="59"/>
      <c r="D53" s="59"/>
      <c r="E53" s="59"/>
      <c r="F53" s="59"/>
      <c r="G53" s="59"/>
    </row>
  </sheetData>
  <mergeCells count="22">
    <mergeCell ref="A12:I12"/>
    <mergeCell ref="A40:I40"/>
    <mergeCell ref="F42:G42"/>
    <mergeCell ref="B42:C42"/>
    <mergeCell ref="A37:B37"/>
    <mergeCell ref="A38:B39"/>
    <mergeCell ref="A1:I1"/>
    <mergeCell ref="A3:K3"/>
    <mergeCell ref="A5:I5"/>
    <mergeCell ref="F44:G44"/>
    <mergeCell ref="A34:C34"/>
    <mergeCell ref="A10:I10"/>
    <mergeCell ref="A11:I11"/>
    <mergeCell ref="B43:C43"/>
    <mergeCell ref="B44:C44"/>
    <mergeCell ref="A2:K2"/>
    <mergeCell ref="A35:F35"/>
    <mergeCell ref="A33:F33"/>
    <mergeCell ref="F46:G46"/>
    <mergeCell ref="F43:G43"/>
    <mergeCell ref="F45:G45"/>
    <mergeCell ref="B45:C45"/>
  </mergeCells>
  <phoneticPr fontId="14" type="noConversion"/>
  <pageMargins left="0" right="0" top="0" bottom="0" header="0.31496062992125984" footer="0.31496062992125984"/>
  <pageSetup paperSize="9" scale="99" orientation="portrait" verticalDpi="0" r:id="rId1"/>
  <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860D06-4159-4106-9A37-9D06101888CD}">
  <dimension ref="A1:M44"/>
  <sheetViews>
    <sheetView topLeftCell="A28" workbookViewId="0">
      <selection activeCell="F46" sqref="F46"/>
    </sheetView>
  </sheetViews>
  <sheetFormatPr defaultRowHeight="15" outlineLevelCol="1" x14ac:dyDescent="0.25"/>
  <cols>
    <col min="1" max="1" width="4.7109375" style="1" customWidth="1"/>
    <col min="2" max="2" width="25.42578125" style="1" customWidth="1"/>
    <col min="3" max="3" width="12.7109375" style="1" customWidth="1"/>
    <col min="4" max="4" width="13.42578125" style="1" customWidth="1"/>
    <col min="5" max="5" width="13" style="1" customWidth="1"/>
    <col min="6" max="6" width="11.5703125" style="1" customWidth="1"/>
    <col min="7" max="7" width="12" style="1" customWidth="1"/>
    <col min="8" max="8" width="12.85546875" style="1" hidden="1" customWidth="1" outlineLevel="1"/>
    <col min="9" max="9" width="13.42578125" style="1" hidden="1" customWidth="1" outlineLevel="1"/>
    <col min="10" max="12" width="9.140625" style="1" hidden="1" customWidth="1" outlineLevel="1"/>
    <col min="13" max="13" width="9.140625" style="1" collapsed="1"/>
    <col min="14" max="16384" width="9.140625" style="1"/>
  </cols>
  <sheetData>
    <row r="1" spans="1:9" x14ac:dyDescent="0.25">
      <c r="A1" s="544" t="s">
        <v>0</v>
      </c>
      <c r="B1" s="544"/>
      <c r="C1" s="544"/>
      <c r="D1" s="544"/>
      <c r="E1" s="544"/>
      <c r="F1" s="544"/>
      <c r="G1" s="544"/>
      <c r="H1" s="544"/>
      <c r="I1" s="544"/>
    </row>
    <row r="2" spans="1:9" x14ac:dyDescent="0.25">
      <c r="A2" s="544" t="s">
        <v>52</v>
      </c>
      <c r="B2" s="544"/>
      <c r="C2" s="544"/>
      <c r="D2" s="544"/>
      <c r="E2" s="544"/>
      <c r="F2" s="544"/>
      <c r="G2" s="544"/>
      <c r="H2" s="544"/>
      <c r="I2" s="544"/>
    </row>
    <row r="3" spans="1:9" x14ac:dyDescent="0.25">
      <c r="A3" s="544" t="s">
        <v>65</v>
      </c>
      <c r="B3" s="544"/>
      <c r="C3" s="544"/>
      <c r="D3" s="544"/>
      <c r="E3" s="544"/>
      <c r="F3" s="544"/>
      <c r="G3" s="544"/>
      <c r="H3" s="544"/>
      <c r="I3" s="544"/>
    </row>
    <row r="4" spans="1:9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545" t="s">
        <v>1</v>
      </c>
      <c r="B5" s="544"/>
      <c r="C5" s="544"/>
      <c r="D5" s="544"/>
      <c r="E5" s="544"/>
      <c r="F5" s="544"/>
      <c r="G5" s="544"/>
      <c r="H5" s="544"/>
      <c r="I5" s="544"/>
    </row>
    <row r="7" spans="1:9" s="3" customFormat="1" x14ac:dyDescent="0.25">
      <c r="A7" s="3" t="s">
        <v>2</v>
      </c>
      <c r="F7" s="4"/>
    </row>
    <row r="8" spans="1:9" s="3" customFormat="1" x14ac:dyDescent="0.25">
      <c r="A8" s="3" t="s">
        <v>3</v>
      </c>
      <c r="F8" s="4"/>
    </row>
    <row r="9" spans="1:9" s="3" customFormat="1" x14ac:dyDescent="0.25">
      <c r="A9" s="3" t="s">
        <v>4</v>
      </c>
    </row>
    <row r="10" spans="1:9" s="3" customFormat="1" x14ac:dyDescent="0.25">
      <c r="A10" s="3" t="s">
        <v>5</v>
      </c>
      <c r="F10" s="4" t="s">
        <v>6</v>
      </c>
    </row>
    <row r="11" spans="1:9" s="3" customFormat="1" x14ac:dyDescent="0.25">
      <c r="A11" s="3" t="s">
        <v>7</v>
      </c>
      <c r="F11" s="4" t="s">
        <v>6</v>
      </c>
    </row>
    <row r="12" spans="1:9" s="3" customFormat="1" x14ac:dyDescent="0.25"/>
    <row r="13" spans="1:9" s="3" customFormat="1" x14ac:dyDescent="0.25">
      <c r="A13" s="530" t="s">
        <v>8</v>
      </c>
      <c r="B13" s="530"/>
      <c r="C13" s="530"/>
      <c r="D13" s="530"/>
      <c r="E13" s="530"/>
      <c r="F13" s="530"/>
      <c r="G13" s="530"/>
      <c r="H13" s="530"/>
      <c r="I13" s="530"/>
    </row>
    <row r="14" spans="1:9" s="3" customFormat="1" x14ac:dyDescent="0.25">
      <c r="A14" s="530" t="s">
        <v>9</v>
      </c>
      <c r="B14" s="530"/>
      <c r="C14" s="530"/>
      <c r="D14" s="530"/>
      <c r="E14" s="530"/>
      <c r="F14" s="530"/>
      <c r="G14" s="530"/>
      <c r="H14" s="530"/>
      <c r="I14" s="530"/>
    </row>
    <row r="15" spans="1:9" s="3" customFormat="1" x14ac:dyDescent="0.25">
      <c r="A15" s="530" t="s">
        <v>10</v>
      </c>
      <c r="B15" s="530"/>
      <c r="C15" s="530"/>
      <c r="D15" s="530"/>
      <c r="E15" s="530"/>
      <c r="F15" s="530"/>
      <c r="G15" s="530"/>
      <c r="H15" s="530"/>
      <c r="I15" s="530"/>
    </row>
    <row r="16" spans="1:9" s="3" customFormat="1" x14ac:dyDescent="0.25"/>
    <row r="17" spans="1:9" s="14" customFormat="1" ht="52.5" customHeight="1" x14ac:dyDescent="0.25">
      <c r="A17" s="5" t="s">
        <v>11</v>
      </c>
      <c r="B17" s="5" t="s">
        <v>12</v>
      </c>
      <c r="C17" s="5" t="s">
        <v>61</v>
      </c>
      <c r="D17" s="5" t="s">
        <v>76</v>
      </c>
      <c r="E17" s="5" t="s">
        <v>77</v>
      </c>
      <c r="F17" s="13" t="s">
        <v>78</v>
      </c>
      <c r="G17" s="5" t="s">
        <v>79</v>
      </c>
    </row>
    <row r="18" spans="1:9" s="3" customFormat="1" ht="30" x14ac:dyDescent="0.25">
      <c r="A18" s="6" t="s">
        <v>14</v>
      </c>
      <c r="B18" s="7" t="s">
        <v>15</v>
      </c>
      <c r="C18" s="25">
        <v>6.75</v>
      </c>
      <c r="D18" s="8" t="e">
        <f>'Баррикад 2'!D17+'В.Восстания 1'!D17+'Воронина 9'!D17+'Герцена 17 '!D17+'Герцена 3'!D16+'Герцена 6'!D17+'Герцена 9а'!D17+'Огарева 3'!D17+'Интернациональный 10'!D17+'Огарева 34а'!D17+'Огарева 4'!D17+'Огарева 40 корп.1'!D17+'Огарева 40 корп.2'!D17+'Огарева 6'!D17+'Пролетарская 21'!D17+#REF!+'Пролетарская 41'!D17+'Пролетарская 44'!D17+'Пролетарская 90'!D17+'Пухова 1'!D17+'Пухова 19'!D17+'Пухова 3'!D17+'Рылеева 1дробь 12'!D17+'Рылеева 18б'!D17+'Рылеева 19'!D17+#REF!+#REF!+'Рылеева 6'!D18+'Суворова 13'!D17+'Суворова 17'!D17+'Суворова 63 корп.1'!D17+'Суворова 69'!D17+#REF!+'Суворова 9'!D16+'Суворова 93 дробь 26'!D17+'Суворова 95'!D17+'Суворова 38'!D17+#REF!+'Большевиков 3'!D17+'Суворова 58'!D17+'Суворова 46'!D17+'пер Труда 4 корп.2'!D16+'Труда 16'!D17</f>
        <v>#REF!</v>
      </c>
      <c r="E18" s="8" t="e">
        <f>'Баррикад 2'!E17+'В.Восстания 1'!E17+'Воронина 9'!E17+'Герцена 17 '!E17+'Герцена 3'!E16+'Герцена 6'!E17+'Герцена 9а'!E17+'Огарева 3'!E17+'Интернациональный 10'!E17+'Огарева 34а'!E17+'Огарева 4'!E17+'Огарева 40 корп.1'!E17+'Огарева 40 корп.2'!E17+'Огарева 6'!E17+'Пролетарская 21'!E17+#REF!+'Пролетарская 41'!E17+'Пролетарская 44'!E17+'Пролетарская 90'!E17+'Пухова 1'!E17+'Пухова 19'!E17+'Пухова 3'!E17+'Рылеева 1дробь 12'!E17+'Рылеева 18б'!E17+'Рылеева 19'!E17+#REF!+#REF!+'Рылеева 6'!E18+'Суворова 13'!E17+'Суворова 17'!E17+'Суворова 63 корп.1'!E17+'Суворова 69'!E17+#REF!+'Суворова 9'!E16+'Суворова 93 дробь 26'!E17+'Суворова 95'!E17+'Суворова 38'!E17+#REF!+'Большевиков 3'!E17+'Суворова 58'!E17+'Суворова 46'!E17+'пер Труда 4 корп.2'!E16+'Труда 16'!E17</f>
        <v>#REF!</v>
      </c>
      <c r="F18" s="8" t="e">
        <f>'Баррикад 2'!F17+'В.Восстания 1'!F17+'Воронина 9'!F17+'Герцена 17 '!F17+'Герцена 3'!F16+'Герцена 6'!F17+'Герцена 9а'!F17+'Огарева 3'!F17+'Интернациональный 10'!F17+'Огарева 34а'!F17+'Огарева 4'!F17+'Огарева 40 корп.1'!F17+'Огарева 40 корп.2'!F17+'Огарева 6'!F17+'Пролетарская 21'!F17+#REF!+'Пролетарская 41'!F17+'Пролетарская 44'!F17+'Пролетарская 90'!F17+'Пухова 1'!F17+'Пухова 19'!F17+'Пухова 3'!F17+'Рылеева 1дробь 12'!F17+'Рылеева 18б'!F17+'Рылеева 19'!F17+#REF!+#REF!+'Рылеева 6'!F18+'Суворова 13'!F17+'Суворова 17'!F17+'Суворова 63 корп.1'!F17+'Суворова 69'!F17+#REF!+'Суворова 9'!F16+'Суворова 93 дробь 26'!F17+'Суворова 95'!F17+'Суворова 38'!F17+#REF!+'Большевиков 3'!F17+'Суворова 58'!F17+'Суворова 46'!F17+'пер Труда 4 корп.2'!F16+'Труда 16'!F17</f>
        <v>#REF!</v>
      </c>
      <c r="G18" s="8" t="e">
        <f>'Баррикад 2'!G17+'В.Восстания 1'!G17+'Воронина 9'!G17+'Герцена 17 '!G17+'Герцена 3'!G16+'Герцена 6'!G17+'Герцена 9а'!G17+'Огарева 3'!G17+'Интернациональный 10'!G17+'Огарева 34а'!G17+'Огарева 4'!G17+'Огарева 40 корп.1'!G17+'Огарева 40 корп.2'!G17+'Огарева 6'!G17+'Пролетарская 21'!G17+#REF!+'Пролетарская 41'!G17+'Пролетарская 44'!G17+'Пролетарская 90'!G17+'Пухова 1'!G17+'Пухова 19'!G17+'Пухова 3'!G17+'Рылеева 1дробь 12'!G17+'Рылеева 18б'!G17+'Рылеева 19'!G17+#REF!+#REF!+'Рылеева 6'!G18+'Суворова 13'!G17+'Суворова 17'!G17+'Суворова 63 корп.1'!G17+'Суворова 69'!G17+#REF!+'Суворова 9'!G16+'Суворова 93 дробь 26'!G17+'Суворова 95'!G17+'Суворова 38'!G17+#REF!+'Большевиков 3'!G17+'Суворова 58'!G17+'Суворова 46'!G17+'пер Труда 4 корп.2'!G16+'Труда 16'!G17</f>
        <v>#REF!</v>
      </c>
      <c r="H18" s="28">
        <v>6.75</v>
      </c>
      <c r="I18" s="11"/>
    </row>
    <row r="19" spans="1:9" s="3" customFormat="1" ht="30" x14ac:dyDescent="0.25">
      <c r="A19" s="6" t="s">
        <v>16</v>
      </c>
      <c r="B19" s="7" t="s">
        <v>17</v>
      </c>
      <c r="C19" s="25">
        <v>2.41</v>
      </c>
      <c r="D19" s="8" t="e">
        <f>'Баррикад 2'!D18+'В.Восстания 1'!D18+'Воронина 9'!D18+'Герцена 17 '!D18+'Герцена 3'!D17+'Герцена 6'!D18+'Герцена 9а'!D18+'Огарева 3'!D18+'Интернациональный 10'!D18+'Огарева 34а'!D18+'Огарева 4'!D18+'Огарева 40 корп.1'!D18+'Огарева 40 корп.2'!D18+'Огарева 6'!D18+'Пролетарская 21'!D18+#REF!+'Пролетарская 41'!D18+'Пролетарская 44'!D18+'Пролетарская 90'!D18+'Пухова 1'!D18+'Пухова 19'!D18+'Пухова 3'!D18+'Рылеева 1дробь 12'!D18+'Рылеева 18б'!D18+'Рылеева 19'!D18+#REF!+#REF!+'Рылеева 6'!D19+'Суворова 13'!D18+'Суворова 17'!D18+'Суворова 63 корп.1'!D18+'Суворова 69'!D18+#REF!+'Суворова 9'!D17+'Суворова 93 дробь 26'!D18+'Суворова 95'!D18+'Суворова 38'!D18+#REF!+'Большевиков 3'!D18+'Суворова 58'!D18+'Суворова 46'!D18+'пер Труда 4 корп.2'!D17+'Труда 16'!D18</f>
        <v>#REF!</v>
      </c>
      <c r="E19" s="8" t="e">
        <f>'Баррикад 2'!E18+'В.Восстания 1'!E18+'Воронина 9'!E18+'Герцена 17 '!E18+'Герцена 3'!E17+'Герцена 6'!E18+'Герцена 9а'!E18+'Огарева 3'!E18+'Интернациональный 10'!E18+'Огарева 34а'!E18+'Огарева 4'!E18+'Огарева 40 корп.1'!E18+'Огарева 40 корп.2'!E18+'Огарева 6'!E18+'Пролетарская 21'!E18+#REF!+'Пролетарская 41'!E18+'Пролетарская 44'!E18+'Пролетарская 90'!E18+'Пухова 1'!E18+'Пухова 19'!E18+'Пухова 3'!E18+'Рылеева 1дробь 12'!E18+'Рылеева 18б'!E18+'Рылеева 19'!E18+#REF!+#REF!+'Рылеева 6'!E19+'Суворова 13'!E18+'Суворова 17'!E18+'Суворова 63 корп.1'!E18+'Суворова 69'!E18+#REF!+'Суворова 9'!E17+'Суворова 93 дробь 26'!E18+'Суворова 95'!E18+'Суворова 38'!E18+#REF!+'Большевиков 3'!E18+'Суворова 58'!E18+'Суворова 46'!E18+'пер Труда 4 корп.2'!E17+'Труда 16'!E18</f>
        <v>#REF!</v>
      </c>
      <c r="F19" s="8" t="e">
        <f>'Баррикад 2'!F18+'В.Восстания 1'!F18+'Воронина 9'!F18+'Герцена 17 '!F18+'Герцена 3'!F17+'Герцена 6'!F18+'Герцена 9а'!F18+'Огарева 3'!F18+'Интернациональный 10'!F18+'Огарева 34а'!F18+'Огарева 4'!F18+'Огарева 40 корп.1'!F18+'Огарева 40 корп.2'!F18+'Огарева 6'!F18+'Пролетарская 21'!F18+#REF!+'Пролетарская 41'!F18+'Пролетарская 44'!F18+'Пролетарская 90'!F18+'Пухова 1'!F18+'Пухова 19'!F18+'Пухова 3'!F18+'Рылеева 1дробь 12'!F18+'Рылеева 18б'!F18+'Рылеева 19'!F18+#REF!+#REF!+'Рылеева 6'!F19+'Суворова 13'!F18+'Суворова 17'!F18+'Суворова 63 корп.1'!F18+'Суворова 69'!F18+#REF!+'Суворова 9'!F17+'Суворова 93 дробь 26'!F18+'Суворова 95'!F18+'Суворова 38'!F18+#REF!+'Большевиков 3'!F18+'Суворова 58'!F18+'Суворова 46'!F18+'пер Труда 4 корп.2'!F17+'Труда 16'!F18</f>
        <v>#REF!</v>
      </c>
      <c r="G19" s="8" t="e">
        <f>'Баррикад 2'!G18+'В.Восстания 1'!G18+'Воронина 9'!G18+'Герцена 17 '!G18+'Герцена 3'!G17+'Герцена 6'!G18+'Герцена 9а'!G18+'Огарева 3'!G18+'Интернациональный 10'!G18+'Огарева 34а'!G18+'Огарева 4'!G18+'Огарева 40 корп.1'!G18+'Огарева 40 корп.2'!G18+'Огарева 6'!G18+'Пролетарская 21'!G18+#REF!+'Пролетарская 41'!G18+'Пролетарская 44'!G18+'Пролетарская 90'!G18+'Пухова 1'!G18+'Пухова 19'!G18+'Пухова 3'!G18+'Рылеева 1дробь 12'!G18+'Рылеева 18б'!G18+'Рылеева 19'!G18+#REF!+#REF!+'Рылеева 6'!G19+'Суворова 13'!G18+'Суворова 17'!G18+'Суворова 63 корп.1'!G18+'Суворова 69'!G18+#REF!+'Суворова 9'!G17+'Суворова 93 дробь 26'!G18+'Суворова 95'!G18+'Суворова 38'!G18+#REF!+'Большевиков 3'!G18+'Суворова 58'!G18+'Суворова 46'!G18+'пер Труда 4 корп.2'!G17+'Труда 16'!G18</f>
        <v>#REF!</v>
      </c>
      <c r="H19" s="28">
        <v>2.41</v>
      </c>
      <c r="I19" s="11">
        <f>H19/H18</f>
        <v>0.35703703703703704</v>
      </c>
    </row>
    <row r="20" spans="1:9" s="3" customFormat="1" ht="45" x14ac:dyDescent="0.25">
      <c r="A20" s="6" t="s">
        <v>18</v>
      </c>
      <c r="B20" s="7" t="s">
        <v>19</v>
      </c>
      <c r="C20" s="25">
        <v>1.2</v>
      </c>
      <c r="D20" s="8" t="e">
        <f>'Баррикад 2'!D19+'В.Восстания 1'!D19+'Воронина 9'!D19+'Герцена 17 '!D19+'Герцена 3'!D18+'Герцена 6'!D19+'Герцена 9а'!D19+'Огарева 3'!D19+'Интернациональный 10'!D19+'Огарева 34а'!D19+'Огарева 4'!D19+'Огарева 40 корп.1'!D19+'Огарева 40 корп.2'!D19+'Огарева 6'!D19+'Пролетарская 21'!D19+#REF!+'Пролетарская 41'!D19+'Пролетарская 44'!D19+'Пролетарская 90'!D19+'Пухова 1'!D19+'Пухова 19'!D19+'Пухова 3'!D19+'Рылеева 1дробь 12'!D19+'Рылеева 18б'!D19+'Рылеева 19'!D19+#REF!+#REF!+'Рылеева 6'!D20+'Суворова 13'!D19+'Суворова 17'!D19+'Суворова 63 корп.1'!D19+'Суворова 69'!D19+#REF!+'Суворова 9'!D18+'Суворова 93 дробь 26'!D19+'Суворова 95'!D19+'Суворова 38'!D19+#REF!+'Большевиков 3'!D19+'Суворова 58'!D19+'Суворова 46'!D19+'пер Труда 4 корп.2'!D18+'Труда 16'!D19</f>
        <v>#REF!</v>
      </c>
      <c r="E20" s="8" t="e">
        <f>'Баррикад 2'!E19+'В.Восстания 1'!E19+'Воронина 9'!E19+'Герцена 17 '!E19+'Герцена 3'!E18+'Герцена 6'!E19+'Герцена 9а'!E19+'Огарева 3'!E19+'Интернациональный 10'!E19+'Огарева 34а'!E19+'Огарева 4'!E19+'Огарева 40 корп.1'!E19+'Огарева 40 корп.2'!E19+'Огарева 6'!E19+'Пролетарская 21'!E19+#REF!+'Пролетарская 41'!E19+'Пролетарская 44'!E19+'Пролетарская 90'!E19+'Пухова 1'!E19+'Пухова 19'!E19+'Пухова 3'!E19+'Рылеева 1дробь 12'!E19+'Рылеева 18б'!E19+'Рылеева 19'!E19+#REF!+#REF!+'Рылеева 6'!E20+'Суворова 13'!E19+'Суворова 17'!E19+'Суворова 63 корп.1'!E19+'Суворова 69'!E19+#REF!+'Суворова 9'!E18+'Суворова 93 дробь 26'!E19+'Суворова 95'!E19+'Суворова 38'!E19+#REF!+'Большевиков 3'!E19+'Суворова 58'!E19+'Суворова 46'!E19+'пер Труда 4 корп.2'!E18+'Труда 16'!E19</f>
        <v>#REF!</v>
      </c>
      <c r="F20" s="8" t="e">
        <f>'Баррикад 2'!F19+'В.Восстания 1'!F19+'Воронина 9'!F19+'Герцена 17 '!F19+'Герцена 3'!F18+'Герцена 6'!F19+'Герцена 9а'!F19+'Огарева 3'!F19+'Интернациональный 10'!F19+'Огарева 34а'!F19+'Огарева 4'!F19+'Огарева 40 корп.1'!F19+'Огарева 40 корп.2'!F19+'Огарева 6'!F19+'Пролетарская 21'!F19+#REF!+'Пролетарская 41'!F19+'Пролетарская 44'!F19+'Пролетарская 90'!F19+'Пухова 1'!F19+'Пухова 19'!F19+'Пухова 3'!F19+'Рылеева 1дробь 12'!F19+'Рылеева 18б'!F19+'Рылеева 19'!F19+#REF!+#REF!+'Рылеева 6'!F20+'Суворова 13'!F19+'Суворова 17'!F19+'Суворова 63 корп.1'!F19+'Суворова 69'!F19+#REF!+'Суворова 9'!F18+'Суворова 93 дробь 26'!F19+'Суворова 95'!F19+'Суворова 38'!F19+#REF!+'Большевиков 3'!F19+'Суворова 58'!F19+'Суворова 46'!F19+'пер Труда 4 корп.2'!F18+'Труда 16'!F19</f>
        <v>#REF!</v>
      </c>
      <c r="G20" s="8" t="e">
        <f>'Баррикад 2'!G19+'В.Восстания 1'!G19+'Воронина 9'!G19+'Герцена 17 '!G19+'Герцена 3'!G18+'Герцена 6'!G19+'Герцена 9а'!G19+'Огарева 3'!G19+'Интернациональный 10'!G19+'Огарева 34а'!G19+'Огарева 4'!G19+'Огарева 40 корп.1'!G19+'Огарева 40 корп.2'!G19+'Огарева 6'!G19+'Пролетарская 21'!G19+#REF!+'Пролетарская 41'!G19+'Пролетарская 44'!G19+'Пролетарская 90'!G19+'Пухова 1'!G19+'Пухова 19'!G19+'Пухова 3'!G19+'Рылеева 1дробь 12'!G19+'Рылеева 18б'!G19+'Рылеева 19'!G19+#REF!+#REF!+'Рылеева 6'!G20+'Суворова 13'!G19+'Суворова 17'!G19+'Суворова 63 корп.1'!G19+'Суворова 69'!G19+#REF!+'Суворова 9'!G18+'Суворова 93 дробь 26'!G19+'Суворова 95'!G19+'Суворова 38'!G19+#REF!+'Большевиков 3'!G19+'Суворова 58'!G19+'Суворова 46'!G19+'пер Труда 4 корп.2'!G18+'Труда 16'!G19</f>
        <v>#REF!</v>
      </c>
      <c r="H20" s="28">
        <v>1.2</v>
      </c>
      <c r="I20" s="11">
        <f>H20/H18</f>
        <v>0.17777777777777778</v>
      </c>
    </row>
    <row r="21" spans="1:9" s="3" customFormat="1" ht="30" x14ac:dyDescent="0.25">
      <c r="A21" s="6" t="s">
        <v>20</v>
      </c>
      <c r="B21" s="7" t="s">
        <v>21</v>
      </c>
      <c r="C21" s="25">
        <v>1.51</v>
      </c>
      <c r="D21" s="8" t="e">
        <f>'Баррикад 2'!D20+'В.Восстания 1'!D20+'Воронина 9'!D20+'Герцена 17 '!D20+'Герцена 3'!D19+'Герцена 6'!D20+'Герцена 9а'!D20+'Огарева 3'!D20+'Интернациональный 10'!D20+'Огарева 34а'!D20+'Огарева 4'!D20+'Огарева 40 корп.1'!D20+'Огарева 40 корп.2'!D20+'Огарева 6'!D20+'Пролетарская 21'!D20+#REF!+'Пролетарская 41'!D20+'Пролетарская 44'!D20+'Пролетарская 90'!D20+'Пухова 1'!D20+'Пухова 19'!D20+'Пухова 3'!D20+'Рылеева 1дробь 12'!D20+'Рылеева 18б'!D20+'Рылеева 19'!D20+#REF!+#REF!+'Рылеева 6'!D21+'Суворова 13'!D20+'Суворова 17'!D20+'Суворова 63 корп.1'!D20+'Суворова 69'!D20+#REF!+'Суворова 9'!D19+'Суворова 93 дробь 26'!D20+'Суворова 95'!D20+'Суворова 38'!D20+#REF!+'Большевиков 3'!D20+'Суворова 58'!D20+'Суворова 46'!D20+'пер Труда 4 корп.2'!D19+'Труда 16'!D20</f>
        <v>#REF!</v>
      </c>
      <c r="E21" s="8" t="e">
        <f>'Баррикад 2'!E20+'В.Восстания 1'!E20+'Воронина 9'!E20+'Герцена 17 '!E20+'Герцена 3'!E19+'Герцена 6'!E20+'Герцена 9а'!E20+'Огарева 3'!E20+'Интернациональный 10'!E20+'Огарева 34а'!E20+'Огарева 4'!E20+'Огарева 40 корп.1'!E20+'Огарева 40 корп.2'!E20+'Огарева 6'!E20+'Пролетарская 21'!E20+#REF!+'Пролетарская 41'!E20+'Пролетарская 44'!E20+'Пролетарская 90'!E20+'Пухова 1'!E20+'Пухова 19'!E20+'Пухова 3'!E20+'Рылеева 1дробь 12'!E20+'Рылеева 18б'!E20+'Рылеева 19'!E20+#REF!+#REF!+'Рылеева 6'!E21+'Суворова 13'!E20+'Суворова 17'!E20+'Суворова 63 корп.1'!E20+'Суворова 69'!E20+#REF!+'Суворова 9'!E19+'Суворова 93 дробь 26'!E20+'Суворова 95'!E20+'Суворова 38'!E20+#REF!+'Большевиков 3'!E20+'Суворова 58'!E20+'Суворова 46'!E20+'пер Труда 4 корп.2'!E19+'Труда 16'!E20</f>
        <v>#REF!</v>
      </c>
      <c r="F21" s="8" t="e">
        <f>'Баррикад 2'!F20+'В.Восстания 1'!F20+'Воронина 9'!F20+'Герцена 17 '!F20+'Герцена 3'!F19+'Герцена 6'!F20+'Герцена 9а'!F20+'Огарева 3'!F20+'Интернациональный 10'!F20+'Огарева 34а'!F20+'Огарева 4'!F20+'Огарева 40 корп.1'!F20+'Огарева 40 корп.2'!F20+'Огарева 6'!F20+'Пролетарская 21'!F20+#REF!+'Пролетарская 41'!F20+'Пролетарская 44'!F20+'Пролетарская 90'!F20+'Пухова 1'!F20+'Пухова 19'!F20+'Пухова 3'!F20+'Рылеева 1дробь 12'!F20+'Рылеева 18б'!F20+'Рылеева 19'!F20+#REF!+#REF!+'Рылеева 6'!F21+'Суворова 13'!F20+'Суворова 17'!F20+'Суворова 63 корп.1'!F20+'Суворова 69'!F20+#REF!+'Суворова 9'!F19+'Суворова 93 дробь 26'!F20+'Суворова 95'!F20+'Суворова 38'!F20+#REF!+'Большевиков 3'!F20+'Суворова 58'!F20+'Суворова 46'!F20+'пер Труда 4 корп.2'!F19+'Труда 16'!F20</f>
        <v>#REF!</v>
      </c>
      <c r="G21" s="8" t="e">
        <f>'Баррикад 2'!G20+'В.Восстания 1'!G20+'Воронина 9'!G20+'Герцена 17 '!G20+'Герцена 3'!G19+'Герцена 6'!G20+'Герцена 9а'!G20+'Огарева 3'!G20+'Интернациональный 10'!G20+'Огарева 34а'!G20+'Огарева 4'!G20+'Огарева 40 корп.1'!G20+'Огарева 40 корп.2'!G20+'Огарева 6'!G20+'Пролетарская 21'!G20+#REF!+'Пролетарская 41'!G20+'Пролетарская 44'!G20+'Пролетарская 90'!G20+'Пухова 1'!G20+'Пухова 19'!G20+'Пухова 3'!G20+'Рылеева 1дробь 12'!G20+'Рылеева 18б'!G20+'Рылеева 19'!G20+#REF!+#REF!+'Рылеева 6'!G21+'Суворова 13'!G20+'Суворова 17'!G20+'Суворова 63 корп.1'!G20+'Суворова 69'!G20+#REF!+'Суворова 9'!G19+'Суворова 93 дробь 26'!G20+'Суворова 95'!G20+'Суворова 38'!G20+#REF!+'Большевиков 3'!G20+'Суворова 58'!G20+'Суворова 46'!G20+'пер Труда 4 корп.2'!G19+'Труда 16'!G20</f>
        <v>#REF!</v>
      </c>
      <c r="H21" s="28">
        <v>1.51</v>
      </c>
      <c r="I21" s="11">
        <f>H21/H18</f>
        <v>0.22370370370370371</v>
      </c>
    </row>
    <row r="22" spans="1:9" s="3" customFormat="1" ht="30" x14ac:dyDescent="0.25">
      <c r="A22" s="6" t="s">
        <v>22</v>
      </c>
      <c r="B22" s="7" t="s">
        <v>23</v>
      </c>
      <c r="C22" s="25">
        <v>1.63</v>
      </c>
      <c r="D22" s="8" t="e">
        <f>'Баррикад 2'!D21+'В.Восстания 1'!D21+'Воронина 9'!D21+'Герцена 17 '!D21+'Герцена 3'!D20+'Герцена 6'!D21+'Герцена 9а'!D21+'Огарева 3'!D21+'Интернациональный 10'!D21+'Огарева 34а'!D21+'Огарева 4'!D21+'Огарева 40 корп.1'!D21+'Огарева 40 корп.2'!D21+'Огарева 6'!D21+'Пролетарская 21'!D21+#REF!+'Пролетарская 41'!D21+'Пролетарская 44'!D21+'Пролетарская 90'!D21+'Пухова 1'!D21+'Пухова 19'!D21+'Пухова 3'!D21+'Рылеева 1дробь 12'!D21+'Рылеева 18б'!D21+'Рылеева 19'!D21+#REF!+#REF!+'Рылеева 6'!D22+'Суворова 13'!D21+'Суворова 17'!D21+'Суворова 63 корп.1'!D21+'Суворова 69'!D21+#REF!+'Суворова 9'!D20+'Суворова 93 дробь 26'!D21+'Суворова 95'!D21+'Суворова 38'!D21+#REF!+'Большевиков 3'!D21+'Суворова 58'!D21+'Суворова 46'!D21+'пер Труда 4 корп.2'!D20+'Труда 16'!D21</f>
        <v>#REF!</v>
      </c>
      <c r="E22" s="8" t="e">
        <f>'Баррикад 2'!E21+'В.Восстания 1'!E21+'Воронина 9'!E21+'Герцена 17 '!E21+'Герцена 3'!E20+'Герцена 6'!E21+'Герцена 9а'!E21+'Огарева 3'!E21+'Интернациональный 10'!E21+'Огарева 34а'!E21+'Огарева 4'!E21+'Огарева 40 корп.1'!E21+'Огарева 40 корп.2'!E21+'Огарева 6'!E21+'Пролетарская 21'!E21+#REF!+'Пролетарская 41'!E21+'Пролетарская 44'!E21+'Пролетарская 90'!E21+'Пухова 1'!E21+'Пухова 19'!E21+'Пухова 3'!E21+'Рылеева 1дробь 12'!E21+'Рылеева 18б'!E21+'Рылеева 19'!E21+#REF!+#REF!+'Рылеева 6'!E22+'Суворова 13'!E21+'Суворова 17'!E21+'Суворова 63 корп.1'!E21+'Суворова 69'!E21+#REF!+'Суворова 9'!E20+'Суворова 93 дробь 26'!E21+'Суворова 95'!E21+'Суворова 38'!E21+#REF!+'Большевиков 3'!E21+'Суворова 58'!E21+'Суворова 46'!E21+'пер Труда 4 корп.2'!E20+'Труда 16'!E21</f>
        <v>#REF!</v>
      </c>
      <c r="F22" s="8" t="e">
        <f>'Баррикад 2'!F21+'В.Восстания 1'!F21+'Воронина 9'!F21+'Герцена 17 '!F21+'Герцена 3'!F20+'Герцена 6'!F21+'Герцена 9а'!F21+'Огарева 3'!F21+'Интернациональный 10'!F21+'Огарева 34а'!F21+'Огарева 4'!F21+'Огарева 40 корп.1'!F21+'Огарева 40 корп.2'!F21+'Огарева 6'!F21+'Пролетарская 21'!F21+#REF!+'Пролетарская 41'!F21+'Пролетарская 44'!F21+'Пролетарская 90'!F21+'Пухова 1'!F21+'Пухова 19'!F21+'Пухова 3'!F21+'Рылеева 1дробь 12'!F21+'Рылеева 18б'!F21+'Рылеева 19'!F21+#REF!+#REF!+'Рылеева 6'!F22+'Суворова 13'!F21+'Суворова 17'!F21+'Суворова 63 корп.1'!F21+'Суворова 69'!F21+#REF!+'Суворова 9'!F20+'Суворова 93 дробь 26'!F21+'Суворова 95'!F21+'Суворова 38'!F21+#REF!+'Большевиков 3'!F21+'Суворова 58'!F21+'Суворова 46'!F21+'пер Труда 4 корп.2'!F20+'Труда 16'!F21</f>
        <v>#REF!</v>
      </c>
      <c r="G22" s="8" t="e">
        <f>'Баррикад 2'!G21+'В.Восстания 1'!G21+'Воронина 9'!G21+'Герцена 17 '!G21+'Герцена 3'!G20+'Герцена 6'!G21+'Герцена 9а'!G21+'Огарева 3'!G21+'Интернациональный 10'!G21+'Огарева 34а'!G21+'Огарева 4'!G21+'Огарева 40 корп.1'!G21+'Огарева 40 корп.2'!G21+'Огарева 6'!G21+'Пролетарская 21'!G21+#REF!+'Пролетарская 41'!G21+'Пролетарская 44'!G21+'Пролетарская 90'!G21+'Пухова 1'!G21+'Пухова 19'!G21+'Пухова 3'!G21+'Рылеева 1дробь 12'!G21+'Рылеева 18б'!G21+'Рылеева 19'!G21+#REF!+#REF!+'Рылеева 6'!G22+'Суворова 13'!G21+'Суворова 17'!G21+'Суворова 63 корп.1'!G21+'Суворова 69'!G21+#REF!+'Суворова 9'!G20+'Суворова 93 дробь 26'!G21+'Суворова 95'!G21+'Суворова 38'!G21+#REF!+'Большевиков 3'!G21+'Суворова 58'!G21+'Суворова 46'!G21+'пер Труда 4 корп.2'!G20+'Труда 16'!G21</f>
        <v>#REF!</v>
      </c>
      <c r="H22" s="28">
        <v>1.63</v>
      </c>
      <c r="I22" s="11">
        <f>H22/H18</f>
        <v>0.24148148148148146</v>
      </c>
    </row>
    <row r="23" spans="1:9" x14ac:dyDescent="0.25">
      <c r="A23" s="7" t="s">
        <v>25</v>
      </c>
      <c r="B23" s="7" t="s">
        <v>26</v>
      </c>
      <c r="C23" s="25">
        <v>3.15</v>
      </c>
      <c r="D23" s="8" t="e">
        <f>'Баррикад 2'!D22+'В.Восстания 1'!#REF!+'Воронина 9'!#REF!+'Герцена 17 '!D23+'Герцена 3'!D22+'Герцена 6'!D22+'Герцена 9а'!D22+'Огарева 3'!D22+'Интернациональный 10'!D22+'Огарева 34а'!D22+'Огарева 4'!#REF!+'Огарева 40 корп.1'!D22+'Огарева 40 корп.2'!D22+'Огарева 6'!D22+'Пролетарская 21'!D22+#REF!+'Пролетарская 41'!D22+'Пролетарская 44'!D22+'Пролетарская 90'!D22+'Пухова 1'!D22+'Пухова 19'!D22+'Пухова 3'!D22+'Рылеева 1дробь 12'!D22+'Рылеева 18б'!D22+'Рылеева 19'!D22+#REF!+#REF!+'Рылеева 6'!D23+'Суворова 13'!#REF!+'Суворова 17'!D22+'Суворова 63 корп.1'!D22+'Суворова 69'!D22+#REF!+'Суворова 9'!D21+'Суворова 93 дробь 26'!D22+'Суворова 95'!D22+'Суворова 38'!D22+#REF!+'Большевиков 3'!D22+'Суворова 58'!D22+'Суворова 46'!D22+'пер Труда 4 корп.2'!D21+'Труда 16'!D22</f>
        <v>#REF!</v>
      </c>
      <c r="E23" s="8" t="e">
        <f>'Баррикад 2'!E22+'В.Восстания 1'!#REF!+'Воронина 9'!#REF!+'Герцена 17 '!E23+'Герцена 3'!E22+'Герцена 6'!E22+'Герцена 9а'!E22+'Огарева 3'!E22+'Интернациональный 10'!E22+'Огарева 34а'!E22+'Огарева 4'!#REF!+'Огарева 40 корп.1'!E22+'Огарева 40 корп.2'!E22+'Огарева 6'!E22+'Пролетарская 21'!E22+#REF!+'Пролетарская 41'!E22+'Пролетарская 44'!E22+'Пролетарская 90'!E22+'Пухова 1'!E22+'Пухова 19'!E22+'Пухова 3'!E22+'Рылеева 1дробь 12'!E22+'Рылеева 18б'!E22+'Рылеева 19'!E22+#REF!+#REF!+'Рылеева 6'!E23+'Суворова 13'!#REF!+'Суворова 17'!E22+'Суворова 63 корп.1'!E22+'Суворова 69'!E22+#REF!+'Суворова 9'!E21+'Суворова 93 дробь 26'!E22+'Суворова 95'!E22+'Суворова 38'!E22+#REF!+'Большевиков 3'!E22+'Суворова 58'!E22+'Суворова 46'!E22+'пер Труда 4 корп.2'!E21+'Труда 16'!E22</f>
        <v>#REF!</v>
      </c>
      <c r="F23" s="8" t="e">
        <f>'Баррикад 2'!F22+'В.Восстания 1'!#REF!+'Воронина 9'!#REF!+'Герцена 17 '!F23+'Герцена 3'!F22+'Герцена 6'!F22+'Герцена 9а'!F22+'Огарева 3'!F22+'Интернациональный 10'!F22+'Огарева 34а'!F22+'Огарева 4'!#REF!+'Огарева 40 корп.1'!F22+'Огарева 40 корп.2'!F22+'Огарева 6'!F22+'Пролетарская 21'!F22+#REF!+'Пролетарская 41'!F22+'Пролетарская 44'!F22+'Пролетарская 90'!F22+'Пухова 1'!F22+'Пухова 19'!F22+'Пухова 3'!F22+'Рылеева 1дробь 12'!F22+'Рылеева 18б'!F22+'Рылеева 19'!F22+#REF!+#REF!+'Рылеева 6'!F23+'Суворова 13'!#REF!+'Суворова 17'!F22+'Суворова 63 корп.1'!F22+'Суворова 69'!F22+#REF!+'Суворова 9'!F21+'Суворова 93 дробь 26'!F22+'Суворова 95'!F22+'Суворова 38'!F22+#REF!+'Большевиков 3'!F22+'Суворова 58'!F22+'Суворова 46'!F22+'пер Труда 4 корп.2'!F21+'Труда 16'!F22</f>
        <v>#REF!</v>
      </c>
      <c r="G23" s="8" t="e">
        <f>'Баррикад 2'!G22+'В.Восстания 1'!#REF!+'Воронина 9'!#REF!+'Герцена 17 '!G23+'Герцена 3'!G22+'Герцена 6'!G22+'Герцена 9а'!G22+'Огарева 3'!G22+'Интернациональный 10'!G22+'Огарева 34а'!G22+'Огарева 4'!#REF!+'Огарева 40 корп.1'!G22+'Огарева 40 корп.2'!G22+'Огарева 6'!G22+'Пролетарская 21'!G22+#REF!+'Пролетарская 41'!G22+'Пролетарская 44'!G22+'Пролетарская 90'!G22+'Пухова 1'!G22+'Пухова 19'!G22+'Пухова 3'!G22+'Рылеева 1дробь 12'!G22+'Рылеева 18б'!G22+'Рылеева 19'!G22+#REF!+#REF!+'Рылеева 6'!G23+'Суворова 13'!#REF!+'Суворова 17'!G22+'Суворова 63 корп.1'!G22+'Суворова 69'!G22+#REF!+'Суворова 9'!G21+'Суворова 93 дробь 26'!G22+'Суворова 95'!G22+'Суворова 38'!G22+#REF!+'Большевиков 3'!G22+'Суворова 58'!G22+'Суворова 46'!G22+'пер Труда 4 корп.2'!G21+'Труда 16'!G22</f>
        <v>#REF!</v>
      </c>
    </row>
    <row r="24" spans="1:9" x14ac:dyDescent="0.25">
      <c r="A24" s="7" t="s">
        <v>27</v>
      </c>
      <c r="B24" s="7" t="s">
        <v>28</v>
      </c>
      <c r="C24" s="12">
        <v>2.6</v>
      </c>
      <c r="D24" s="8" t="e">
        <f>'Баррикад 2'!D23+'В.Восстания 1'!#REF!+'Воронина 9'!D23+'Герцена 17 '!D24+'Герцена 3'!D23+'Герцена 6'!D23+'Герцена 9а'!D23+'Огарева 3'!D23+'Интернациональный 10'!D23+'Огарева 34а'!D23+'Огарева 4'!D22+'Огарева 40 корп.1'!D23+'Огарева 40 корп.2'!D23+'Огарева 6'!D23+'Пролетарская 21'!D23+#REF!+'Пролетарская 41'!D23+'Пролетарская 44'!D23+'Пролетарская 90'!D23+'Пухова 1'!D23+'Пухова 19'!D23+'Пухова 3'!D23+'Рылеева 1дробь 12'!D23+'Рылеева 18б'!D23+'Рылеева 19'!D23+#REF!+#REF!+'Рылеева 6'!D24+'Суворова 13'!D22+'Суворова 17'!D23+'Суворова 63 корп.1'!D23+'Суворова 69'!D23+#REF!+'Суворова 9'!D22+'Суворова 93 дробь 26'!D23+'Суворова 95'!D23+'Суворова 38'!D23+#REF!+'Большевиков 3'!D23+'Суворова 58'!D23+'Суворова 46'!D23+'пер Труда 4 корп.2'!D22+'Труда 16'!D23</f>
        <v>#REF!</v>
      </c>
      <c r="E24" s="8" t="e">
        <f>'Баррикад 2'!E23+'В.Восстания 1'!#REF!+'Воронина 9'!E23+'Герцена 17 '!E24+'Герцена 3'!E23+'Герцена 6'!E23+'Герцена 9а'!E23+'Огарева 3'!E23+'Интернациональный 10'!E23+'Огарева 34а'!E23+'Огарева 4'!E22+'Огарева 40 корп.1'!E23+'Огарева 40 корп.2'!E23+'Огарева 6'!E23+'Пролетарская 21'!E23+#REF!+'Пролетарская 41'!E23+'Пролетарская 44'!E23+'Пролетарская 90'!E23+'Пухова 1'!E23+'Пухова 19'!E23+'Пухова 3'!E23+'Рылеева 1дробь 12'!E23+'Рылеева 18б'!E23+'Рылеева 19'!E23+#REF!+#REF!+'Рылеева 6'!E24+'Суворова 13'!E22+'Суворова 17'!E23+'Суворова 63 корп.1'!E23+'Суворова 69'!E23+#REF!+'Суворова 9'!E22+'Суворова 93 дробь 26'!E23+'Суворова 95'!E23+'Суворова 38'!E23+#REF!+'Большевиков 3'!E23+'Суворова 58'!E23+'Суворова 46'!E23+'пер Труда 4 корп.2'!E22+'Труда 16'!E23</f>
        <v>#REF!</v>
      </c>
      <c r="F24" s="8" t="e">
        <f>'Баррикад 2'!F23+'В.Восстания 1'!#REF!+'Воронина 9'!F23+'Герцена 17 '!F24+'Герцена 3'!F23+'Герцена 6'!F23+'Герцена 9а'!F23+'Огарева 3'!F23+'Интернациональный 10'!F23+'Огарева 34а'!F23+'Огарева 4'!F22+'Огарева 40 корп.1'!F23+'Огарева 40 корп.2'!F23+'Огарева 6'!F23+'Пролетарская 21'!F23+#REF!+'Пролетарская 41'!F23+'Пролетарская 44'!F23+'Пролетарская 90'!F23+'Пухова 1'!F23+'Пухова 19'!F23+'Пухова 3'!F23+'Рылеева 1дробь 12'!F23+'Рылеева 18б'!F23+'Рылеева 19'!F23+#REF!+#REF!+'Рылеева 6'!F24+'Суворова 13'!F22+'Суворова 17'!F23+'Суворова 63 корп.1'!F23+'Суворова 69'!F23+#REF!+'Суворова 9'!F22+'Суворова 93 дробь 26'!F23+'Суворова 95'!F23+'Суворова 38'!F23+#REF!+'Большевиков 3'!F23+'Суворова 58'!F23+'Суворова 46'!F23+'пер Труда 4 корп.2'!F22+'Труда 16'!F23</f>
        <v>#REF!</v>
      </c>
      <c r="G24" s="8" t="e">
        <f>'Баррикад 2'!G23+'В.Восстания 1'!#REF!+'Воронина 9'!G23+'Герцена 17 '!G24+'Герцена 3'!G23+'Герцена 6'!G23+'Герцена 9а'!G23+'Огарева 3'!G23+'Интернациональный 10'!G23+'Огарева 34а'!G23+'Огарева 4'!G22+'Огарева 40 корп.1'!G23+'Огарева 40 корп.2'!G23+'Огарева 6'!G23+'Пролетарская 21'!G23+#REF!+'Пролетарская 41'!G23+'Пролетарская 44'!G23+'Пролетарская 90'!G23+'Пухова 1'!G23+'Пухова 19'!G23+'Пухова 3'!G23+'Рылеева 1дробь 12'!G23+'Рылеева 18б'!G23+'Рылеева 19'!G23+#REF!+#REF!+'Рылеева 6'!G24+'Суворова 13'!G22+'Суворова 17'!G23+'Суворова 63 корп.1'!G23+'Суворова 69'!G23+#REF!+'Суворова 9'!G22+'Суворова 93 дробь 26'!G23+'Суворова 95'!G23+'Суворова 38'!G23+#REF!+'Большевиков 3'!G23+'Суворова 58'!G23+'Суворова 46'!G23+'пер Труда 4 корп.2'!G22+'Труда 16'!G23</f>
        <v>#REF!</v>
      </c>
    </row>
    <row r="25" spans="1:9" ht="30" x14ac:dyDescent="0.25">
      <c r="A25" s="7" t="s">
        <v>29</v>
      </c>
      <c r="B25" s="7" t="s">
        <v>30</v>
      </c>
      <c r="C25" s="25">
        <v>0.81</v>
      </c>
      <c r="D25" s="8" t="e">
        <f>'Баррикад 2'!D24+'В.Восстания 1'!D24+'Воронина 9'!D24+'Герцена 17 '!D25+'Герцена 3'!D24+'Герцена 6'!D24+'Герцена 9а'!D24+'Огарева 3'!D24+'Интернациональный 10'!D24+'Огарева 34а'!D24+'Огарева 4'!D23+'Огарева 40 корп.1'!D24+'Огарева 40 корп.2'!D24+'Огарева 6'!D24+'Пролетарская 21'!D24+#REF!+'Пролетарская 41'!D24+'Пролетарская 44'!#REF!+'Пролетарская 90'!D24+'Пухова 1'!D24+'Пухова 19'!D24+'Пухова 3'!D24+'Рылеева 1дробь 12'!D24+'Рылеева 18б'!D24+'Рылеева 19'!D24+#REF!+#REF!+'Рылеева 6'!D25+'Суворова 13'!D23+'Суворова 17'!D24+'Суворова 63 корп.1'!D24+'Суворова 69'!D24+#REF!+'Суворова 9'!D23+'Суворова 93 дробь 26'!D24+'Суворова 95'!D24+'Суворова 38'!D24+#REF!+'Большевиков 3'!D24+'Суворова 58'!D24+'Суворова 46'!D24+'пер Труда 4 корп.2'!D23+'Труда 16'!D24</f>
        <v>#REF!</v>
      </c>
      <c r="E25" s="8" t="e">
        <f>'Баррикад 2'!E24+'В.Восстания 1'!E24+'Воронина 9'!E24+'Герцена 17 '!E25+'Герцена 3'!E24+'Герцена 6'!E24+'Герцена 9а'!E24+'Огарева 3'!E24+'Интернациональный 10'!E24+'Огарева 34а'!E24+'Огарева 4'!E23+'Огарева 40 корп.1'!E24+'Огарева 40 корп.2'!E24+'Огарева 6'!E24+'Пролетарская 21'!E24+#REF!+'Пролетарская 41'!E24+'Пролетарская 44'!#REF!+'Пролетарская 90'!E24+'Пухова 1'!E24+'Пухова 19'!E24+'Пухова 3'!E24+'Рылеева 1дробь 12'!E24+'Рылеева 18б'!E24+'Рылеева 19'!E24+#REF!+#REF!+'Рылеева 6'!E25+'Суворова 13'!E23+'Суворова 17'!E24+'Суворова 63 корп.1'!E24+'Суворова 69'!E24+#REF!+'Суворова 9'!E23+'Суворова 93 дробь 26'!E24+'Суворова 95'!E24+'Суворова 38'!E24+#REF!+'Большевиков 3'!E24+'Суворова 58'!E24+'Суворова 46'!E24+'пер Труда 4 корп.2'!E23+'Труда 16'!E24</f>
        <v>#REF!</v>
      </c>
      <c r="F25" s="8" t="e">
        <f>'Баррикад 2'!F24+'В.Восстания 1'!F24+'Воронина 9'!F24+'Герцена 17 '!F25+'Герцена 3'!F24+'Герцена 6'!F24+'Герцена 9а'!F24+'Огарева 3'!F24+'Интернациональный 10'!F24+'Огарева 34а'!F24+'Огарева 4'!F23+'Огарева 40 корп.1'!F24+'Огарева 40 корп.2'!F24+'Огарева 6'!F24+'Пролетарская 21'!F24+#REF!+'Пролетарская 41'!F24+'Пролетарская 44'!#REF!+'Пролетарская 90'!F24+'Пухова 1'!F24+'Пухова 19'!F24+'Пухова 3'!F24+'Рылеева 1дробь 12'!F24+'Рылеева 18б'!F24+'Рылеева 19'!F24+#REF!+#REF!+'Рылеева 6'!F25+'Суворова 13'!F23+'Суворова 17'!F24+'Суворова 63 корп.1'!F24+'Суворова 69'!F24+#REF!+'Суворова 9'!F23+'Суворова 93 дробь 26'!F24+'Суворова 95'!F24+'Суворова 38'!F24+#REF!+'Большевиков 3'!F24+'Суворова 58'!F24+'Суворова 46'!F24+'пер Труда 4 корп.2'!F23+'Труда 16'!F24</f>
        <v>#REF!</v>
      </c>
      <c r="G25" s="8" t="e">
        <f>'Баррикад 2'!G24+'В.Восстания 1'!G24+'Воронина 9'!G24+'Герцена 17 '!G25+'Герцена 3'!G24+'Герцена 6'!G24+'Герцена 9а'!G24+'Огарева 3'!G24+'Интернациональный 10'!G24+'Огарева 34а'!G24+'Огарева 4'!G23+'Огарева 40 корп.1'!G24+'Огарева 40 корп.2'!G24+'Огарева 6'!G24+'Пролетарская 21'!G24+#REF!+'Пролетарская 41'!G24+'Пролетарская 44'!#REF!+'Пролетарская 90'!G24+'Пухова 1'!G24+'Пухова 19'!G24+'Пухова 3'!G24+'Рылеева 1дробь 12'!G24+'Рылеева 18б'!G24+'Рылеева 19'!G24+#REF!+#REF!+'Рылеева 6'!G25+'Суворова 13'!G23+'Суворова 17'!G24+'Суворова 63 корп.1'!G24+'Суворова 69'!G24+#REF!+'Суворова 9'!G23+'Суворова 93 дробь 26'!G24+'Суворова 95'!G24+'Суворова 38'!G24+#REF!+'Большевиков 3'!G24+'Суворова 58'!G24+'Суворова 46'!G24+'пер Труда 4 корп.2'!G23+'Труда 16'!G24</f>
        <v>#REF!</v>
      </c>
    </row>
    <row r="26" spans="1:9" x14ac:dyDescent="0.25">
      <c r="A26" s="7" t="s">
        <v>31</v>
      </c>
      <c r="B26" s="24" t="s">
        <v>80</v>
      </c>
      <c r="C26" s="25">
        <v>1.61</v>
      </c>
      <c r="D26" s="8" t="e">
        <f>'Баррикад 2'!D25+'В.Восстания 1'!D25+'Воронина 9'!D25+'Герцена 17 '!D26+'Герцена 3'!D25+'Герцена 6'!D25+'Герцена 9а'!D25+'Огарева 3'!D25+'Интернациональный 10'!D25+'Огарева 34а'!D25+'Огарева 4'!D24+'Огарева 40 корп.1'!D25+'Огарева 40 корп.2'!D25+'Огарева 6'!D25+'Пролетарская 21'!D25+#REF!+'Пролетарская 41'!D25+'Пролетарская 44'!D24+'Пролетарская 90'!D25+'Пухова 1'!D25+'Пухова 19'!D25+'Пухова 3'!D25+'Рылеева 1дробь 12'!D25+'Рылеева 18б'!D25+'Рылеева 19'!D25+#REF!+#REF!+'Рылеева 6'!D26+'Суворова 13'!D24+'Суворова 17'!D25+'Суворова 63 корп.1'!D25+'Суворова 69'!D25+#REF!+'Суворова 9'!D24+'Суворова 93 дробь 26'!D25+'Суворова 95'!D25+'Суворова 38'!D25+#REF!+'Большевиков 3'!D25+'Суворова 58'!D25+'Суворова 46'!D25+'пер Труда 4 корп.2'!D24+'Труда 16'!D25</f>
        <v>#REF!</v>
      </c>
      <c r="E26" s="8" t="e">
        <f>'Баррикад 2'!E25+'В.Восстания 1'!E25+'Воронина 9'!E25+'Герцена 17 '!E26+'Герцена 3'!E25+'Герцена 6'!E25+'Герцена 9а'!E25+'Огарева 3'!E25+'Интернациональный 10'!E25+'Огарева 34а'!E25+'Огарева 4'!E24+'Огарева 40 корп.1'!E25+'Огарева 40 корп.2'!E25+'Огарева 6'!E25+'Пролетарская 21'!E25+#REF!+'Пролетарская 41'!E25+'Пролетарская 44'!E24+'Пролетарская 90'!E25+'Пухова 1'!E25+'Пухова 19'!E25+'Пухова 3'!E25+'Рылеева 1дробь 12'!E25+'Рылеева 18б'!E25+'Рылеева 19'!E25+#REF!+#REF!+'Рылеева 6'!E26+'Суворова 13'!E24+'Суворова 17'!E25+'Суворова 63 корп.1'!E25+'Суворова 69'!E25+#REF!+'Суворова 9'!E24+'Суворова 93 дробь 26'!E25+'Суворова 95'!E25+'Суворова 38'!E25+#REF!+'Большевиков 3'!E25+'Суворова 58'!E25+'Суворова 46'!E25+'пер Труда 4 корп.2'!E24+'Труда 16'!E25</f>
        <v>#REF!</v>
      </c>
      <c r="F26" s="8" t="e">
        <f>'Баррикад 2'!F25+'В.Восстания 1'!F25+'Воронина 9'!F25+'Герцена 17 '!F26+'Герцена 3'!F25+'Герцена 6'!F25+'Герцена 9а'!F25+'Огарева 3'!F25+'Интернациональный 10'!F25+'Огарева 34а'!F25+'Огарева 4'!F24+'Огарева 40 корп.1'!F25+'Огарева 40 корп.2'!F25+'Огарева 6'!F25+'Пролетарская 21'!F25+#REF!+'Пролетарская 41'!F25+'Пролетарская 44'!F24+'Пролетарская 90'!F25+'Пухова 1'!F25+'Пухова 19'!F25+'Пухова 3'!F25+'Рылеева 1дробь 12'!F25+'Рылеева 18б'!F25+'Рылеева 19'!F25+#REF!+#REF!+'Рылеева 6'!F26+'Суворова 13'!F24+'Суворова 17'!F25+'Суворова 63 корп.1'!F25+'Суворова 69'!F25+#REF!+'Суворова 9'!F24+'Суворова 93 дробь 26'!F25+'Суворова 95'!F25+'Суворова 38'!F25+#REF!+'Большевиков 3'!F25+'Суворова 58'!F25+'Суворова 46'!F25+'пер Труда 4 корп.2'!F24+'Труда 16'!F25</f>
        <v>#REF!</v>
      </c>
      <c r="G26" s="8" t="e">
        <f>'Баррикад 2'!G25+'В.Восстания 1'!G25+'Воронина 9'!G25+'Герцена 17 '!G26+'Герцена 3'!G25+'Герцена 6'!G25+'Герцена 9а'!G25+'Огарева 3'!G25+'Интернациональный 10'!G25+'Огарева 34а'!G25+'Огарева 4'!G24+'Огарева 40 корп.1'!G25+'Огарева 40 корп.2'!G25+'Огарева 6'!G25+'Пролетарская 21'!G25+#REF!+'Пролетарская 41'!G25+'Пролетарская 44'!G24+'Пролетарская 90'!G25+'Пухова 1'!G25+'Пухова 19'!G25+'Пухова 3'!G25+'Рылеева 1дробь 12'!G25+'Рылеева 18б'!G25+'Рылеева 19'!G25+#REF!+#REF!+'Рылеева 6'!G26+'Суворова 13'!G24+'Суворова 17'!G25+'Суворова 63 корп.1'!G25+'Суворова 69'!G25+#REF!+'Суворова 9'!G24+'Суворова 93 дробь 26'!G25+'Суворова 95'!G25+'Суворова 38'!G25+#REF!+'Большевиков 3'!G25+'Суворова 58'!G25+'Суворова 46'!G25+'пер Труда 4 корп.2'!G24+'Труда 16'!G25</f>
        <v>#REF!</v>
      </c>
    </row>
    <row r="27" spans="1:9" ht="30" x14ac:dyDescent="0.25">
      <c r="A27" s="7" t="s">
        <v>33</v>
      </c>
      <c r="B27" s="7" t="s">
        <v>34</v>
      </c>
      <c r="C27" s="25">
        <v>0</v>
      </c>
      <c r="D27" s="8" t="e">
        <f>'Баррикад 2'!D27+'В.Восстания 1'!#REF!+'Воронина 9'!D27+'Герцена 17 '!D27+'Герцена 3'!D27+'Герцена 6'!D26+'Герцена 9а'!D26+'Огарева 3'!D26+'Интернациональный 10'!D27+'Огарева 34а'!D26+'Огарева 4'!D26+'Огарева 40 корп.1'!D27+'Огарева 40 корп.2'!D26+'Огарева 6'!D26+'Пролетарская 21'!D26+#REF!+'Пролетарская 41'!D26+'Пролетарская 44'!D25+'Пролетарская 90'!D26+'Пухова 1'!D27+'Пухова 19'!D26+'Пухова 3'!D26+'Рылеева 1дробь 12'!D27+'Рылеева 18б'!D26+'Рылеева 19'!D27+#REF!+#REF!+'Рылеева 6'!D28+'Суворова 13'!D25+'Суворова 17'!D27+'Суворова 63 корп.1'!D26+'Суворова 69'!D27+#REF!+'Суворова 9'!D25+'Суворова 93 дробь 26'!D27+'Суворова 95'!D27+'Суворова 38'!D27+#REF!+'Большевиков 3'!D26+'Суворова 58'!D27+'Суворова 46'!D27+'пер Труда 4 корп.2'!D25+'Труда 16'!D26</f>
        <v>#REF!</v>
      </c>
      <c r="E27" s="8" t="e">
        <f>'Баррикад 2'!E27+'В.Восстания 1'!#REF!+'Воронина 9'!E27+'Герцена 17 '!E27+'Герцена 3'!E27+'Герцена 6'!E26+'Герцена 9а'!E26+'Огарева 3'!E26+'Интернациональный 10'!E27+'Огарева 34а'!E26+'Огарева 4'!E26+'Огарева 40 корп.1'!E27+'Огарева 40 корп.2'!E26+'Огарева 6'!E26+'Пролетарская 21'!E26+#REF!+'Пролетарская 41'!E26+'Пролетарская 44'!E25+'Пролетарская 90'!E26+'Пухова 1'!E27+'Пухова 19'!E26+'Пухова 3'!E26+'Рылеева 1дробь 12'!E27+'Рылеева 18б'!E26+'Рылеева 19'!E27+#REF!+#REF!+'Рылеева 6'!E28+'Суворова 13'!E25+'Суворова 17'!E27+'Суворова 63 корп.1'!E26+'Суворова 69'!E27+#REF!+'Суворова 9'!E25+'Суворова 93 дробь 26'!E27+'Суворова 95'!E27+'Суворова 38'!E27+#REF!+'Большевиков 3'!E26+'Суворова 58'!E27+'Суворова 46'!E27+'пер Труда 4 корп.2'!E25+'Труда 16'!E26</f>
        <v>#REF!</v>
      </c>
      <c r="F27" s="8" t="e">
        <f>'Баррикад 2'!F27+'В.Восстания 1'!#REF!+'Воронина 9'!F27+'Герцена 17 '!F27+'Герцена 3'!F27+'Герцена 6'!F26+'Герцена 9а'!F26+'Огарева 3'!F26+'Интернациональный 10'!F27+'Огарева 34а'!F26+'Огарева 4'!F26+'Огарева 40 корп.1'!F27+'Огарева 40 корп.2'!F26+'Огарева 6'!F26+'Пролетарская 21'!F26+#REF!+'Пролетарская 41'!F26+'Пролетарская 44'!F25+'Пролетарская 90'!F26+'Пухова 1'!F27+'Пухова 19'!F26+'Пухова 3'!F26+'Рылеева 1дробь 12'!F27+'Рылеева 18б'!F26+'Рылеева 19'!F27+#REF!+#REF!+'Рылеева 6'!F28+'Суворова 13'!F25+'Суворова 17'!F27+'Суворова 63 корп.1'!F26+'Суворова 69'!F27+#REF!+'Суворова 9'!F25+'Суворова 93 дробь 26'!F27+'Суворова 95'!F27+'Суворова 38'!F27+#REF!+'Большевиков 3'!F26+'Суворова 58'!F27+'Суворова 46'!F27+'пер Труда 4 корп.2'!F25+'Труда 16'!F26</f>
        <v>#REF!</v>
      </c>
      <c r="G27" s="8" t="e">
        <f>'Баррикад 2'!G27+'В.Восстания 1'!#REF!+'Воронина 9'!G27+'Герцена 17 '!G27+'Герцена 3'!G27+'Герцена 6'!G26+'Герцена 9а'!G26+'Огарева 3'!G26+'Интернациональный 10'!G27+'Огарева 34а'!G26+'Огарева 4'!G26+'Огарева 40 корп.1'!G27+'Огарева 40 корп.2'!G26+'Огарева 6'!G26+'Пролетарская 21'!G26+#REF!+'Пролетарская 41'!G26+'Пролетарская 44'!G25+'Пролетарская 90'!G26+'Пухова 1'!G27+'Пухова 19'!G26+'Пухова 3'!G26+'Рылеева 1дробь 12'!G27+'Рылеева 18б'!G26+'Рылеева 19'!G27+#REF!+#REF!+'Рылеева 6'!G28+'Суворова 13'!G25+'Суворова 17'!G27+'Суворова 63 корп.1'!G26+'Суворова 69'!G27+#REF!+'Суворова 9'!G25+'Суворова 93 дробь 26'!G27+'Суворова 95'!G27+'Суворова 38'!G27+#REF!+'Большевиков 3'!G26+'Суворова 58'!G27+'Суворова 46'!G27+'пер Труда 4 корп.2'!G25+'Труда 16'!G26</f>
        <v>#REF!</v>
      </c>
    </row>
    <row r="28" spans="1:9" ht="30" x14ac:dyDescent="0.25">
      <c r="A28" s="7" t="s">
        <v>35</v>
      </c>
      <c r="B28" s="7" t="s">
        <v>36</v>
      </c>
      <c r="C28" s="25">
        <f>SUM(C29:C32)</f>
        <v>1680.9299999999998</v>
      </c>
      <c r="D28" s="8" t="e">
        <f>'Баррикад 2'!D28+'В.Восстания 1'!D26+'Воронина 9'!D28+'Герцена 17 '!D28+'Герцена 3'!D28+'Герцена 6'!D27+'Герцена 9а'!D27+'Огарева 3'!D27+'Интернациональный 10'!D28+'Огарева 34а'!D27+'Огарева 4'!D27+'Огарева 40 корп.1'!D28+'Огарева 40 корп.2'!D27+'Огарева 6'!D27+'Пролетарская 21'!D27+#REF!+'Пролетарская 41'!D27+'Пролетарская 44'!D26+'Пролетарская 90'!D27+'Пухова 1'!D28+'Пухова 19'!D27+'Пухова 3'!D27+'Рылеева 1дробь 12'!D28+'Рылеева 18б'!D27+'Рылеева 19'!D28+#REF!+#REF!+'Рылеева 6'!D29+'Суворова 13'!D28+'Суворова 17'!D28+'Суворова 63 корп.1'!D27+'Суворова 69'!D28+#REF!+'Суворова 9'!D26+'Суворова 93 дробь 26'!D28+'Суворова 95'!D28+'Суворова 38'!D28+#REF!+'Большевиков 3'!D28+'Суворова 58'!D28+'Суворова 46'!D28+'пер Труда 4 корп.2'!D26+'Труда 16'!D27</f>
        <v>#REF!</v>
      </c>
      <c r="E28" s="8" t="e">
        <f>'Баррикад 2'!E28+'В.Восстания 1'!E26+'Воронина 9'!E28+'Герцена 17 '!E28+'Герцена 3'!E28+'Герцена 6'!E27+'Герцена 9а'!E27+'Огарева 3'!E27+'Интернациональный 10'!E28+'Огарева 34а'!E27+'Огарева 4'!E27+'Огарева 40 корп.1'!E28+'Огарева 40 корп.2'!E27+'Огарева 6'!E27+'Пролетарская 21'!E27+#REF!+'Пролетарская 41'!E27+'Пролетарская 44'!E26+'Пролетарская 90'!E27+'Пухова 1'!E28+'Пухова 19'!E27+'Пухова 3'!E27+'Рылеева 1дробь 12'!E28+'Рылеева 18б'!E27+'Рылеева 19'!E28+#REF!+#REF!+'Рылеева 6'!E29+'Суворова 13'!E28+'Суворова 17'!E28+'Суворова 63 корп.1'!E27+'Суворова 69'!E28+#REF!+'Суворова 9'!E26+'Суворова 93 дробь 26'!E28+'Суворова 95'!E28+'Суворова 38'!E28+#REF!+'Большевиков 3'!E28+'Суворова 58'!E28+'Суворова 46'!E28+'пер Труда 4 корп.2'!E26+'Труда 16'!E27</f>
        <v>#REF!</v>
      </c>
      <c r="F28" s="8" t="e">
        <f>'Баррикад 2'!F28+'В.Восстания 1'!F26+'Воронина 9'!F28+'Герцена 17 '!F28+'Герцена 3'!F28+'Герцена 6'!F27+'Герцена 9а'!F27+'Огарева 3'!F27+'Интернациональный 10'!F28+'Огарева 34а'!F27+'Огарева 4'!F27+'Огарева 40 корп.1'!F28+'Огарева 40 корп.2'!F27+'Огарева 6'!F27+'Пролетарская 21'!F27+#REF!+'Пролетарская 41'!F27+'Пролетарская 44'!F26+'Пролетарская 90'!F27+'Пухова 1'!F28+'Пухова 19'!F27+'Пухова 3'!F27+'Рылеева 1дробь 12'!F28+'Рылеева 18б'!F27+'Рылеева 19'!F28+#REF!+#REF!+'Рылеева 6'!F29+'Суворова 13'!F28+'Суворова 17'!F28+'Суворова 63 корп.1'!F27+'Суворова 69'!F28+#REF!+'Суворова 9'!F26+'Суворова 93 дробь 26'!F28+'Суворова 95'!F28+'Суворова 38'!F28+#REF!+'Большевиков 3'!F28+'Суворова 58'!F28+'Суворова 46'!F28+'пер Труда 4 корп.2'!F26+'Труда 16'!F27</f>
        <v>#REF!</v>
      </c>
      <c r="G28" s="8" t="e">
        <f>'Баррикад 2'!G28+'В.Восстания 1'!G26+'Воронина 9'!G28+'Герцена 17 '!G28+'Герцена 3'!G28+'Герцена 6'!G27+'Герцена 9а'!G27+'Огарева 3'!G27+'Интернациональный 10'!G28+'Огарева 34а'!G27+'Огарева 4'!G27+'Огарева 40 корп.1'!G28+'Огарева 40 корп.2'!G27+'Огарева 6'!G27+'Пролетарская 21'!G27+#REF!+'Пролетарская 41'!G27+'Пролетарская 44'!G26+'Пролетарская 90'!G27+'Пухова 1'!G28+'Пухова 19'!G27+'Пухова 3'!G27+'Рылеева 1дробь 12'!G28+'Рылеева 18б'!G27+'Рылеева 19'!G28+#REF!+#REF!+'Рылеева 6'!G29+'Суворова 13'!G28+'Суворова 17'!G28+'Суворова 63 корп.1'!G27+'Суворова 69'!G28+#REF!+'Суворова 9'!G26+'Суворова 93 дробь 26'!G28+'Суворова 95'!G28+'Суворова 38'!G28+#REF!+'Большевиков 3'!G28+'Суворова 58'!G28+'Суворова 46'!G28+'пер Труда 4 корп.2'!G26+'Труда 16'!G27</f>
        <v>#REF!</v>
      </c>
    </row>
    <row r="29" spans="1:9" x14ac:dyDescent="0.25">
      <c r="A29" s="7" t="s">
        <v>37</v>
      </c>
      <c r="B29" s="7" t="s">
        <v>63</v>
      </c>
      <c r="C29" s="12">
        <v>3.13</v>
      </c>
      <c r="D29" s="8" t="e">
        <f>'Баррикад 2'!D29+'В.Восстания 1'!D27+'Воронина 9'!D29+'Герцена 17 '!D29+'Герцена 3'!D29+'Герцена 6'!D28+'Герцена 9а'!D28+'Огарева 3'!D28+'Интернациональный 10'!D29+'Огарева 34а'!D28+'Огарева 4'!D28+'Огарева 40 корп.1'!D29+'Огарева 40 корп.2'!D28+'Огарева 6'!D28+'Пролетарская 21'!D28+#REF!+'Пролетарская 41'!D28+'Пролетарская 44'!D27+'Пролетарская 90'!D28+'Пухова 1'!D29+'Пухова 19'!D28+'Пухова 3'!D28+'Рылеева 1дробь 12'!D29+'Рылеева 18б'!D28+'Рылеева 19'!D29+#REF!+#REF!+'Рылеева 6'!D30+'Суворова 13'!D29+'Суворова 17'!D29+'Суворова 63 корп.1'!D28+'Суворова 69'!D29+#REF!+'Суворова 9'!D27+'Суворова 93 дробь 26'!D29+'Суворова 95'!D29+'Суворова 38'!D29+#REF!+'Большевиков 3'!D29+'Суворова 58'!D29+'Суворова 46'!D29+'пер Труда 4 корп.2'!D27+'Труда 16'!D28</f>
        <v>#REF!</v>
      </c>
      <c r="E29" s="8" t="e">
        <f>'Баррикад 2'!E29+'В.Восстания 1'!E27+'Воронина 9'!E29+'Герцена 17 '!E29+'Герцена 3'!E29+'Герцена 6'!E28+'Герцена 9а'!E28+'Огарева 3'!E28+'Интернациональный 10'!E29+'Огарева 34а'!E28+'Огарева 4'!E28+'Огарева 40 корп.1'!E29+'Огарева 40 корп.2'!E28+'Огарева 6'!E28+'Пролетарская 21'!E28+#REF!+'Пролетарская 41'!E28+'Пролетарская 44'!E27+'Пролетарская 90'!E28+'Пухова 1'!E29+'Пухова 19'!E28+'Пухова 3'!E28+'Рылеева 1дробь 12'!E29+'Рылеева 18б'!E28+'Рылеева 19'!E29+#REF!+#REF!+'Рылеева 6'!E30+'Суворова 13'!E29+'Суворова 17'!E29+'Суворова 63 корп.1'!E28+'Суворова 69'!E29+#REF!+'Суворова 9'!E27+'Суворова 93 дробь 26'!E29+'Суворова 95'!E29+'Суворова 38'!E29+#REF!+'Большевиков 3'!E29+'Суворова 58'!E29+'Суворова 46'!E29+'пер Труда 4 корп.2'!E27+'Труда 16'!E28</f>
        <v>#REF!</v>
      </c>
      <c r="F29" s="8" t="e">
        <f>'Баррикад 2'!F29+'В.Восстания 1'!F27+'Воронина 9'!F29+'Герцена 17 '!F29+'Герцена 3'!F29+'Герцена 6'!F28+'Герцена 9а'!F28+'Огарева 3'!F28+'Интернациональный 10'!F29+'Огарева 34а'!F28+'Огарева 4'!F28+'Огарева 40 корп.1'!F29+'Огарева 40 корп.2'!F28+'Огарева 6'!F28+'Пролетарская 21'!F28+#REF!+'Пролетарская 41'!F28+'Пролетарская 44'!F27+'Пролетарская 90'!F28+'Пухова 1'!F29+'Пухова 19'!F28+'Пухова 3'!F28+'Рылеева 1дробь 12'!F29+'Рылеева 18б'!F28+'Рылеева 19'!F29+#REF!+#REF!+'Рылеева 6'!F30+'Суворова 13'!F29+'Суворова 17'!F29+'Суворова 63 корп.1'!F28+'Суворова 69'!F29+#REF!+'Суворова 9'!F27+'Суворова 93 дробь 26'!F29+'Суворова 95'!F29+'Суворова 38'!F29+#REF!+'Большевиков 3'!F29+'Суворова 58'!F29+'Суворова 46'!F29+'пер Труда 4 корп.2'!F27+'Труда 16'!F28</f>
        <v>#REF!</v>
      </c>
      <c r="G29" s="8" t="e">
        <f>'Баррикад 2'!G29+'В.Восстания 1'!G27+'Воронина 9'!G29+'Герцена 17 '!G29+'Герцена 3'!G29+'Герцена 6'!G28+'Герцена 9а'!G28+'Огарева 3'!G28+'Интернациональный 10'!G29+'Огарева 34а'!G28+'Огарева 4'!G28+'Огарева 40 корп.1'!G29+'Огарева 40 корп.2'!G28+'Огарева 6'!G28+'Пролетарская 21'!G28+#REF!+'Пролетарская 41'!G28+'Пролетарская 44'!G27+'Пролетарская 90'!G28+'Пухова 1'!G29+'Пухова 19'!G28+'Пухова 3'!G28+'Рылеева 1дробь 12'!G29+'Рылеева 18б'!G28+'Рылеева 19'!G29+#REF!+#REF!+'Рылеева 6'!G30+'Суворова 13'!G29+'Суворова 17'!G29+'Суворова 63 корп.1'!G28+'Суворова 69'!G29+#REF!+'Суворова 9'!G27+'Суворова 93 дробь 26'!G29+'Суворова 95'!G29+'Суворова 38'!G29+#REF!+'Большевиков 3'!G29+'Суворова 58'!G29+'Суворова 46'!G29+'пер Труда 4 корп.2'!G27+'Труда 16'!G28</f>
        <v>#REF!</v>
      </c>
    </row>
    <row r="30" spans="1:9" x14ac:dyDescent="0.25">
      <c r="A30" s="7" t="s">
        <v>39</v>
      </c>
      <c r="B30" s="7" t="s">
        <v>38</v>
      </c>
      <c r="C30" s="12">
        <v>18.21</v>
      </c>
      <c r="D30" s="8" t="e">
        <f>'Баррикад 2'!D30+'В.Восстания 1'!D28+'Воронина 9'!D30+'Герцена 17 '!D30+'Герцена 3'!D30+'Герцена 6'!D29+'Герцена 9а'!D29+'Огарева 3'!D29+'Интернациональный 10'!D30+'Огарева 34а'!D29+'Огарева 4'!D29+'Огарева 40 корп.1'!D30+'Огарева 40 корп.2'!D29+'Огарева 6'!D29+'Пролетарская 21'!D29+#REF!+'Пролетарская 41'!D29+'Пролетарская 44'!D28+'Пролетарская 90'!D29+'Пухова 1'!D30+'Пухова 19'!D29+'Пухова 3'!D29+'Рылеева 1дробь 12'!D30+'Рылеева 18б'!D29+'Рылеева 19'!D30+#REF!+#REF!+'Рылеева 6'!D31+'Суворова 13'!D30+'Суворова 17'!D30+'Суворова 63 корп.1'!D29+'Суворова 69'!D30+#REF!+'Суворова 9'!D28+'Суворова 93 дробь 26'!D30+'Суворова 95'!D30+'Суворова 38'!D30+#REF!+'Большевиков 3'!D30+'Суворова 58'!D30+'Суворова 46'!D30+'пер Труда 4 корп.2'!D28+'Труда 16'!D29</f>
        <v>#REF!</v>
      </c>
      <c r="E30" s="8" t="e">
        <f>'Баррикад 2'!E30+'В.Восстания 1'!E28+'Воронина 9'!E30+'Герцена 17 '!E30+'Герцена 3'!E30+'Герцена 6'!E29+'Герцена 9а'!E29+'Огарева 3'!E29+'Интернациональный 10'!E30+'Огарева 34а'!E29+'Огарева 4'!E29+'Огарева 40 корп.1'!E30+'Огарева 40 корп.2'!E29+'Огарева 6'!E29+'Пролетарская 21'!E29+#REF!+'Пролетарская 41'!E29+'Пролетарская 44'!E28+'Пролетарская 90'!E29+'Пухова 1'!E30+'Пухова 19'!E29+'Пухова 3'!E29+'Рылеева 1дробь 12'!E30+'Рылеева 18б'!E29+'Рылеева 19'!E30+#REF!+#REF!+'Рылеева 6'!E31+'Суворова 13'!E30+'Суворова 17'!E30+'Суворова 63 корп.1'!E29+'Суворова 69'!E30+#REF!+'Суворова 9'!E28+'Суворова 93 дробь 26'!E30+'Суворова 95'!E30+'Суворова 38'!E30+#REF!+'Большевиков 3'!E30+'Суворова 58'!E30+'Суворова 46'!E30+'пер Труда 4 корп.2'!E28+'Труда 16'!E29</f>
        <v>#REF!</v>
      </c>
      <c r="F30" s="8" t="e">
        <f>'Баррикад 2'!F30+'В.Восстания 1'!F28+'Воронина 9'!F30+'Герцена 17 '!F30+'Герцена 3'!F30+'Герцена 6'!F29+'Герцена 9а'!F29+'Огарева 3'!F29+'Интернациональный 10'!F30+'Огарева 34а'!F29+'Огарева 4'!F29+'Огарева 40 корп.1'!F30+'Огарева 40 корп.2'!F29+'Огарева 6'!F29+'Пролетарская 21'!F29+#REF!+'Пролетарская 41'!F29+'Пролетарская 44'!F28+'Пролетарская 90'!F29+'Пухова 1'!F30+'Пухова 19'!F29+'Пухова 3'!F29+'Рылеева 1дробь 12'!F30+'Рылеева 18б'!F29+'Рылеева 19'!F30+#REF!+#REF!+'Рылеева 6'!F31+'Суворова 13'!F30+'Суворова 17'!F30+'Суворова 63 корп.1'!F29+'Суворова 69'!F30+#REF!+'Суворова 9'!F28+'Суворова 93 дробь 26'!F30+'Суворова 95'!F30+'Суворова 38'!F30+#REF!+'Большевиков 3'!F30+'Суворова 58'!F30+'Суворова 46'!F30+'пер Труда 4 корп.2'!F28+'Труда 16'!F29</f>
        <v>#REF!</v>
      </c>
      <c r="G30" s="8" t="e">
        <f>'Баррикад 2'!G30+'В.Восстания 1'!G28+'Воронина 9'!G30+'Герцена 17 '!G30+'Герцена 3'!G30+'Герцена 6'!G29+'Герцена 9а'!G29+'Огарева 3'!G29+'Интернациональный 10'!G30+'Огарева 34а'!G29+'Огарева 4'!G29+'Огарева 40 корп.1'!G30+'Огарева 40 корп.2'!G29+'Огарева 6'!G29+'Пролетарская 21'!G29+#REF!+'Пролетарская 41'!G29+'Пролетарская 44'!G28+'Пролетарская 90'!G29+'Пухова 1'!G30+'Пухова 19'!G29+'Пухова 3'!G29+'Рылеева 1дробь 12'!G30+'Рылеева 18б'!G29+'Рылеева 19'!G30+#REF!+#REF!+'Рылеева 6'!G31+'Суворова 13'!G30+'Суворова 17'!G30+'Суворова 63 корп.1'!G29+'Суворова 69'!G30+#REF!+'Суворова 9'!G28+'Суворова 93 дробь 26'!G30+'Суворова 95'!G30+'Суворова 38'!G30+#REF!+'Большевиков 3'!G30+'Суворова 58'!G30+'Суворова 46'!G30+'пер Труда 4 корп.2'!G28+'Труда 16'!G29</f>
        <v>#REF!</v>
      </c>
    </row>
    <row r="31" spans="1:9" x14ac:dyDescent="0.25">
      <c r="A31" s="7" t="s">
        <v>42</v>
      </c>
      <c r="B31" s="7" t="s">
        <v>40</v>
      </c>
      <c r="C31" s="12">
        <v>115.3</v>
      </c>
      <c r="D31" s="8" t="e">
        <f>'Баррикад 2'!D31+'В.Восстания 1'!D29+'Воронина 9'!D31+'Герцена 17 '!D31+'Герцена 3'!D31+'Герцена 6'!D30+'Герцена 9а'!D30+'Огарева 3'!D30+'Интернациональный 10'!D31+'Огарева 34а'!D30+'Огарева 4'!D30+'Огарева 40 корп.1'!D31+'Огарева 40 корп.2'!D30+'Огарева 6'!D30+'Пролетарская 21'!D30+#REF!+'Пролетарская 41'!D30+'Пролетарская 44'!D29+'Пролетарская 90'!D30+'Пухова 1'!D31+'Пухова 19'!D30+'Пухова 3'!D30+'Рылеева 1дробь 12'!D31+'Рылеева 18б'!D30+'Рылеева 19'!D31+#REF!+#REF!+'Рылеева 6'!D32+'Суворова 13'!D31+'Суворова 17'!D31+'Суворова 63 корп.1'!D30+'Суворова 69'!D31+#REF!+'Суворова 9'!D29+'Суворова 93 дробь 26'!D31+'Суворова 95'!D31+'Суворова 38'!D31+#REF!+'Большевиков 3'!D31+'Суворова 58'!D31+'Суворова 46'!D31+'пер Труда 4 корп.2'!D29+'Труда 16'!D30</f>
        <v>#REF!</v>
      </c>
      <c r="E31" s="8" t="e">
        <f>'Баррикад 2'!E31+'В.Восстания 1'!E29+'Воронина 9'!E31+'Герцена 17 '!E31+'Герцена 3'!E31+'Герцена 6'!E30+'Герцена 9а'!E30+'Огарева 3'!E30+'Интернациональный 10'!E31+'Огарева 34а'!E30+'Огарева 4'!E30+'Огарева 40 корп.1'!E31+'Огарева 40 корп.2'!E30+'Огарева 6'!E30+'Пролетарская 21'!E30+#REF!+'Пролетарская 41'!E30+'Пролетарская 44'!E29+'Пролетарская 90'!E30+'Пухова 1'!E31+'Пухова 19'!E30+'Пухова 3'!E30+'Рылеева 1дробь 12'!E31+'Рылеева 18б'!E30+'Рылеева 19'!E31+#REF!+#REF!+'Рылеева 6'!E32+'Суворова 13'!E31+'Суворова 17'!E31+'Суворова 63 корп.1'!E30+'Суворова 69'!E31+#REF!+'Суворова 9'!E29+'Суворова 93 дробь 26'!E31+'Суворова 95'!E31+'Суворова 38'!E31+#REF!+'Большевиков 3'!E31+'Суворова 58'!E31+'Суворова 46'!E31+'пер Труда 4 корп.2'!E29+'Труда 16'!E30</f>
        <v>#REF!</v>
      </c>
      <c r="F31" s="8" t="e">
        <f>'Баррикад 2'!F31+'В.Восстания 1'!F29+'Воронина 9'!F31+'Герцена 17 '!F31+'Герцена 3'!F31+'Герцена 6'!F30+'Герцена 9а'!F30+'Огарева 3'!F30+'Интернациональный 10'!F31+'Огарева 34а'!F30+'Огарева 4'!F30+'Огарева 40 корп.1'!F31+'Огарева 40 корп.2'!F30+'Огарева 6'!F30+'Пролетарская 21'!F30+#REF!+'Пролетарская 41'!F30+'Пролетарская 44'!F29+'Пролетарская 90'!F30+'Пухова 1'!F31+'Пухова 19'!F30+'Пухова 3'!F30+'Рылеева 1дробь 12'!F31+'Рылеева 18б'!F30+'Рылеева 19'!F31+#REF!+#REF!+'Рылеева 6'!F32+'Суворова 13'!F31+'Суворова 17'!F31+'Суворова 63 корп.1'!F30+'Суворова 69'!F31+#REF!+'Суворова 9'!F29+'Суворова 93 дробь 26'!F31+'Суворова 95'!F31+'Суворова 38'!F31+#REF!+'Большевиков 3'!F31+'Суворова 58'!F31+'Суворова 46'!F31+'пер Труда 4 корп.2'!F29+'Труда 16'!F30</f>
        <v>#REF!</v>
      </c>
      <c r="G31" s="8" t="e">
        <f>'Баррикад 2'!G31+'В.Восстания 1'!G29+'Воронина 9'!G31+'Герцена 17 '!G31+'Герцена 3'!G31+'Герцена 6'!G30+'Герцена 9а'!G30+'Огарева 3'!G30+'Интернациональный 10'!G31+'Огарева 34а'!G30+'Огарева 4'!G30+'Огарева 40 корп.1'!G31+'Огарева 40 корп.2'!G30+'Огарева 6'!G30+'Пролетарская 21'!G30+#REF!+'Пролетарская 41'!G30+'Пролетарская 44'!G29+'Пролетарская 90'!G30+'Пухова 1'!G31+'Пухова 19'!G30+'Пухова 3'!G30+'Рылеева 1дробь 12'!G31+'Рылеева 18б'!G30+'Рылеева 19'!G31+#REF!+#REF!+'Рылеева 6'!G32+'Суворова 13'!G31+'Суворова 17'!G31+'Суворова 63 корп.1'!G30+'Суворова 69'!G31+#REF!+'Суворова 9'!G29+'Суворова 93 дробь 26'!G31+'Суворова 95'!G31+'Суворова 38'!G31+#REF!+'Большевиков 3'!G31+'Суворова 58'!G31+'Суворова 46'!G31+'пер Труда 4 корп.2'!G29+'Труда 16'!G30</f>
        <v>#REF!</v>
      </c>
    </row>
    <row r="32" spans="1:9" x14ac:dyDescent="0.25">
      <c r="A32" s="7" t="s">
        <v>41</v>
      </c>
      <c r="B32" s="7" t="s">
        <v>43</v>
      </c>
      <c r="C32" s="12">
        <v>1544.29</v>
      </c>
      <c r="D32" s="8" t="e">
        <f>'Баррикад 2'!D32+'В.Восстания 1'!D30+'Воронина 9'!D32+'Герцена 17 '!#REF!+'Герцена 3'!D32+'Герцена 6'!D31+'Герцена 9а'!D31+'Огарева 3'!D31+'Интернациональный 10'!D32+'Огарева 34а'!D31+'Огарева 4'!D31+'Огарева 40 корп.1'!D32+'Огарева 40 корп.2'!D31+'Огарева 6'!D31+'Пролетарская 21'!D31+#REF!+'Пролетарская 41'!D31+'Пролетарская 44'!D30+'Пролетарская 90'!D31+'Пухова 1'!D32+'Пухова 19'!D31+'Пухова 3'!D31+'Рылеева 1дробь 12'!D32+'Рылеева 18б'!D31+'Рылеева 19'!D32+#REF!+#REF!+'Рылеева 6'!D33+'Суворова 13'!D32+'Суворова 17'!D32+'Суворова 63 корп.1'!D31+'Суворова 69'!D32+#REF!+'Суворова 9'!D30+'Суворова 93 дробь 26'!D32+'Суворова 95'!D32+'Суворова 38'!D32+#REF!+'Большевиков 3'!D33+'Суворова 58'!D32+'Суворова 46'!D32+'пер Труда 4 корп.2'!D30+'Труда 16'!D31</f>
        <v>#REF!</v>
      </c>
      <c r="E32" s="8" t="e">
        <f>'Баррикад 2'!E32+'В.Восстания 1'!E30+'Воронина 9'!E32+'Герцена 17 '!#REF!+'Герцена 3'!E32+'Герцена 6'!E31+'Герцена 9а'!E31+'Огарева 3'!E31+'Интернациональный 10'!E32+'Огарева 34а'!E31+'Огарева 4'!E31+'Огарева 40 корп.1'!E32+'Огарева 40 корп.2'!E31+'Огарева 6'!E31+'Пролетарская 21'!E31+#REF!+'Пролетарская 41'!E31+'Пролетарская 44'!E30+'Пролетарская 90'!E31+'Пухова 1'!E32+'Пухова 19'!E31+'Пухова 3'!E31+'Рылеева 1дробь 12'!E32+'Рылеева 18б'!E31+'Рылеева 19'!E32+#REF!+#REF!+'Рылеева 6'!E33+'Суворова 13'!E32+'Суворова 17'!E32+'Суворова 63 корп.1'!E31+'Суворова 69'!E32+#REF!+'Суворова 9'!E30+'Суворова 93 дробь 26'!E32+'Суворова 95'!E32+'Суворова 38'!E32+#REF!+'Большевиков 3'!E33+'Суворова 58'!E32+'Суворова 46'!E32+'пер Труда 4 корп.2'!E30+'Труда 16'!E31</f>
        <v>#REF!</v>
      </c>
      <c r="F32" s="8" t="e">
        <f>'Баррикад 2'!F32+'В.Восстания 1'!F30+'Воронина 9'!F32+'Герцена 17 '!#REF!+'Герцена 3'!F32+'Герцена 6'!F31+'Герцена 9а'!F31+'Огарева 3'!F31+'Интернациональный 10'!F32+'Огарева 34а'!F31+'Огарева 4'!F31+'Огарева 40 корп.1'!F32+'Огарева 40 корп.2'!F31+'Огарева 6'!F31+'Пролетарская 21'!F31+#REF!+'Пролетарская 41'!F31+'Пролетарская 44'!F30+'Пролетарская 90'!F31+'Пухова 1'!F32+'Пухова 19'!F31+'Пухова 3'!F31+'Рылеева 1дробь 12'!F32+'Рылеева 18б'!F31+'Рылеева 19'!F32+#REF!+#REF!+'Рылеева 6'!F33+'Суворова 13'!F32+'Суворова 17'!F32+'Суворова 63 корп.1'!F31+'Суворова 69'!F32+#REF!+'Суворова 9'!F30+'Суворова 93 дробь 26'!F32+'Суворова 95'!F32+'Суворова 38'!F32+#REF!+'Большевиков 3'!F33+'Суворова 58'!F32+'Суворова 46'!F32+'пер Труда 4 корп.2'!F30+'Труда 16'!F31</f>
        <v>#REF!</v>
      </c>
      <c r="G32" s="8" t="e">
        <f>'Баррикад 2'!G32+'В.Восстания 1'!G30+'Воронина 9'!G32+'Герцена 17 '!#REF!+'Герцена 3'!G32+'Герцена 6'!G31+'Герцена 9а'!G31+'Огарева 3'!G31+'Интернациональный 10'!G32+'Огарева 34а'!G31+'Огарева 4'!G31+'Огарева 40 корп.1'!G32+'Огарева 40 корп.2'!G31+'Огарева 6'!G31+'Пролетарская 21'!G31+#REF!+'Пролетарская 41'!G31+'Пролетарская 44'!G30+'Пролетарская 90'!G31+'Пухова 1'!G32+'Пухова 19'!G31+'Пухова 3'!G31+'Рылеева 1дробь 12'!G32+'Рылеева 18б'!G31+'Рылеева 19'!G32+#REF!+#REF!+'Рылеева 6'!G33+'Суворова 13'!G32+'Суворова 17'!G32+'Суворова 63 корп.1'!G31+'Суворова 69'!G32+#REF!+'Суворова 9'!G30+'Суворова 93 дробь 26'!G32+'Суворова 95'!G32+'Суворова 38'!G32+#REF!+'Большевиков 3'!G33+'Суворова 58'!G32+'Суворова 46'!G32+'пер Труда 4 корп.2'!G30+'Труда 16'!G31</f>
        <v>#REF!</v>
      </c>
    </row>
    <row r="33" spans="1:10" s="16" customFormat="1" ht="13.5" x14ac:dyDescent="0.25">
      <c r="A33" s="541" t="s">
        <v>64</v>
      </c>
      <c r="B33" s="542"/>
      <c r="C33" s="543"/>
      <c r="D33" s="15" t="e">
        <f t="shared" ref="D33:J33" si="0">D18+D23+D24+D25+D28</f>
        <v>#REF!</v>
      </c>
      <c r="E33" s="15" t="e">
        <f t="shared" si="0"/>
        <v>#REF!</v>
      </c>
      <c r="F33" s="15" t="e">
        <f t="shared" si="0"/>
        <v>#REF!</v>
      </c>
      <c r="G33" s="15" t="e">
        <f t="shared" si="0"/>
        <v>#REF!</v>
      </c>
      <c r="H33" s="15">
        <f t="shared" si="0"/>
        <v>6.75</v>
      </c>
      <c r="I33" s="15">
        <f t="shared" si="0"/>
        <v>0</v>
      </c>
      <c r="J33" s="15">
        <f t="shared" si="0"/>
        <v>0</v>
      </c>
    </row>
    <row r="34" spans="1:10" s="3" customFormat="1" x14ac:dyDescent="0.25"/>
    <row r="35" spans="1:10" s="3" customFormat="1" x14ac:dyDescent="0.25">
      <c r="A35" s="3" t="s">
        <v>55</v>
      </c>
      <c r="G35" s="3" t="s">
        <v>49</v>
      </c>
      <c r="I35" s="3" t="s">
        <v>60</v>
      </c>
    </row>
    <row r="36" spans="1:10" s="3" customFormat="1" x14ac:dyDescent="0.25"/>
    <row r="37" spans="1:10" s="3" customFormat="1" x14ac:dyDescent="0.25"/>
    <row r="38" spans="1:10" s="3" customFormat="1" x14ac:dyDescent="0.25">
      <c r="G38" s="4" t="s">
        <v>66</v>
      </c>
    </row>
    <row r="39" spans="1:10" s="3" customFormat="1" x14ac:dyDescent="0.25"/>
    <row r="40" spans="1:10" s="3" customFormat="1" x14ac:dyDescent="0.25"/>
    <row r="41" spans="1:10" s="3" customFormat="1" x14ac:dyDescent="0.25">
      <c r="A41" s="3" t="s">
        <v>50</v>
      </c>
    </row>
    <row r="42" spans="1:10" s="3" customFormat="1" x14ac:dyDescent="0.25">
      <c r="C42" s="10" t="s">
        <v>51</v>
      </c>
      <c r="E42" s="10"/>
      <c r="F42" s="10"/>
      <c r="G42" s="10"/>
    </row>
    <row r="43" spans="1:10" s="3" customFormat="1" x14ac:dyDescent="0.25"/>
    <row r="44" spans="1:10" s="3" customFormat="1" x14ac:dyDescent="0.25"/>
  </sheetData>
  <mergeCells count="8">
    <mergeCell ref="A15:I15"/>
    <mergeCell ref="A33:C33"/>
    <mergeCell ref="A1:I1"/>
    <mergeCell ref="A2:I2"/>
    <mergeCell ref="A3:I3"/>
    <mergeCell ref="A5:I5"/>
    <mergeCell ref="A13:I13"/>
    <mergeCell ref="A14:I14"/>
  </mergeCells>
  <phoneticPr fontId="14" type="noConversion"/>
  <pageMargins left="0" right="0" top="0" bottom="0" header="0.31496062992125984" footer="0.31496062992125984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09D1F0-2E3B-4F18-B27A-71EB0E2CB529}">
  <sheetPr>
    <tabColor rgb="FF7030A0"/>
  </sheetPr>
  <dimension ref="A1:P59"/>
  <sheetViews>
    <sheetView topLeftCell="A31" zoomScaleNormal="100" workbookViewId="0">
      <selection activeCell="A60" sqref="A60:IV61"/>
    </sheetView>
  </sheetViews>
  <sheetFormatPr defaultRowHeight="15" outlineLevelRow="1" outlineLevelCol="1" x14ac:dyDescent="0.25"/>
  <cols>
    <col min="1" max="1" width="4.7109375" style="35" customWidth="1"/>
    <col min="2" max="2" width="40.5703125" style="35" customWidth="1"/>
    <col min="3" max="3" width="13.140625" style="35" customWidth="1"/>
    <col min="4" max="5" width="13.140625" style="35" bestFit="1" customWidth="1"/>
    <col min="6" max="6" width="15.42578125" style="35" customWidth="1"/>
    <col min="7" max="7" width="13.42578125" style="35" customWidth="1"/>
    <col min="8" max="8" width="10.85546875" style="35" hidden="1" customWidth="1" outlineLevel="1"/>
    <col min="9" max="9" width="13.42578125" style="35" hidden="1" customWidth="1" outlineLevel="1"/>
    <col min="10" max="10" width="12" style="35" hidden="1" customWidth="1" outlineLevel="1"/>
    <col min="11" max="12" width="9.140625" style="35" hidden="1" customWidth="1" outlineLevel="1"/>
    <col min="13" max="13" width="10.7109375" style="35" bestFit="1" customWidth="1" collapsed="1"/>
    <col min="14" max="14" width="14.7109375" style="35" customWidth="1"/>
    <col min="15" max="15" width="15.7109375" style="35" customWidth="1"/>
    <col min="16" max="16" width="11" style="35" customWidth="1"/>
    <col min="17" max="17" width="9.140625" style="35"/>
    <col min="18" max="18" width="13.140625" style="35" bestFit="1" customWidth="1"/>
    <col min="19" max="16384" width="9.140625" style="35"/>
  </cols>
  <sheetData>
    <row r="1" spans="1:12" x14ac:dyDescent="0.25">
      <c r="A1" s="397" t="s">
        <v>0</v>
      </c>
      <c r="B1" s="397"/>
      <c r="C1" s="397"/>
      <c r="D1" s="397"/>
      <c r="E1" s="397"/>
      <c r="F1" s="397"/>
      <c r="G1" s="397"/>
      <c r="H1" s="397"/>
      <c r="I1" s="397"/>
    </row>
    <row r="2" spans="1:12" ht="15" customHeight="1" x14ac:dyDescent="0.25">
      <c r="A2" s="370" t="s">
        <v>152</v>
      </c>
      <c r="B2" s="370"/>
      <c r="C2" s="370"/>
      <c r="D2" s="370"/>
      <c r="E2" s="370"/>
      <c r="F2" s="370"/>
      <c r="G2" s="370"/>
      <c r="H2" s="370"/>
      <c r="I2" s="370"/>
      <c r="J2" s="370"/>
      <c r="K2" s="370"/>
    </row>
    <row r="3" spans="1:12" ht="15" customHeight="1" x14ac:dyDescent="0.25">
      <c r="A3" s="370" t="s">
        <v>426</v>
      </c>
      <c r="B3" s="370"/>
      <c r="C3" s="370"/>
      <c r="D3" s="370"/>
      <c r="E3" s="370"/>
      <c r="F3" s="370"/>
      <c r="G3" s="370"/>
      <c r="H3" s="370"/>
      <c r="I3" s="370"/>
      <c r="J3" s="370"/>
      <c r="K3" s="370"/>
    </row>
    <row r="4" spans="1:12" ht="9.75" customHeight="1" x14ac:dyDescent="0.25">
      <c r="A4" s="142"/>
      <c r="B4" s="142"/>
      <c r="C4" s="142"/>
      <c r="D4" s="142"/>
      <c r="E4" s="142"/>
      <c r="F4" s="142"/>
      <c r="G4" s="142"/>
      <c r="H4" s="142"/>
      <c r="I4" s="142"/>
    </row>
    <row r="5" spans="1:12" ht="13.5" customHeight="1" x14ac:dyDescent="0.25">
      <c r="A5" s="398" t="s">
        <v>1</v>
      </c>
      <c r="B5" s="397"/>
      <c r="C5" s="397"/>
      <c r="D5" s="397"/>
      <c r="E5" s="397"/>
      <c r="F5" s="397"/>
      <c r="G5" s="397"/>
      <c r="H5" s="397"/>
      <c r="I5" s="397"/>
    </row>
    <row r="7" spans="1:12" s="59" customFormat="1" ht="16.5" customHeight="1" x14ac:dyDescent="0.25">
      <c r="A7" s="59" t="s">
        <v>2</v>
      </c>
      <c r="F7" s="111" t="s">
        <v>161</v>
      </c>
    </row>
    <row r="8" spans="1:12" s="59" customFormat="1" x14ac:dyDescent="0.25">
      <c r="A8" s="59" t="s">
        <v>3</v>
      </c>
      <c r="F8" s="239" t="s">
        <v>437</v>
      </c>
      <c r="H8" s="180">
        <v>0</v>
      </c>
      <c r="I8" s="59">
        <v>12545.4</v>
      </c>
      <c r="J8" s="152">
        <f>H8+I8</f>
        <v>12545.4</v>
      </c>
    </row>
    <row r="9" spans="1:12" s="59" customFormat="1" ht="12" customHeight="1" x14ac:dyDescent="0.25">
      <c r="B9" s="51"/>
      <c r="C9" s="115"/>
      <c r="D9" s="51"/>
      <c r="E9" s="51"/>
      <c r="F9" s="285"/>
    </row>
    <row r="10" spans="1:12" s="59" customFormat="1" x14ac:dyDescent="0.25">
      <c r="A10" s="372" t="s">
        <v>8</v>
      </c>
      <c r="B10" s="372"/>
      <c r="C10" s="372"/>
      <c r="D10" s="372"/>
      <c r="E10" s="372"/>
      <c r="F10" s="372"/>
      <c r="G10" s="372"/>
      <c r="H10" s="372"/>
      <c r="I10" s="372"/>
    </row>
    <row r="11" spans="1:12" s="59" customFormat="1" x14ac:dyDescent="0.25">
      <c r="A11" s="372" t="s">
        <v>9</v>
      </c>
      <c r="B11" s="372"/>
      <c r="C11" s="372"/>
      <c r="D11" s="372"/>
      <c r="E11" s="372"/>
      <c r="F11" s="372"/>
      <c r="G11" s="372"/>
      <c r="H11" s="372"/>
      <c r="I11" s="372"/>
    </row>
    <row r="12" spans="1:12" s="59" customFormat="1" x14ac:dyDescent="0.25">
      <c r="A12" s="372" t="s">
        <v>10</v>
      </c>
      <c r="B12" s="372"/>
      <c r="C12" s="372"/>
      <c r="D12" s="372"/>
      <c r="E12" s="372"/>
      <c r="F12" s="372"/>
      <c r="G12" s="372"/>
      <c r="H12" s="372"/>
      <c r="I12" s="372"/>
    </row>
    <row r="13" spans="1:12" s="59" customFormat="1" ht="6" customHeight="1" thickBot="1" x14ac:dyDescent="0.3">
      <c r="A13" s="60"/>
      <c r="B13" s="60"/>
      <c r="C13" s="60"/>
      <c r="D13" s="38"/>
      <c r="E13" s="58"/>
      <c r="F13" s="58"/>
      <c r="G13" s="58"/>
      <c r="H13" s="54"/>
      <c r="I13" s="54"/>
    </row>
    <row r="14" spans="1:12" s="59" customFormat="1" ht="15.75" thickBot="1" x14ac:dyDescent="0.3">
      <c r="A14" s="55" t="s">
        <v>381</v>
      </c>
      <c r="B14" s="56"/>
      <c r="C14" s="56"/>
      <c r="D14" s="61"/>
      <c r="E14" s="62"/>
      <c r="F14" s="62"/>
      <c r="G14" s="129">
        <f>'[1]Герцена 17 '!$G$37</f>
        <v>747565.06979999994</v>
      </c>
      <c r="H14" s="54"/>
      <c r="I14" s="321" t="s">
        <v>376</v>
      </c>
      <c r="J14" s="187">
        <v>140330.78</v>
      </c>
      <c r="K14" s="59" t="s">
        <v>378</v>
      </c>
      <c r="L14" s="187">
        <v>-60273.88</v>
      </c>
    </row>
    <row r="15" spans="1:12" s="59" customFormat="1" ht="7.5" customHeight="1" x14ac:dyDescent="0.25"/>
    <row r="16" spans="1:12" s="66" customFormat="1" ht="38.25" x14ac:dyDescent="0.25">
      <c r="A16" s="64" t="s">
        <v>11</v>
      </c>
      <c r="B16" s="64" t="s">
        <v>12</v>
      </c>
      <c r="C16" s="64" t="s">
        <v>61</v>
      </c>
      <c r="D16" s="64" t="s">
        <v>432</v>
      </c>
      <c r="E16" s="64" t="s">
        <v>433</v>
      </c>
      <c r="F16" s="65" t="s">
        <v>434</v>
      </c>
      <c r="G16" s="64" t="s">
        <v>435</v>
      </c>
      <c r="H16" s="64"/>
    </row>
    <row r="17" spans="1:16" s="152" customFormat="1" ht="14.25" x14ac:dyDescent="0.2">
      <c r="A17" s="67" t="s">
        <v>14</v>
      </c>
      <c r="B17" s="119" t="s">
        <v>379</v>
      </c>
      <c r="C17" s="120">
        <v>20.32</v>
      </c>
      <c r="D17" s="68">
        <v>3058559.04</v>
      </c>
      <c r="E17" s="68">
        <v>3036207.59</v>
      </c>
      <c r="F17" s="68">
        <f t="shared" ref="F17:F24" si="0">D17</f>
        <v>3058559.04</v>
      </c>
      <c r="G17" s="69">
        <f t="shared" ref="G17:G23" si="1">D17-E17</f>
        <v>22351.450000000186</v>
      </c>
      <c r="H17" s="151">
        <f t="shared" ref="H17:H22" si="2">C17</f>
        <v>20.32</v>
      </c>
      <c r="N17" s="151"/>
      <c r="O17" s="151"/>
      <c r="P17" s="151"/>
    </row>
    <row r="18" spans="1:16" s="59" customFormat="1" hidden="1" outlineLevel="1" x14ac:dyDescent="0.25">
      <c r="A18" s="73" t="s">
        <v>16</v>
      </c>
      <c r="B18" s="124" t="s">
        <v>17</v>
      </c>
      <c r="C18" s="89">
        <v>3.46</v>
      </c>
      <c r="D18" s="75">
        <f>D17*I18</f>
        <v>520797.94677165354</v>
      </c>
      <c r="E18" s="75">
        <f>E17*I18</f>
        <v>516992.04042322835</v>
      </c>
      <c r="F18" s="75">
        <f t="shared" si="0"/>
        <v>520797.94677165354</v>
      </c>
      <c r="G18" s="76">
        <f t="shared" si="1"/>
        <v>3805.9063484251965</v>
      </c>
      <c r="H18" s="130">
        <f t="shared" si="2"/>
        <v>3.46</v>
      </c>
      <c r="I18" s="59">
        <f>H18/H17</f>
        <v>0.17027559055118111</v>
      </c>
    </row>
    <row r="19" spans="1:16" s="59" customFormat="1" hidden="1" outlineLevel="1" x14ac:dyDescent="0.25">
      <c r="A19" s="73" t="s">
        <v>18</v>
      </c>
      <c r="B19" s="124" t="s">
        <v>19</v>
      </c>
      <c r="C19" s="89">
        <v>1.69</v>
      </c>
      <c r="D19" s="75">
        <f>D17*I19</f>
        <v>254378.18787401571</v>
      </c>
      <c r="E19" s="75">
        <f>E17*I19</f>
        <v>252519.23361712595</v>
      </c>
      <c r="F19" s="75">
        <f t="shared" si="0"/>
        <v>254378.18787401571</v>
      </c>
      <c r="G19" s="76">
        <f t="shared" si="1"/>
        <v>1858.9542568897596</v>
      </c>
      <c r="H19" s="130">
        <f t="shared" si="2"/>
        <v>1.69</v>
      </c>
      <c r="I19" s="59">
        <f>H19/H17</f>
        <v>8.3169291338582668E-2</v>
      </c>
    </row>
    <row r="20" spans="1:16" s="59" customFormat="1" hidden="1" outlineLevel="1" x14ac:dyDescent="0.25">
      <c r="A20" s="73" t="s">
        <v>20</v>
      </c>
      <c r="B20" s="124" t="s">
        <v>21</v>
      </c>
      <c r="C20" s="89">
        <v>2.15</v>
      </c>
      <c r="D20" s="75">
        <f>D17*I20</f>
        <v>323617.22125984251</v>
      </c>
      <c r="E20" s="75">
        <f>E17*I20</f>
        <v>321252.27945374011</v>
      </c>
      <c r="F20" s="75">
        <f t="shared" si="0"/>
        <v>323617.22125984251</v>
      </c>
      <c r="G20" s="76">
        <f t="shared" si="1"/>
        <v>2364.9418061024044</v>
      </c>
      <c r="H20" s="130">
        <f t="shared" si="2"/>
        <v>2.15</v>
      </c>
      <c r="I20" s="59">
        <f>H20/H17</f>
        <v>0.10580708661417322</v>
      </c>
    </row>
    <row r="21" spans="1:16" s="59" customFormat="1" hidden="1" outlineLevel="1" x14ac:dyDescent="0.25">
      <c r="A21" s="73" t="s">
        <v>22</v>
      </c>
      <c r="B21" s="124" t="s">
        <v>23</v>
      </c>
      <c r="C21" s="89">
        <v>3.04</v>
      </c>
      <c r="D21" s="75">
        <f>D17*I21</f>
        <v>457579.69889763783</v>
      </c>
      <c r="E21" s="75">
        <f>E17*I21</f>
        <v>454235.78118110239</v>
      </c>
      <c r="F21" s="75">
        <f t="shared" si="0"/>
        <v>457579.69889763783</v>
      </c>
      <c r="G21" s="76">
        <f t="shared" si="1"/>
        <v>3343.9177165354486</v>
      </c>
      <c r="H21" s="130">
        <f t="shared" si="2"/>
        <v>3.04</v>
      </c>
      <c r="I21" s="59">
        <f>H21/H17</f>
        <v>0.14960629921259844</v>
      </c>
    </row>
    <row r="22" spans="1:16" s="59" customFormat="1" collapsed="1" x14ac:dyDescent="0.25">
      <c r="A22" s="67" t="s">
        <v>25</v>
      </c>
      <c r="B22" s="78" t="s">
        <v>145</v>
      </c>
      <c r="C22" s="357">
        <v>150</v>
      </c>
      <c r="D22" s="68">
        <v>0</v>
      </c>
      <c r="E22" s="68">
        <v>5906.79</v>
      </c>
      <c r="F22" s="68">
        <f>D22</f>
        <v>0</v>
      </c>
      <c r="G22" s="69">
        <f t="shared" si="1"/>
        <v>-5906.79</v>
      </c>
      <c r="H22" s="130">
        <f t="shared" si="2"/>
        <v>150</v>
      </c>
    </row>
    <row r="23" spans="1:16" s="37" customFormat="1" ht="14.25" x14ac:dyDescent="0.2">
      <c r="A23" s="39" t="s">
        <v>27</v>
      </c>
      <c r="B23" s="125" t="s">
        <v>26</v>
      </c>
      <c r="C23" s="126">
        <v>4.3600000000000003</v>
      </c>
      <c r="D23" s="69">
        <v>652256.6</v>
      </c>
      <c r="E23" s="69">
        <v>650920.75</v>
      </c>
      <c r="F23" s="68">
        <f>D23</f>
        <v>652256.6</v>
      </c>
      <c r="G23" s="69">
        <f t="shared" si="1"/>
        <v>1335.8499999999767</v>
      </c>
    </row>
    <row r="24" spans="1:16" s="37" customFormat="1" ht="14.25" x14ac:dyDescent="0.2">
      <c r="A24" s="39" t="s">
        <v>29</v>
      </c>
      <c r="B24" s="125" t="s">
        <v>97</v>
      </c>
      <c r="C24" s="357">
        <v>0</v>
      </c>
      <c r="D24" s="69">
        <v>0</v>
      </c>
      <c r="E24" s="69">
        <v>0</v>
      </c>
      <c r="F24" s="69">
        <f t="shared" si="0"/>
        <v>0</v>
      </c>
      <c r="G24" s="69">
        <f t="shared" ref="G24:G32" si="3">D24-E24</f>
        <v>0</v>
      </c>
    </row>
    <row r="25" spans="1:16" s="37" customFormat="1" ht="14.25" x14ac:dyDescent="0.2">
      <c r="A25" s="39" t="s">
        <v>31</v>
      </c>
      <c r="B25" s="125" t="s">
        <v>80</v>
      </c>
      <c r="C25" s="126">
        <v>5</v>
      </c>
      <c r="D25" s="69">
        <v>752598</v>
      </c>
      <c r="E25" s="69">
        <v>745003.66</v>
      </c>
      <c r="F25" s="79">
        <f>F41</f>
        <v>889054.81660000002</v>
      </c>
      <c r="G25" s="69">
        <f t="shared" si="3"/>
        <v>7594.3399999999674</v>
      </c>
    </row>
    <row r="26" spans="1:16" s="37" customFormat="1" ht="14.25" x14ac:dyDescent="0.2">
      <c r="A26" s="39" t="s">
        <v>33</v>
      </c>
      <c r="B26" s="119" t="s">
        <v>34</v>
      </c>
      <c r="C26" s="120">
        <v>0</v>
      </c>
      <c r="D26" s="69"/>
      <c r="E26" s="69">
        <v>0</v>
      </c>
      <c r="F26" s="79">
        <f t="shared" ref="F26:F31" si="4">D26</f>
        <v>0</v>
      </c>
      <c r="G26" s="69">
        <f t="shared" si="3"/>
        <v>0</v>
      </c>
    </row>
    <row r="27" spans="1:16" s="37" customFormat="1" ht="14.25" x14ac:dyDescent="0.2">
      <c r="A27" s="39" t="s">
        <v>35</v>
      </c>
      <c r="B27" s="119" t="s">
        <v>36</v>
      </c>
      <c r="C27" s="120"/>
      <c r="D27" s="69">
        <f>SUM(D28:D31)</f>
        <v>8883255.709999999</v>
      </c>
      <c r="E27" s="69">
        <f>SUM(E28:E31)</f>
        <v>8853660.3200000003</v>
      </c>
      <c r="F27" s="69">
        <f>SUM(F28:F31)</f>
        <v>8883255.709999999</v>
      </c>
      <c r="G27" s="69">
        <f t="shared" si="3"/>
        <v>29595.389999998733</v>
      </c>
      <c r="M27" s="272"/>
    </row>
    <row r="28" spans="1:16" s="37" customFormat="1" x14ac:dyDescent="0.25">
      <c r="A28" s="34" t="s">
        <v>37</v>
      </c>
      <c r="B28" s="34" t="s">
        <v>101</v>
      </c>
      <c r="C28" s="89">
        <v>7.36</v>
      </c>
      <c r="D28" s="76">
        <v>565886.32999999996</v>
      </c>
      <c r="E28" s="76">
        <v>561852.86</v>
      </c>
      <c r="F28" s="188">
        <f>D28</f>
        <v>565886.32999999996</v>
      </c>
      <c r="G28" s="76">
        <f t="shared" si="3"/>
        <v>4033.4699999999721</v>
      </c>
    </row>
    <row r="29" spans="1:16" x14ac:dyDescent="0.25">
      <c r="A29" s="34" t="s">
        <v>39</v>
      </c>
      <c r="B29" s="34" t="s">
        <v>84</v>
      </c>
      <c r="C29" s="89">
        <v>88.38</v>
      </c>
      <c r="D29" s="76">
        <v>1552899.05</v>
      </c>
      <c r="E29" s="76">
        <v>1551393.9</v>
      </c>
      <c r="F29" s="188">
        <f t="shared" si="4"/>
        <v>1552899.05</v>
      </c>
      <c r="G29" s="76">
        <f t="shared" si="3"/>
        <v>1505.1500000001397</v>
      </c>
    </row>
    <row r="30" spans="1:16" x14ac:dyDescent="0.25">
      <c r="A30" s="34" t="s">
        <v>42</v>
      </c>
      <c r="B30" s="124" t="s">
        <v>135</v>
      </c>
      <c r="C30" s="128">
        <v>278.94</v>
      </c>
      <c r="D30" s="76">
        <v>1986724.77</v>
      </c>
      <c r="E30" s="76">
        <v>2020286.87</v>
      </c>
      <c r="F30" s="188">
        <f t="shared" si="4"/>
        <v>1986724.77</v>
      </c>
      <c r="G30" s="76">
        <f t="shared" si="3"/>
        <v>-33562.100000000093</v>
      </c>
    </row>
    <row r="31" spans="1:16" x14ac:dyDescent="0.25">
      <c r="A31" s="34" t="s">
        <v>41</v>
      </c>
      <c r="B31" s="34" t="s">
        <v>43</v>
      </c>
      <c r="C31" s="89">
        <v>3352.42</v>
      </c>
      <c r="D31" s="76">
        <v>4777745.5599999996</v>
      </c>
      <c r="E31" s="76">
        <v>4720126.6900000004</v>
      </c>
      <c r="F31" s="188">
        <f t="shared" si="4"/>
        <v>4777745.5599999996</v>
      </c>
      <c r="G31" s="76">
        <f t="shared" si="3"/>
        <v>57618.86999999918</v>
      </c>
    </row>
    <row r="32" spans="1:16" s="92" customFormat="1" ht="28.5" hidden="1" customHeight="1" outlineLevel="1" x14ac:dyDescent="0.25">
      <c r="A32" s="39" t="s">
        <v>112</v>
      </c>
      <c r="B32" s="300" t="s">
        <v>140</v>
      </c>
      <c r="C32" s="288"/>
      <c r="D32" s="82">
        <f>1000+1800</f>
        <v>2800</v>
      </c>
      <c r="E32" s="82">
        <f>1800</f>
        <v>1800</v>
      </c>
      <c r="F32" s="205">
        <v>37560</v>
      </c>
      <c r="G32" s="69">
        <f t="shared" si="3"/>
        <v>1000</v>
      </c>
      <c r="H32" s="91"/>
      <c r="I32" s="91" t="s">
        <v>377</v>
      </c>
      <c r="J32" s="91"/>
    </row>
    <row r="33" spans="1:13" s="92" customFormat="1" ht="18.75" hidden="1" customHeight="1" outlineLevel="1" x14ac:dyDescent="0.25">
      <c r="A33" s="286"/>
      <c r="B33" s="287"/>
      <c r="C33" s="376" t="s">
        <v>246</v>
      </c>
      <c r="D33" s="377"/>
      <c r="E33" s="377"/>
      <c r="F33" s="377"/>
      <c r="G33" s="82">
        <f>E32-(E32*15%)-F32</f>
        <v>-36030</v>
      </c>
      <c r="H33" s="91"/>
      <c r="I33" s="91"/>
      <c r="J33" s="91"/>
    </row>
    <row r="34" spans="1:13" s="92" customFormat="1" ht="18.75" customHeight="1" collapsed="1" thickBot="1" x14ac:dyDescent="0.3">
      <c r="A34" s="373"/>
      <c r="B34" s="374"/>
      <c r="C34" s="374"/>
      <c r="D34" s="375"/>
      <c r="E34" s="375"/>
      <c r="F34" s="375"/>
      <c r="G34" s="91"/>
      <c r="H34" s="91"/>
      <c r="I34" s="91"/>
      <c r="J34" s="91"/>
    </row>
    <row r="35" spans="1:13" s="59" customFormat="1" ht="15.75" thickBot="1" x14ac:dyDescent="0.3">
      <c r="A35" s="387" t="s">
        <v>427</v>
      </c>
      <c r="B35" s="388"/>
      <c r="C35" s="388"/>
      <c r="D35" s="57">
        <v>54970.239999999998</v>
      </c>
      <c r="E35" s="58"/>
      <c r="F35" s="58"/>
      <c r="G35" s="58"/>
      <c r="H35" s="54"/>
      <c r="I35" s="54"/>
    </row>
    <row r="36" spans="1:13" s="59" customFormat="1" ht="6" customHeight="1" thickBot="1" x14ac:dyDescent="0.3">
      <c r="A36" s="60"/>
      <c r="B36" s="60"/>
      <c r="C36" s="60"/>
      <c r="D36" s="38"/>
      <c r="E36" s="58"/>
      <c r="F36" s="58"/>
      <c r="G36" s="58"/>
      <c r="H36" s="54"/>
      <c r="I36" s="54"/>
    </row>
    <row r="37" spans="1:13" s="59" customFormat="1" ht="15.75" thickBot="1" x14ac:dyDescent="0.3">
      <c r="A37" s="55" t="s">
        <v>428</v>
      </c>
      <c r="B37" s="56"/>
      <c r="C37" s="56"/>
      <c r="D37" s="61"/>
      <c r="E37" s="62"/>
      <c r="F37" s="62"/>
      <c r="G37" s="129">
        <f>G14+E25-F25</f>
        <v>603513.91319999984</v>
      </c>
      <c r="H37" s="54"/>
      <c r="I37" s="54"/>
      <c r="M37" s="130"/>
    </row>
    <row r="38" spans="1:13" ht="26.25" customHeight="1" x14ac:dyDescent="0.25">
      <c r="A38" s="371" t="s">
        <v>44</v>
      </c>
      <c r="B38" s="371"/>
      <c r="C38" s="371"/>
      <c r="D38" s="371"/>
      <c r="E38" s="371"/>
      <c r="F38" s="371"/>
      <c r="G38" s="371"/>
      <c r="H38" s="371"/>
      <c r="I38" s="371"/>
    </row>
    <row r="39" spans="1:13" ht="7.5" customHeight="1" x14ac:dyDescent="0.25"/>
    <row r="40" spans="1:13" s="156" customFormat="1" ht="28.5" customHeight="1" x14ac:dyDescent="0.25">
      <c r="A40" s="94" t="s">
        <v>11</v>
      </c>
      <c r="B40" s="160" t="s">
        <v>45</v>
      </c>
      <c r="C40" s="161"/>
      <c r="D40" s="94" t="s">
        <v>99</v>
      </c>
      <c r="E40" s="94" t="s">
        <v>98</v>
      </c>
      <c r="F40" s="416" t="s">
        <v>46</v>
      </c>
      <c r="G40" s="424"/>
    </row>
    <row r="41" spans="1:13" s="103" customFormat="1" ht="13.5" customHeight="1" x14ac:dyDescent="0.25">
      <c r="A41" s="98" t="s">
        <v>47</v>
      </c>
      <c r="B41" s="418" t="s">
        <v>75</v>
      </c>
      <c r="C41" s="430"/>
      <c r="D41" s="98"/>
      <c r="E41" s="98"/>
      <c r="F41" s="436">
        <f>SUM(F42:G49)</f>
        <v>889054.81660000002</v>
      </c>
      <c r="G41" s="424"/>
    </row>
    <row r="42" spans="1:13" x14ac:dyDescent="0.25">
      <c r="A42" s="34" t="s">
        <v>16</v>
      </c>
      <c r="B42" s="440" t="s">
        <v>444</v>
      </c>
      <c r="C42" s="442"/>
      <c r="D42" s="105" t="s">
        <v>100</v>
      </c>
      <c r="E42" s="105">
        <v>1</v>
      </c>
      <c r="F42" s="437">
        <v>22979.18</v>
      </c>
      <c r="G42" s="438"/>
    </row>
    <row r="43" spans="1:13" ht="17.25" customHeight="1" x14ac:dyDescent="0.25">
      <c r="A43" s="34" t="s">
        <v>18</v>
      </c>
      <c r="B43" s="440" t="s">
        <v>439</v>
      </c>
      <c r="C43" s="442"/>
      <c r="D43" s="105" t="s">
        <v>100</v>
      </c>
      <c r="E43" s="105">
        <v>191</v>
      </c>
      <c r="F43" s="437">
        <v>509128.8</v>
      </c>
      <c r="G43" s="438"/>
    </row>
    <row r="44" spans="1:13" ht="14.45" customHeight="1" x14ac:dyDescent="0.25">
      <c r="A44" s="34" t="s">
        <v>20</v>
      </c>
      <c r="B44" s="440" t="s">
        <v>440</v>
      </c>
      <c r="C44" s="441"/>
      <c r="D44" s="105" t="s">
        <v>100</v>
      </c>
      <c r="E44" s="105">
        <v>3</v>
      </c>
      <c r="F44" s="439">
        <v>142298.78</v>
      </c>
      <c r="G44" s="439"/>
    </row>
    <row r="45" spans="1:13" ht="14.45" customHeight="1" x14ac:dyDescent="0.25">
      <c r="A45" s="34" t="s">
        <v>22</v>
      </c>
      <c r="B45" s="440" t="s">
        <v>442</v>
      </c>
      <c r="C45" s="441"/>
      <c r="D45" s="105" t="s">
        <v>103</v>
      </c>
      <c r="E45" s="107">
        <v>5.5E-2</v>
      </c>
      <c r="F45" s="439">
        <v>9196.44</v>
      </c>
      <c r="G45" s="439"/>
    </row>
    <row r="46" spans="1:13" ht="14.45" customHeight="1" x14ac:dyDescent="0.25">
      <c r="A46" s="34" t="s">
        <v>24</v>
      </c>
      <c r="B46" s="440" t="s">
        <v>443</v>
      </c>
      <c r="C46" s="441"/>
      <c r="D46" s="105" t="s">
        <v>103</v>
      </c>
      <c r="E46" s="107">
        <v>0.375</v>
      </c>
      <c r="F46" s="439">
        <v>124780.07</v>
      </c>
      <c r="G46" s="439"/>
    </row>
    <row r="47" spans="1:13" x14ac:dyDescent="0.25">
      <c r="A47" s="34" t="s">
        <v>73</v>
      </c>
      <c r="B47" s="440" t="s">
        <v>441</v>
      </c>
      <c r="C47" s="441"/>
      <c r="D47" s="105" t="s">
        <v>100</v>
      </c>
      <c r="E47" s="105">
        <v>1</v>
      </c>
      <c r="F47" s="439">
        <v>19716.37</v>
      </c>
      <c r="G47" s="439"/>
    </row>
    <row r="48" spans="1:13" x14ac:dyDescent="0.25">
      <c r="A48" s="34" t="s">
        <v>74</v>
      </c>
      <c r="B48" s="443" t="s">
        <v>450</v>
      </c>
      <c r="C48" s="415"/>
      <c r="D48" s="105" t="s">
        <v>103</v>
      </c>
      <c r="E48" s="105">
        <v>0.14000000000000001</v>
      </c>
      <c r="F48" s="439">
        <v>53505.14</v>
      </c>
      <c r="G48" s="439"/>
    </row>
    <row r="49" spans="1:7" x14ac:dyDescent="0.25">
      <c r="A49" s="34" t="s">
        <v>81</v>
      </c>
      <c r="B49" s="133" t="s">
        <v>108</v>
      </c>
      <c r="C49" s="134"/>
      <c r="D49" s="162" t="s">
        <v>100</v>
      </c>
      <c r="E49" s="162"/>
      <c r="F49" s="435">
        <f>E25*1%</f>
        <v>7450.0366000000004</v>
      </c>
      <c r="G49" s="435"/>
    </row>
    <row r="50" spans="1:7" ht="12.75" customHeight="1" x14ac:dyDescent="0.25">
      <c r="A50" s="153"/>
      <c r="B50" s="163"/>
      <c r="C50" s="163"/>
      <c r="D50" s="163"/>
      <c r="E50" s="163"/>
      <c r="F50" s="164"/>
      <c r="G50" s="164"/>
    </row>
    <row r="51" spans="1:7" ht="12.75" customHeight="1" x14ac:dyDescent="0.25">
      <c r="A51" s="153"/>
      <c r="B51" s="163"/>
      <c r="C51" s="163"/>
      <c r="D51" s="163"/>
      <c r="E51" s="163"/>
      <c r="F51" s="164"/>
      <c r="G51" s="164"/>
    </row>
    <row r="52" spans="1:7" s="59" customFormat="1" ht="6.75" customHeight="1" x14ac:dyDescent="0.25"/>
    <row r="53" spans="1:7" s="59" customFormat="1" x14ac:dyDescent="0.25">
      <c r="A53" s="51" t="s">
        <v>372</v>
      </c>
      <c r="C53" s="59" t="s">
        <v>49</v>
      </c>
      <c r="F53" s="59" t="s">
        <v>60</v>
      </c>
    </row>
    <row r="54" spans="1:7" s="59" customFormat="1" ht="9" customHeight="1" x14ac:dyDescent="0.25"/>
    <row r="55" spans="1:7" s="59" customFormat="1" ht="13.5" customHeight="1" x14ac:dyDescent="0.25">
      <c r="F55" s="111" t="s">
        <v>438</v>
      </c>
    </row>
    <row r="56" spans="1:7" s="59" customFormat="1" ht="13.5" customHeight="1" x14ac:dyDescent="0.25">
      <c r="A56" s="59" t="s">
        <v>50</v>
      </c>
    </row>
    <row r="57" spans="1:7" s="59" customFormat="1" x14ac:dyDescent="0.25">
      <c r="C57" s="113" t="s">
        <v>51</v>
      </c>
      <c r="E57" s="113"/>
      <c r="F57" s="113"/>
      <c r="G57" s="113"/>
    </row>
    <row r="58" spans="1:7" s="59" customFormat="1" x14ac:dyDescent="0.25"/>
    <row r="59" spans="1:7" s="59" customFormat="1" x14ac:dyDescent="0.25"/>
  </sheetData>
  <mergeCells count="29">
    <mergeCell ref="B48:C48"/>
    <mergeCell ref="F48:G48"/>
    <mergeCell ref="A1:I1"/>
    <mergeCell ref="A5:I5"/>
    <mergeCell ref="A10:I10"/>
    <mergeCell ref="A3:K3"/>
    <mergeCell ref="A12:I12"/>
    <mergeCell ref="A2:K2"/>
    <mergeCell ref="A11:I11"/>
    <mergeCell ref="C33:F33"/>
    <mergeCell ref="B47:C47"/>
    <mergeCell ref="F40:G40"/>
    <mergeCell ref="A34:F34"/>
    <mergeCell ref="A38:I38"/>
    <mergeCell ref="A35:C35"/>
    <mergeCell ref="B45:C45"/>
    <mergeCell ref="F45:G45"/>
    <mergeCell ref="B46:C46"/>
    <mergeCell ref="F46:G46"/>
    <mergeCell ref="F49:G49"/>
    <mergeCell ref="F41:G41"/>
    <mergeCell ref="B41:C41"/>
    <mergeCell ref="F43:G43"/>
    <mergeCell ref="F44:G44"/>
    <mergeCell ref="F42:G42"/>
    <mergeCell ref="F47:G47"/>
    <mergeCell ref="B44:C44"/>
    <mergeCell ref="B42:C42"/>
    <mergeCell ref="B43:C43"/>
  </mergeCells>
  <phoneticPr fontId="14" type="noConversion"/>
  <pageMargins left="0" right="0" top="0" bottom="0" header="0.31496062992125984" footer="0.31496062992125984"/>
  <pageSetup paperSize="9" orientation="landscape" verticalDpi="0" r:id="rId1"/>
  <drawing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654B85-EB13-4C4D-AFD0-7D7C2DA1D6ED}">
  <sheetPr>
    <tabColor rgb="FF7030A0"/>
  </sheetPr>
  <dimension ref="A1:M51"/>
  <sheetViews>
    <sheetView topLeftCell="A28" zoomScaleNormal="100" workbookViewId="0">
      <selection activeCell="A54" sqref="A54:IV55"/>
    </sheetView>
  </sheetViews>
  <sheetFormatPr defaultRowHeight="15" outlineLevelRow="1" outlineLevelCol="1" x14ac:dyDescent="0.25"/>
  <cols>
    <col min="1" max="1" width="5" style="35" customWidth="1"/>
    <col min="2" max="2" width="41.7109375" style="35" customWidth="1"/>
    <col min="3" max="3" width="12.85546875" style="35" customWidth="1"/>
    <col min="4" max="5" width="12.7109375" style="35" customWidth="1"/>
    <col min="6" max="6" width="15" style="35" customWidth="1"/>
    <col min="7" max="7" width="13.42578125" style="35" customWidth="1"/>
    <col min="8" max="8" width="10.85546875" style="35" hidden="1" customWidth="1" outlineLevel="1"/>
    <col min="9" max="9" width="13.42578125" style="35" hidden="1" customWidth="1" outlineLevel="1"/>
    <col min="10" max="12" width="9.140625" style="35" hidden="1" customWidth="1" outlineLevel="1"/>
    <col min="13" max="13" width="9.7109375" style="35" bestFit="1" customWidth="1" collapsed="1"/>
    <col min="14" max="16384" width="9.140625" style="35"/>
  </cols>
  <sheetData>
    <row r="1" spans="1:11" x14ac:dyDescent="0.25">
      <c r="A1" s="397" t="s">
        <v>0</v>
      </c>
      <c r="B1" s="397"/>
      <c r="C1" s="397"/>
      <c r="D1" s="397"/>
      <c r="E1" s="397"/>
      <c r="F1" s="397"/>
      <c r="G1" s="397"/>
      <c r="H1" s="397"/>
      <c r="I1" s="397"/>
    </row>
    <row r="2" spans="1:11" ht="15" customHeight="1" x14ac:dyDescent="0.25">
      <c r="A2" s="370" t="s">
        <v>152</v>
      </c>
      <c r="B2" s="370"/>
      <c r="C2" s="370"/>
      <c r="D2" s="370"/>
      <c r="E2" s="370"/>
      <c r="F2" s="370"/>
      <c r="G2" s="370"/>
      <c r="H2" s="370"/>
      <c r="I2" s="370"/>
      <c r="J2" s="370"/>
      <c r="K2" s="370"/>
    </row>
    <row r="3" spans="1:11" ht="13.9" customHeight="1" x14ac:dyDescent="0.25">
      <c r="A3" s="370" t="s">
        <v>426</v>
      </c>
      <c r="B3" s="370"/>
      <c r="C3" s="370"/>
      <c r="D3" s="370"/>
      <c r="E3" s="370"/>
      <c r="F3" s="370"/>
      <c r="G3" s="370"/>
      <c r="H3" s="370"/>
      <c r="I3" s="370"/>
      <c r="J3" s="370"/>
      <c r="K3" s="370"/>
    </row>
    <row r="4" spans="1:11" x14ac:dyDescent="0.25">
      <c r="A4" s="142"/>
      <c r="B4" s="142"/>
      <c r="C4" s="142"/>
      <c r="D4" s="142"/>
      <c r="E4" s="142"/>
      <c r="F4" s="142"/>
      <c r="G4" s="142"/>
      <c r="H4" s="142"/>
      <c r="I4" s="142"/>
    </row>
    <row r="5" spans="1:11" x14ac:dyDescent="0.25">
      <c r="A5" s="398" t="s">
        <v>1</v>
      </c>
      <c r="B5" s="397"/>
      <c r="C5" s="397"/>
      <c r="D5" s="397"/>
      <c r="E5" s="397"/>
      <c r="F5" s="397"/>
      <c r="G5" s="397"/>
      <c r="H5" s="397"/>
      <c r="I5" s="397"/>
    </row>
    <row r="7" spans="1:11" s="59" customFormat="1" x14ac:dyDescent="0.25">
      <c r="A7" s="59" t="s">
        <v>2</v>
      </c>
      <c r="F7" s="111" t="s">
        <v>269</v>
      </c>
    </row>
    <row r="8" spans="1:11" s="59" customFormat="1" x14ac:dyDescent="0.25">
      <c r="A8" s="59" t="s">
        <v>3</v>
      </c>
      <c r="F8" s="239" t="s">
        <v>385</v>
      </c>
      <c r="I8" s="180"/>
      <c r="J8" s="110">
        <v>4814.6899999999996</v>
      </c>
      <c r="K8" s="283">
        <f>I8+J8+I9</f>
        <v>4814.6899999999996</v>
      </c>
    </row>
    <row r="9" spans="1:11" s="59" customFormat="1" x14ac:dyDescent="0.25">
      <c r="I9" s="180"/>
    </row>
    <row r="10" spans="1:11" s="59" customFormat="1" x14ac:dyDescent="0.25">
      <c r="A10" s="372" t="s">
        <v>8</v>
      </c>
      <c r="B10" s="372"/>
      <c r="C10" s="372"/>
      <c r="D10" s="372"/>
      <c r="E10" s="372"/>
      <c r="F10" s="372"/>
      <c r="G10" s="372"/>
      <c r="H10" s="372"/>
      <c r="I10" s="372"/>
    </row>
    <row r="11" spans="1:11" s="59" customFormat="1" x14ac:dyDescent="0.25">
      <c r="A11" s="372" t="s">
        <v>9</v>
      </c>
      <c r="B11" s="372"/>
      <c r="C11" s="372"/>
      <c r="D11" s="372"/>
      <c r="E11" s="372"/>
      <c r="F11" s="372"/>
      <c r="G11" s="372"/>
      <c r="H11" s="372"/>
      <c r="I11" s="372"/>
    </row>
    <row r="12" spans="1:11" s="59" customFormat="1" x14ac:dyDescent="0.25">
      <c r="A12" s="372" t="s">
        <v>10</v>
      </c>
      <c r="B12" s="372"/>
      <c r="C12" s="372"/>
      <c r="D12" s="372"/>
      <c r="E12" s="372"/>
      <c r="F12" s="372"/>
      <c r="G12" s="372"/>
      <c r="H12" s="372"/>
      <c r="I12" s="372"/>
    </row>
    <row r="13" spans="1:11" s="59" customFormat="1" ht="10.5" customHeight="1" thickBot="1" x14ac:dyDescent="0.3">
      <c r="A13" s="60"/>
      <c r="B13" s="60"/>
      <c r="C13" s="60"/>
      <c r="D13" s="38"/>
      <c r="E13" s="58"/>
      <c r="F13" s="58"/>
      <c r="G13" s="58"/>
      <c r="H13" s="54"/>
      <c r="I13" s="54"/>
    </row>
    <row r="14" spans="1:11" s="59" customFormat="1" ht="15.75" thickBot="1" x14ac:dyDescent="0.3">
      <c r="A14" s="55" t="s">
        <v>381</v>
      </c>
      <c r="B14" s="56"/>
      <c r="C14" s="56"/>
      <c r="D14" s="61"/>
      <c r="E14" s="62"/>
      <c r="F14" s="62"/>
      <c r="G14" s="57">
        <f>'[1]Труда 6 дробь 1'!$G$38</f>
        <v>412394.74129999999</v>
      </c>
      <c r="H14" s="54"/>
      <c r="I14" s="54"/>
    </row>
    <row r="15" spans="1:11" s="59" customFormat="1" ht="8.25" customHeight="1" x14ac:dyDescent="0.25"/>
    <row r="16" spans="1:11" s="66" customFormat="1" ht="38.25" x14ac:dyDescent="0.25">
      <c r="A16" s="64" t="s">
        <v>11</v>
      </c>
      <c r="B16" s="64" t="s">
        <v>12</v>
      </c>
      <c r="C16" s="64" t="s">
        <v>61</v>
      </c>
      <c r="D16" s="64" t="s">
        <v>432</v>
      </c>
      <c r="E16" s="64" t="s">
        <v>433</v>
      </c>
      <c r="F16" s="65" t="s">
        <v>434</v>
      </c>
      <c r="G16" s="64" t="s">
        <v>435</v>
      </c>
    </row>
    <row r="17" spans="1:13" s="59" customFormat="1" x14ac:dyDescent="0.25">
      <c r="A17" s="67" t="s">
        <v>14</v>
      </c>
      <c r="B17" s="39" t="s">
        <v>379</v>
      </c>
      <c r="C17" s="192">
        <v>20.32</v>
      </c>
      <c r="D17" s="68">
        <v>1174013.76</v>
      </c>
      <c r="E17" s="68">
        <v>1173518.8999999999</v>
      </c>
      <c r="F17" s="68">
        <f t="shared" ref="F17:F23" si="0">D17</f>
        <v>1174013.76</v>
      </c>
      <c r="G17" s="69">
        <f>D17-E17</f>
        <v>494.86000000010245</v>
      </c>
      <c r="H17" s="70">
        <f>C17</f>
        <v>20.32</v>
      </c>
      <c r="I17" s="152"/>
    </row>
    <row r="18" spans="1:13" s="59" customFormat="1" hidden="1" outlineLevel="1" x14ac:dyDescent="0.25">
      <c r="A18" s="73" t="s">
        <v>16</v>
      </c>
      <c r="B18" s="34" t="s">
        <v>17</v>
      </c>
      <c r="C18" s="89">
        <v>3.46</v>
      </c>
      <c r="D18" s="75">
        <f>D17*I18</f>
        <v>199905.88629921261</v>
      </c>
      <c r="E18" s="75">
        <f>E17*I18</f>
        <v>199821.62372047242</v>
      </c>
      <c r="F18" s="75">
        <f t="shared" si="0"/>
        <v>199905.88629921261</v>
      </c>
      <c r="G18" s="76">
        <f>D18-E18</f>
        <v>84.262578740192112</v>
      </c>
      <c r="H18" s="70">
        <f>C18</f>
        <v>3.46</v>
      </c>
      <c r="I18" s="59">
        <f>H18/H17</f>
        <v>0.17027559055118111</v>
      </c>
    </row>
    <row r="19" spans="1:13" s="59" customFormat="1" hidden="1" outlineLevel="1" x14ac:dyDescent="0.25">
      <c r="A19" s="73" t="s">
        <v>18</v>
      </c>
      <c r="B19" s="34" t="s">
        <v>19</v>
      </c>
      <c r="C19" s="89">
        <v>1.69</v>
      </c>
      <c r="D19" s="75">
        <f>D17*I19</f>
        <v>97641.892440944866</v>
      </c>
      <c r="E19" s="75">
        <f>E17*I19</f>
        <v>97600.735285433053</v>
      </c>
      <c r="F19" s="75">
        <f t="shared" si="0"/>
        <v>97641.892440944866</v>
      </c>
      <c r="G19" s="76">
        <f>D19-E19</f>
        <v>41.157155511813471</v>
      </c>
      <c r="H19" s="70">
        <f>C19</f>
        <v>1.69</v>
      </c>
      <c r="I19" s="59">
        <f>H19/H17</f>
        <v>8.3169291338582668E-2</v>
      </c>
    </row>
    <row r="20" spans="1:13" s="59" customFormat="1" hidden="1" outlineLevel="1" x14ac:dyDescent="0.25">
      <c r="A20" s="73" t="s">
        <v>20</v>
      </c>
      <c r="B20" s="34" t="s">
        <v>21</v>
      </c>
      <c r="C20" s="89">
        <v>2.15</v>
      </c>
      <c r="D20" s="75">
        <f>D17*I20</f>
        <v>124218.97559055117</v>
      </c>
      <c r="E20" s="75">
        <f>E17*I20</f>
        <v>124166.61589566927</v>
      </c>
      <c r="F20" s="75">
        <f t="shared" si="0"/>
        <v>124218.97559055117</v>
      </c>
      <c r="G20" s="76">
        <f>D20-E20</f>
        <v>52.359694881903124</v>
      </c>
      <c r="H20" s="70">
        <f>C20</f>
        <v>2.15</v>
      </c>
      <c r="I20" s="59">
        <f>H20/H17</f>
        <v>0.10580708661417322</v>
      </c>
    </row>
    <row r="21" spans="1:13" s="59" customFormat="1" hidden="1" outlineLevel="1" x14ac:dyDescent="0.25">
      <c r="A21" s="73" t="s">
        <v>22</v>
      </c>
      <c r="B21" s="34" t="s">
        <v>23</v>
      </c>
      <c r="C21" s="89">
        <v>3.04</v>
      </c>
      <c r="D21" s="75">
        <f>D17*I21</f>
        <v>175639.85385826774</v>
      </c>
      <c r="E21" s="75">
        <f>E17*I21</f>
        <v>175565.81968503937</v>
      </c>
      <c r="F21" s="75">
        <f t="shared" si="0"/>
        <v>175639.85385826774</v>
      </c>
      <c r="G21" s="76">
        <f>D21-E21</f>
        <v>74.034173228370491</v>
      </c>
      <c r="H21" s="70">
        <f>C21</f>
        <v>3.04</v>
      </c>
      <c r="I21" s="59">
        <f>H21/H17</f>
        <v>0.14960629921259844</v>
      </c>
    </row>
    <row r="22" spans="1:13" collapsed="1" x14ac:dyDescent="0.25">
      <c r="A22" s="39" t="s">
        <v>25</v>
      </c>
      <c r="B22" s="39" t="s">
        <v>26</v>
      </c>
      <c r="C22" s="126">
        <v>4.3600000000000003</v>
      </c>
      <c r="D22" s="69">
        <v>251904.48</v>
      </c>
      <c r="E22" s="69">
        <v>248763.03</v>
      </c>
      <c r="F22" s="68">
        <f t="shared" si="0"/>
        <v>251904.48</v>
      </c>
      <c r="G22" s="69">
        <f t="shared" ref="G22:G33" si="1">D22-E22</f>
        <v>3141.4500000000116</v>
      </c>
      <c r="H22" s="37"/>
      <c r="I22" s="37"/>
    </row>
    <row r="23" spans="1:13" ht="29.25" x14ac:dyDescent="0.25">
      <c r="A23" s="39" t="s">
        <v>27</v>
      </c>
      <c r="B23" s="39" t="s">
        <v>270</v>
      </c>
      <c r="C23" s="357">
        <v>120</v>
      </c>
      <c r="D23" s="69">
        <v>0</v>
      </c>
      <c r="E23" s="69">
        <v>1959.18</v>
      </c>
      <c r="F23" s="69">
        <f t="shared" si="0"/>
        <v>0</v>
      </c>
      <c r="G23" s="69">
        <f t="shared" si="1"/>
        <v>-1959.18</v>
      </c>
      <c r="H23" s="37"/>
      <c r="I23" s="37"/>
    </row>
    <row r="24" spans="1:13" x14ac:dyDescent="0.25">
      <c r="A24" s="39" t="s">
        <v>29</v>
      </c>
      <c r="B24" s="39" t="s">
        <v>104</v>
      </c>
      <c r="C24" s="126">
        <v>0</v>
      </c>
      <c r="D24" s="69">
        <v>0</v>
      </c>
      <c r="E24" s="69">
        <v>33.92</v>
      </c>
      <c r="F24" s="69">
        <v>0</v>
      </c>
      <c r="G24" s="69">
        <f t="shared" si="1"/>
        <v>-33.92</v>
      </c>
      <c r="H24" s="37"/>
      <c r="I24" s="37"/>
    </row>
    <row r="25" spans="1:13" x14ac:dyDescent="0.25">
      <c r="A25" s="39" t="s">
        <v>31</v>
      </c>
      <c r="B25" s="39" t="s">
        <v>80</v>
      </c>
      <c r="C25" s="126">
        <v>2.0099999999999998</v>
      </c>
      <c r="D25" s="69">
        <v>116130.36</v>
      </c>
      <c r="E25" s="69">
        <v>115257.37</v>
      </c>
      <c r="F25" s="79">
        <f>F42</f>
        <v>39516.573700000001</v>
      </c>
      <c r="G25" s="69">
        <f t="shared" si="1"/>
        <v>872.99000000000524</v>
      </c>
      <c r="H25" s="37"/>
      <c r="I25" s="37"/>
      <c r="M25" s="144"/>
    </row>
    <row r="26" spans="1:13" x14ac:dyDescent="0.25">
      <c r="A26" s="189">
        <v>6</v>
      </c>
      <c r="B26" s="78" t="s">
        <v>97</v>
      </c>
      <c r="C26" s="127">
        <v>0</v>
      </c>
      <c r="D26" s="69">
        <v>0</v>
      </c>
      <c r="E26" s="69">
        <v>0</v>
      </c>
      <c r="F26" s="79">
        <f>D26</f>
        <v>0</v>
      </c>
      <c r="G26" s="69">
        <f t="shared" si="1"/>
        <v>0</v>
      </c>
      <c r="H26" s="37"/>
      <c r="I26" s="37"/>
    </row>
    <row r="27" spans="1:13" x14ac:dyDescent="0.25">
      <c r="A27" s="189" t="s">
        <v>35</v>
      </c>
      <c r="B27" s="78" t="s">
        <v>62</v>
      </c>
      <c r="C27" s="127"/>
      <c r="D27" s="69">
        <v>0</v>
      </c>
      <c r="E27" s="69">
        <v>52.69</v>
      </c>
      <c r="F27" s="79">
        <f>D27</f>
        <v>0</v>
      </c>
      <c r="G27" s="69">
        <f>D27-E27</f>
        <v>-52.69</v>
      </c>
      <c r="H27" s="37"/>
      <c r="I27" s="37"/>
    </row>
    <row r="28" spans="1:13" x14ac:dyDescent="0.25">
      <c r="A28" s="189" t="s">
        <v>112</v>
      </c>
      <c r="B28" s="39" t="s">
        <v>36</v>
      </c>
      <c r="C28" s="127"/>
      <c r="D28" s="69">
        <f>SUM(D29:D32)</f>
        <v>3721418.02</v>
      </c>
      <c r="E28" s="69">
        <f>SUM(E29:E32)</f>
        <v>3684765.08</v>
      </c>
      <c r="F28" s="69">
        <f>SUM(F29:F32)</f>
        <v>3721418.02</v>
      </c>
      <c r="G28" s="69">
        <f t="shared" si="1"/>
        <v>36652.939999999944</v>
      </c>
      <c r="H28" s="37"/>
      <c r="I28" s="37"/>
    </row>
    <row r="29" spans="1:13" x14ac:dyDescent="0.25">
      <c r="A29" s="190" t="s">
        <v>114</v>
      </c>
      <c r="B29" s="34" t="s">
        <v>63</v>
      </c>
      <c r="C29" s="89">
        <v>7.36</v>
      </c>
      <c r="D29" s="76">
        <v>289472.52</v>
      </c>
      <c r="E29" s="76">
        <v>284459.17</v>
      </c>
      <c r="F29" s="76">
        <f>D29</f>
        <v>289472.52</v>
      </c>
      <c r="G29" s="76">
        <f t="shared" si="1"/>
        <v>5013.3500000000349</v>
      </c>
    </row>
    <row r="30" spans="1:13" x14ac:dyDescent="0.25">
      <c r="A30" s="190" t="s">
        <v>115</v>
      </c>
      <c r="B30" s="34" t="s">
        <v>84</v>
      </c>
      <c r="C30" s="89">
        <v>88.38</v>
      </c>
      <c r="D30" s="76">
        <v>662257.05000000005</v>
      </c>
      <c r="E30" s="76">
        <v>660240.9</v>
      </c>
      <c r="F30" s="76">
        <f>D30</f>
        <v>662257.05000000005</v>
      </c>
      <c r="G30" s="76">
        <f t="shared" si="1"/>
        <v>2016.1500000000233</v>
      </c>
    </row>
    <row r="31" spans="1:13" x14ac:dyDescent="0.25">
      <c r="A31" s="190" t="s">
        <v>116</v>
      </c>
      <c r="B31" s="34" t="s">
        <v>135</v>
      </c>
      <c r="C31" s="128">
        <v>278.94</v>
      </c>
      <c r="D31" s="76">
        <v>818036.64</v>
      </c>
      <c r="E31" s="76">
        <v>816298.81</v>
      </c>
      <c r="F31" s="76">
        <f>D31</f>
        <v>818036.64</v>
      </c>
      <c r="G31" s="76">
        <f t="shared" si="1"/>
        <v>1737.8299999999581</v>
      </c>
    </row>
    <row r="32" spans="1:13" x14ac:dyDescent="0.25">
      <c r="A32" s="190" t="s">
        <v>117</v>
      </c>
      <c r="B32" s="34" t="s">
        <v>43</v>
      </c>
      <c r="C32" s="89">
        <v>3352.42</v>
      </c>
      <c r="D32" s="76">
        <v>1951651.81</v>
      </c>
      <c r="E32" s="76">
        <v>1923766.2</v>
      </c>
      <c r="F32" s="76">
        <f>D32</f>
        <v>1951651.81</v>
      </c>
      <c r="G32" s="76">
        <f t="shared" si="1"/>
        <v>27885.610000000102</v>
      </c>
    </row>
    <row r="33" spans="1:10" ht="29.25" hidden="1" outlineLevel="1" x14ac:dyDescent="0.25">
      <c r="A33" s="39" t="s">
        <v>132</v>
      </c>
      <c r="B33" s="300" t="s">
        <v>140</v>
      </c>
      <c r="C33" s="298"/>
      <c r="D33" s="248">
        <f>1000+1800</f>
        <v>2800</v>
      </c>
      <c r="E33" s="248">
        <v>1800</v>
      </c>
      <c r="F33" s="248">
        <v>0</v>
      </c>
      <c r="G33" s="248">
        <f t="shared" si="1"/>
        <v>1000</v>
      </c>
    </row>
    <row r="34" spans="1:10" hidden="1" outlineLevel="1" x14ac:dyDescent="0.25">
      <c r="A34" s="153"/>
      <c r="B34" s="301"/>
      <c r="C34" s="376" t="s">
        <v>246</v>
      </c>
      <c r="D34" s="377"/>
      <c r="E34" s="377"/>
      <c r="F34" s="377"/>
      <c r="G34" s="82">
        <f>E33-(E33*15%)</f>
        <v>1530</v>
      </c>
    </row>
    <row r="35" spans="1:10" ht="15" customHeight="1" collapsed="1" thickBot="1" x14ac:dyDescent="0.3">
      <c r="A35" s="373"/>
      <c r="B35" s="374"/>
      <c r="C35" s="374"/>
      <c r="D35" s="375"/>
      <c r="E35" s="375"/>
      <c r="F35" s="375"/>
      <c r="G35" s="155"/>
    </row>
    <row r="36" spans="1:10" s="92" customFormat="1" ht="14.25" thickBot="1" x14ac:dyDescent="0.3">
      <c r="A36" s="387" t="s">
        <v>427</v>
      </c>
      <c r="B36" s="388"/>
      <c r="C36" s="388"/>
      <c r="D36" s="57">
        <v>39116.449999999997</v>
      </c>
      <c r="E36" s="58"/>
      <c r="F36" s="58"/>
      <c r="G36" s="58"/>
      <c r="H36" s="54"/>
      <c r="I36" s="54"/>
      <c r="J36" s="91"/>
    </row>
    <row r="37" spans="1:10" s="59" customFormat="1" ht="10.5" customHeight="1" thickBot="1" x14ac:dyDescent="0.3">
      <c r="A37" s="60"/>
      <c r="B37" s="60"/>
      <c r="C37" s="60"/>
      <c r="D37" s="38"/>
      <c r="E37" s="58"/>
      <c r="F37" s="58"/>
      <c r="G37" s="58"/>
      <c r="H37" s="54"/>
      <c r="I37" s="54"/>
    </row>
    <row r="38" spans="1:10" s="59" customFormat="1" ht="15.75" thickBot="1" x14ac:dyDescent="0.3">
      <c r="A38" s="55" t="s">
        <v>428</v>
      </c>
      <c r="B38" s="56"/>
      <c r="C38" s="56"/>
      <c r="D38" s="61"/>
      <c r="E38" s="62"/>
      <c r="F38" s="62"/>
      <c r="G38" s="129">
        <f>G14+E25-F25</f>
        <v>488135.53759999998</v>
      </c>
      <c r="H38" s="54"/>
      <c r="I38" s="54"/>
    </row>
    <row r="39" spans="1:10" s="59" customFormat="1" ht="30" customHeight="1" x14ac:dyDescent="0.25">
      <c r="A39" s="485" t="s">
        <v>44</v>
      </c>
      <c r="B39" s="485"/>
      <c r="C39" s="485"/>
      <c r="D39" s="485"/>
      <c r="E39" s="485"/>
      <c r="F39" s="485"/>
      <c r="G39" s="485"/>
      <c r="H39" s="485"/>
      <c r="I39" s="485"/>
    </row>
    <row r="40" spans="1:10" ht="10.5" customHeight="1" x14ac:dyDescent="0.25"/>
    <row r="41" spans="1:10" ht="28.5" x14ac:dyDescent="0.25">
      <c r="A41" s="94" t="s">
        <v>11</v>
      </c>
      <c r="B41" s="416" t="s">
        <v>45</v>
      </c>
      <c r="C41" s="425"/>
      <c r="D41" s="94" t="s">
        <v>99</v>
      </c>
      <c r="E41" s="94" t="s">
        <v>98</v>
      </c>
      <c r="F41" s="416" t="s">
        <v>46</v>
      </c>
      <c r="G41" s="425"/>
      <c r="H41" s="156"/>
      <c r="I41" s="156"/>
    </row>
    <row r="42" spans="1:10" s="156" customFormat="1" x14ac:dyDescent="0.25">
      <c r="A42" s="98" t="s">
        <v>47</v>
      </c>
      <c r="B42" s="418" t="s">
        <v>75</v>
      </c>
      <c r="C42" s="430"/>
      <c r="D42" s="99"/>
      <c r="E42" s="99"/>
      <c r="F42" s="436">
        <f>SUM(F43:L45)</f>
        <v>39516.573700000001</v>
      </c>
      <c r="G42" s="424"/>
      <c r="H42" s="103"/>
      <c r="I42" s="103"/>
    </row>
    <row r="43" spans="1:10" s="103" customFormat="1" ht="15" customHeight="1" x14ac:dyDescent="0.25">
      <c r="A43" s="34" t="s">
        <v>16</v>
      </c>
      <c r="B43" s="406" t="s">
        <v>408</v>
      </c>
      <c r="C43" s="431"/>
      <c r="D43" s="176" t="s">
        <v>100</v>
      </c>
      <c r="E43" s="176">
        <v>1</v>
      </c>
      <c r="F43" s="435">
        <v>38364</v>
      </c>
      <c r="G43" s="435"/>
      <c r="H43" s="35"/>
      <c r="I43" s="35"/>
    </row>
    <row r="44" spans="1:10" ht="15" customHeight="1" x14ac:dyDescent="0.25">
      <c r="A44" s="34" t="s">
        <v>18</v>
      </c>
      <c r="B44" s="412"/>
      <c r="C44" s="428"/>
      <c r="D44" s="258"/>
      <c r="E44" s="258"/>
      <c r="F44" s="463"/>
      <c r="G44" s="463"/>
    </row>
    <row r="45" spans="1:10" s="59" customFormat="1" x14ac:dyDescent="0.25">
      <c r="A45" s="34" t="s">
        <v>20</v>
      </c>
      <c r="B45" s="133" t="s">
        <v>108</v>
      </c>
      <c r="C45" s="134"/>
      <c r="D45" s="105"/>
      <c r="E45" s="105"/>
      <c r="F45" s="435">
        <f>E25*1%</f>
        <v>1152.5736999999999</v>
      </c>
      <c r="G45" s="435"/>
    </row>
    <row r="46" spans="1:10" s="59" customFormat="1" x14ac:dyDescent="0.25">
      <c r="H46" s="35"/>
      <c r="I46" s="35"/>
    </row>
    <row r="47" spans="1:10" s="59" customFormat="1" x14ac:dyDescent="0.25">
      <c r="A47" s="51" t="s">
        <v>372</v>
      </c>
      <c r="C47" s="59" t="s">
        <v>49</v>
      </c>
      <c r="F47" s="59" t="s">
        <v>60</v>
      </c>
      <c r="H47" s="35"/>
      <c r="I47" s="35"/>
    </row>
    <row r="48" spans="1:10" s="59" customFormat="1" x14ac:dyDescent="0.25">
      <c r="F48" s="111" t="s">
        <v>438</v>
      </c>
      <c r="H48" s="35"/>
      <c r="I48" s="35"/>
    </row>
    <row r="49" spans="1:9" x14ac:dyDescent="0.25">
      <c r="A49" s="59" t="s">
        <v>50</v>
      </c>
      <c r="B49" s="59"/>
      <c r="C49" s="59"/>
      <c r="D49" s="59"/>
      <c r="E49" s="59"/>
      <c r="F49" s="59"/>
      <c r="G49" s="59"/>
    </row>
    <row r="50" spans="1:9" x14ac:dyDescent="0.25">
      <c r="A50" s="59"/>
      <c r="B50" s="59"/>
      <c r="C50" s="113" t="s">
        <v>51</v>
      </c>
      <c r="D50" s="59"/>
      <c r="E50" s="113"/>
      <c r="F50" s="113"/>
      <c r="G50" s="113"/>
    </row>
    <row r="51" spans="1:9" x14ac:dyDescent="0.25">
      <c r="A51" s="59"/>
      <c r="B51" s="59"/>
      <c r="C51" s="59"/>
      <c r="D51" s="59"/>
      <c r="E51" s="59"/>
      <c r="F51" s="59"/>
      <c r="G51" s="59"/>
      <c r="H51" s="59"/>
      <c r="I51" s="59"/>
    </row>
  </sheetData>
  <mergeCells count="20">
    <mergeCell ref="F45:G45"/>
    <mergeCell ref="F44:G44"/>
    <mergeCell ref="F42:G42"/>
    <mergeCell ref="B41:C41"/>
    <mergeCell ref="F41:G41"/>
    <mergeCell ref="A1:I1"/>
    <mergeCell ref="A3:K3"/>
    <mergeCell ref="A5:I5"/>
    <mergeCell ref="A10:I10"/>
    <mergeCell ref="A35:F35"/>
    <mergeCell ref="A2:K2"/>
    <mergeCell ref="C34:F34"/>
    <mergeCell ref="A12:I12"/>
    <mergeCell ref="A11:I11"/>
    <mergeCell ref="A36:C36"/>
    <mergeCell ref="B43:C43"/>
    <mergeCell ref="A39:I39"/>
    <mergeCell ref="B44:C44"/>
    <mergeCell ref="F43:G43"/>
    <mergeCell ref="B42:C42"/>
  </mergeCells>
  <phoneticPr fontId="14" type="noConversion"/>
  <pageMargins left="0.9055118110236221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96BA71-6528-40F6-87E4-C5EC30892C38}">
  <sheetPr>
    <tabColor rgb="FF7030A0"/>
  </sheetPr>
  <dimension ref="A1:R50"/>
  <sheetViews>
    <sheetView topLeftCell="A34" zoomScaleNormal="100" workbookViewId="0">
      <selection activeCell="A53" sqref="A53:IV54"/>
    </sheetView>
  </sheetViews>
  <sheetFormatPr defaultRowHeight="15" outlineLevelRow="1" outlineLevelCol="2" x14ac:dyDescent="0.25"/>
  <cols>
    <col min="1" max="1" width="5" style="35" customWidth="1"/>
    <col min="2" max="2" width="46.140625" style="35" customWidth="1"/>
    <col min="3" max="3" width="13.42578125" style="35" customWidth="1"/>
    <col min="4" max="4" width="15.140625" style="35" customWidth="1"/>
    <col min="5" max="5" width="14.5703125" style="35" customWidth="1"/>
    <col min="6" max="6" width="15" style="35" customWidth="1"/>
    <col min="7" max="7" width="13.42578125" style="35" customWidth="1"/>
    <col min="8" max="8" width="13.42578125" style="35" hidden="1" customWidth="1" outlineLevel="1"/>
    <col min="9" max="10" width="13.42578125" style="35" hidden="1" customWidth="1" outlineLevel="2"/>
    <col min="11" max="11" width="14.28515625" style="35" bestFit="1" customWidth="1" collapsed="1"/>
    <col min="12" max="12" width="12" style="35" customWidth="1"/>
    <col min="13" max="13" width="10.140625" style="35" bestFit="1" customWidth="1"/>
    <col min="14" max="14" width="11.42578125" style="35" bestFit="1" customWidth="1"/>
    <col min="15" max="16" width="11.5703125" style="35" bestFit="1" customWidth="1"/>
    <col min="17" max="17" width="10.42578125" style="35" bestFit="1" customWidth="1"/>
    <col min="18" max="18" width="11.42578125" style="35" bestFit="1" customWidth="1"/>
    <col min="19" max="16384" width="9.140625" style="35"/>
  </cols>
  <sheetData>
    <row r="1" spans="1:11" x14ac:dyDescent="0.25">
      <c r="A1" s="397" t="s">
        <v>0</v>
      </c>
      <c r="B1" s="397"/>
      <c r="C1" s="397"/>
      <c r="D1" s="397"/>
      <c r="E1" s="397"/>
      <c r="F1" s="397"/>
      <c r="G1" s="397"/>
      <c r="H1" s="397"/>
      <c r="I1" s="397"/>
      <c r="J1" s="397"/>
    </row>
    <row r="2" spans="1:11" ht="15" customHeight="1" x14ac:dyDescent="0.25">
      <c r="A2" s="370" t="s">
        <v>152</v>
      </c>
      <c r="B2" s="370"/>
      <c r="C2" s="370"/>
      <c r="D2" s="370"/>
      <c r="E2" s="370"/>
      <c r="F2" s="370"/>
      <c r="G2" s="370"/>
      <c r="H2" s="370"/>
      <c r="I2" s="370"/>
      <c r="J2" s="370"/>
    </row>
    <row r="3" spans="1:11" ht="13.9" customHeight="1" x14ac:dyDescent="0.25">
      <c r="A3" s="370" t="s">
        <v>426</v>
      </c>
      <c r="B3" s="370"/>
      <c r="C3" s="370"/>
      <c r="D3" s="370"/>
      <c r="E3" s="370"/>
      <c r="F3" s="370"/>
      <c r="G3" s="370"/>
      <c r="H3" s="370"/>
      <c r="I3" s="370"/>
      <c r="J3" s="370"/>
      <c r="K3" s="370"/>
    </row>
    <row r="4" spans="1:11" x14ac:dyDescent="0.25">
      <c r="A4" s="142"/>
      <c r="B4" s="142"/>
      <c r="C4" s="142"/>
      <c r="D4" s="142"/>
      <c r="E4" s="142"/>
      <c r="F4" s="142"/>
      <c r="G4" s="142"/>
      <c r="H4" s="142"/>
      <c r="I4" s="142"/>
      <c r="J4" s="142"/>
    </row>
    <row r="5" spans="1:11" x14ac:dyDescent="0.25">
      <c r="A5" s="398" t="s">
        <v>1</v>
      </c>
      <c r="B5" s="397"/>
      <c r="C5" s="397"/>
      <c r="D5" s="397"/>
      <c r="E5" s="397"/>
      <c r="F5" s="397"/>
      <c r="G5" s="397"/>
      <c r="H5" s="397"/>
      <c r="I5" s="397"/>
      <c r="J5" s="397"/>
    </row>
    <row r="7" spans="1:11" s="59" customFormat="1" x14ac:dyDescent="0.25">
      <c r="A7" s="59" t="s">
        <v>2</v>
      </c>
      <c r="F7" s="111" t="s">
        <v>271</v>
      </c>
    </row>
    <row r="8" spans="1:11" s="59" customFormat="1" x14ac:dyDescent="0.25">
      <c r="A8" s="59" t="s">
        <v>3</v>
      </c>
      <c r="F8" s="239" t="s">
        <v>272</v>
      </c>
      <c r="H8" s="180">
        <v>0</v>
      </c>
      <c r="I8" s="110">
        <v>722.6</v>
      </c>
      <c r="J8" s="283">
        <f>H8+I8</f>
        <v>722.6</v>
      </c>
    </row>
    <row r="9" spans="1:11" s="59" customFormat="1" x14ac:dyDescent="0.25"/>
    <row r="10" spans="1:11" s="59" customFormat="1" x14ac:dyDescent="0.25">
      <c r="A10" s="372" t="s">
        <v>8</v>
      </c>
      <c r="B10" s="372"/>
      <c r="C10" s="372"/>
      <c r="D10" s="372"/>
      <c r="E10" s="372"/>
      <c r="F10" s="372"/>
      <c r="G10" s="372"/>
      <c r="H10" s="372"/>
      <c r="I10" s="372"/>
      <c r="J10" s="372"/>
    </row>
    <row r="11" spans="1:11" s="59" customFormat="1" x14ac:dyDescent="0.25">
      <c r="A11" s="372" t="s">
        <v>9</v>
      </c>
      <c r="B11" s="372"/>
      <c r="C11" s="372"/>
      <c r="D11" s="372"/>
      <c r="E11" s="372"/>
      <c r="F11" s="372"/>
      <c r="G11" s="372"/>
      <c r="H11" s="372"/>
      <c r="I11" s="372"/>
      <c r="J11" s="372"/>
    </row>
    <row r="12" spans="1:11" s="59" customFormat="1" x14ac:dyDescent="0.25">
      <c r="A12" s="372" t="s">
        <v>10</v>
      </c>
      <c r="B12" s="372"/>
      <c r="C12" s="372"/>
      <c r="D12" s="372"/>
      <c r="E12" s="372"/>
      <c r="F12" s="372"/>
      <c r="G12" s="372"/>
      <c r="H12" s="372"/>
      <c r="I12" s="372"/>
      <c r="J12" s="372"/>
    </row>
    <row r="13" spans="1:11" s="59" customFormat="1" ht="10.5" customHeight="1" thickBot="1" x14ac:dyDescent="0.3">
      <c r="A13" s="60"/>
      <c r="B13" s="60"/>
      <c r="C13" s="60"/>
      <c r="D13" s="38"/>
      <c r="E13" s="58"/>
      <c r="F13" s="58"/>
      <c r="G13" s="58"/>
      <c r="H13" s="58"/>
      <c r="I13" s="58"/>
      <c r="J13" s="54"/>
    </row>
    <row r="14" spans="1:11" s="59" customFormat="1" ht="15.75" thickBot="1" x14ac:dyDescent="0.3">
      <c r="A14" s="55" t="s">
        <v>381</v>
      </c>
      <c r="B14" s="56"/>
      <c r="C14" s="56"/>
      <c r="D14" s="61"/>
      <c r="E14" s="62"/>
      <c r="F14" s="62"/>
      <c r="G14" s="57">
        <f>'[1]Труда 9'!$G$35</f>
        <v>-22414.994399999996</v>
      </c>
      <c r="H14" s="195"/>
      <c r="I14" s="195"/>
      <c r="J14" s="54"/>
    </row>
    <row r="15" spans="1:11" s="59" customFormat="1" x14ac:dyDescent="0.25"/>
    <row r="16" spans="1:11" s="66" customFormat="1" ht="38.25" x14ac:dyDescent="0.25">
      <c r="A16" s="64" t="s">
        <v>11</v>
      </c>
      <c r="B16" s="64" t="s">
        <v>12</v>
      </c>
      <c r="C16" s="64" t="s">
        <v>61</v>
      </c>
      <c r="D16" s="64" t="s">
        <v>432</v>
      </c>
      <c r="E16" s="64" t="s">
        <v>433</v>
      </c>
      <c r="F16" s="65" t="s">
        <v>434</v>
      </c>
      <c r="G16" s="64" t="s">
        <v>435</v>
      </c>
      <c r="H16" s="97"/>
      <c r="I16" s="97"/>
    </row>
    <row r="17" spans="1:18" s="152" customFormat="1" ht="14.25" x14ac:dyDescent="0.2">
      <c r="A17" s="67" t="s">
        <v>14</v>
      </c>
      <c r="B17" s="39" t="s">
        <v>379</v>
      </c>
      <c r="C17" s="87">
        <v>20.66</v>
      </c>
      <c r="D17" s="68">
        <v>163885.68</v>
      </c>
      <c r="E17" s="68">
        <v>164859.74</v>
      </c>
      <c r="F17" s="68">
        <f t="shared" ref="F17:F24" si="0">D17</f>
        <v>163885.68</v>
      </c>
      <c r="G17" s="69">
        <f>D17-E17</f>
        <v>-974.05999999999767</v>
      </c>
      <c r="H17" s="70">
        <f t="shared" ref="H17:H22" si="1">C17</f>
        <v>20.66</v>
      </c>
    </row>
    <row r="18" spans="1:18" s="59" customFormat="1" hidden="1" outlineLevel="1" x14ac:dyDescent="0.25">
      <c r="A18" s="73" t="s">
        <v>16</v>
      </c>
      <c r="B18" s="34" t="s">
        <v>17</v>
      </c>
      <c r="C18" s="89">
        <v>3.46</v>
      </c>
      <c r="D18" s="75">
        <f>D17*I18</f>
        <v>27446.488518877057</v>
      </c>
      <c r="E18" s="75">
        <f>E17*I18</f>
        <v>27609.617637947726</v>
      </c>
      <c r="F18" s="75">
        <f t="shared" si="0"/>
        <v>27446.488518877057</v>
      </c>
      <c r="G18" s="76">
        <f>D18-E18</f>
        <v>-163.12911907066882</v>
      </c>
      <c r="H18" s="70">
        <f t="shared" si="1"/>
        <v>3.46</v>
      </c>
      <c r="I18" s="59">
        <f>H18/H17</f>
        <v>0.16747337850919652</v>
      </c>
    </row>
    <row r="19" spans="1:18" s="59" customFormat="1" hidden="1" outlineLevel="1" x14ac:dyDescent="0.25">
      <c r="A19" s="73" t="s">
        <v>18</v>
      </c>
      <c r="B19" s="34" t="s">
        <v>19</v>
      </c>
      <c r="C19" s="89">
        <v>1.69</v>
      </c>
      <c r="D19" s="75">
        <f>D17*I19</f>
        <v>13405.94381413359</v>
      </c>
      <c r="E19" s="75">
        <f>E17*I19</f>
        <v>13485.62248789932</v>
      </c>
      <c r="F19" s="75">
        <f t="shared" si="0"/>
        <v>13405.94381413359</v>
      </c>
      <c r="G19" s="76">
        <f>D19-E19</f>
        <v>-79.6786737657294</v>
      </c>
      <c r="H19" s="70">
        <f t="shared" si="1"/>
        <v>1.69</v>
      </c>
      <c r="I19" s="59">
        <f>H19/H17</f>
        <v>8.1800580832526615E-2</v>
      </c>
    </row>
    <row r="20" spans="1:18" s="59" customFormat="1" hidden="1" outlineLevel="1" x14ac:dyDescent="0.25">
      <c r="A20" s="73" t="s">
        <v>20</v>
      </c>
      <c r="B20" s="34" t="s">
        <v>21</v>
      </c>
      <c r="C20" s="89">
        <v>1.1499999999999999</v>
      </c>
      <c r="D20" s="75">
        <f>D17*I20</f>
        <v>9122.3878025169397</v>
      </c>
      <c r="E20" s="75">
        <f>E17*I20</f>
        <v>9176.6070183930278</v>
      </c>
      <c r="F20" s="75">
        <f t="shared" si="0"/>
        <v>9122.3878025169397</v>
      </c>
      <c r="G20" s="76">
        <f>D20-E20</f>
        <v>-54.219215876088128</v>
      </c>
      <c r="H20" s="70">
        <f t="shared" si="1"/>
        <v>1.1499999999999999</v>
      </c>
      <c r="I20" s="59">
        <f>H20/H17</f>
        <v>5.5663117134559528E-2</v>
      </c>
    </row>
    <row r="21" spans="1:18" s="59" customFormat="1" hidden="1" outlineLevel="1" x14ac:dyDescent="0.25">
      <c r="A21" s="73" t="s">
        <v>22</v>
      </c>
      <c r="B21" s="34" t="s">
        <v>23</v>
      </c>
      <c r="C21" s="89">
        <v>3.04</v>
      </c>
      <c r="D21" s="75">
        <f>D17*I21</f>
        <v>24114.833843175216</v>
      </c>
      <c r="E21" s="75">
        <f>E17*I21</f>
        <v>24258.161161665052</v>
      </c>
      <c r="F21" s="75">
        <f t="shared" si="0"/>
        <v>24114.833843175216</v>
      </c>
      <c r="G21" s="76">
        <f>D21-E21</f>
        <v>-143.32731848983531</v>
      </c>
      <c r="H21" s="70">
        <f t="shared" si="1"/>
        <v>3.04</v>
      </c>
      <c r="I21" s="59">
        <f>H21/H17</f>
        <v>0.14714424007744434</v>
      </c>
    </row>
    <row r="22" spans="1:18" s="37" customFormat="1" collapsed="1" x14ac:dyDescent="0.25">
      <c r="A22" s="39" t="s">
        <v>25</v>
      </c>
      <c r="B22" s="39" t="s">
        <v>26</v>
      </c>
      <c r="C22" s="87">
        <v>0</v>
      </c>
      <c r="D22" s="69">
        <v>0</v>
      </c>
      <c r="E22" s="69">
        <v>0</v>
      </c>
      <c r="F22" s="68">
        <f t="shared" si="0"/>
        <v>0</v>
      </c>
      <c r="G22" s="69">
        <f t="shared" ref="G22:G31" si="2">D22-E22</f>
        <v>0</v>
      </c>
      <c r="H22" s="70">
        <f t="shared" si="1"/>
        <v>0</v>
      </c>
      <c r="I22" s="59">
        <f>H22/H17</f>
        <v>0</v>
      </c>
      <c r="K22" s="165"/>
    </row>
    <row r="23" spans="1:18" s="37" customFormat="1" ht="14.25" x14ac:dyDescent="0.2">
      <c r="A23" s="39" t="s">
        <v>27</v>
      </c>
      <c r="B23" s="39" t="s">
        <v>28</v>
      </c>
      <c r="C23" s="87">
        <v>0</v>
      </c>
      <c r="D23" s="69">
        <v>0</v>
      </c>
      <c r="E23" s="69">
        <v>0</v>
      </c>
      <c r="F23" s="69">
        <f t="shared" si="0"/>
        <v>0</v>
      </c>
      <c r="G23" s="69">
        <f t="shared" si="2"/>
        <v>0</v>
      </c>
      <c r="H23" s="196"/>
      <c r="I23" s="196"/>
    </row>
    <row r="24" spans="1:18" s="37" customFormat="1" ht="14.25" x14ac:dyDescent="0.2">
      <c r="A24" s="39" t="s">
        <v>29</v>
      </c>
      <c r="B24" s="78" t="s">
        <v>145</v>
      </c>
      <c r="C24" s="43">
        <v>0</v>
      </c>
      <c r="D24" s="69">
        <v>0</v>
      </c>
      <c r="E24" s="69">
        <v>0</v>
      </c>
      <c r="F24" s="69">
        <f t="shared" si="0"/>
        <v>0</v>
      </c>
      <c r="G24" s="69">
        <f t="shared" si="2"/>
        <v>0</v>
      </c>
      <c r="H24" s="196"/>
      <c r="I24" s="196"/>
    </row>
    <row r="25" spans="1:18" s="37" customFormat="1" ht="14.25" x14ac:dyDescent="0.2">
      <c r="A25" s="39" t="s">
        <v>31</v>
      </c>
      <c r="B25" s="39" t="s">
        <v>80</v>
      </c>
      <c r="C25" s="87">
        <v>2.04</v>
      </c>
      <c r="D25" s="69">
        <v>17689.439999999999</v>
      </c>
      <c r="E25" s="69">
        <v>17993.240000000002</v>
      </c>
      <c r="F25" s="79">
        <f>F40</f>
        <v>179.93240000000003</v>
      </c>
      <c r="G25" s="69">
        <f t="shared" si="2"/>
        <v>-303.80000000000291</v>
      </c>
      <c r="H25" s="196"/>
      <c r="I25" s="196"/>
      <c r="K25" s="165"/>
    </row>
    <row r="26" spans="1:18" s="37" customFormat="1" ht="14.25" x14ac:dyDescent="0.2">
      <c r="A26" s="39" t="s">
        <v>33</v>
      </c>
      <c r="B26" s="39" t="s">
        <v>97</v>
      </c>
      <c r="C26" s="46">
        <v>0</v>
      </c>
      <c r="D26" s="82">
        <v>0</v>
      </c>
      <c r="E26" s="82">
        <v>0</v>
      </c>
      <c r="F26" s="82">
        <v>0</v>
      </c>
      <c r="G26" s="69">
        <f t="shared" si="2"/>
        <v>0</v>
      </c>
      <c r="H26" s="196"/>
      <c r="I26" s="197"/>
    </row>
    <row r="27" spans="1:18" s="37" customFormat="1" ht="14.25" x14ac:dyDescent="0.2">
      <c r="A27" s="39" t="s">
        <v>35</v>
      </c>
      <c r="B27" s="39" t="s">
        <v>36</v>
      </c>
      <c r="C27" s="43"/>
      <c r="D27" s="69">
        <f>D28+D29+D30+D31</f>
        <v>220557.32</v>
      </c>
      <c r="E27" s="69">
        <f>E28+E29+E30+E31</f>
        <v>240859.63</v>
      </c>
      <c r="F27" s="69">
        <f>F28+F29+F30+F31</f>
        <v>220557.32</v>
      </c>
      <c r="G27" s="69">
        <f t="shared" si="2"/>
        <v>-20302.309999999998</v>
      </c>
      <c r="H27" s="196"/>
      <c r="I27" s="196"/>
      <c r="K27" s="165"/>
    </row>
    <row r="28" spans="1:18" x14ac:dyDescent="0.25">
      <c r="A28" s="34" t="s">
        <v>37</v>
      </c>
      <c r="B28" s="34" t="s">
        <v>125</v>
      </c>
      <c r="C28" s="89">
        <v>7.36</v>
      </c>
      <c r="D28" s="76">
        <v>17454.78</v>
      </c>
      <c r="E28" s="76">
        <v>17210.14</v>
      </c>
      <c r="F28" s="76">
        <f>D28</f>
        <v>17454.78</v>
      </c>
      <c r="G28" s="76">
        <f>D28-E28</f>
        <v>244.63999999999942</v>
      </c>
      <c r="H28" s="155"/>
      <c r="I28" s="155"/>
      <c r="Q28" s="198"/>
      <c r="R28" s="198"/>
    </row>
    <row r="29" spans="1:18" x14ac:dyDescent="0.25">
      <c r="A29" s="34" t="s">
        <v>39</v>
      </c>
      <c r="B29" s="34" t="s">
        <v>84</v>
      </c>
      <c r="C29" s="89">
        <v>88.38</v>
      </c>
      <c r="D29" s="76">
        <v>203102.54</v>
      </c>
      <c r="E29" s="188">
        <v>223649.49</v>
      </c>
      <c r="F29" s="188">
        <f>D29</f>
        <v>203102.54</v>
      </c>
      <c r="G29" s="76">
        <f t="shared" si="2"/>
        <v>-20546.949999999983</v>
      </c>
      <c r="H29" s="155"/>
      <c r="I29" s="155"/>
      <c r="K29" s="144"/>
      <c r="L29" s="144"/>
      <c r="M29" s="144"/>
    </row>
    <row r="30" spans="1:18" x14ac:dyDescent="0.25">
      <c r="A30" s="34" t="s">
        <v>42</v>
      </c>
      <c r="B30" s="34" t="s">
        <v>136</v>
      </c>
      <c r="C30" s="128">
        <v>0</v>
      </c>
      <c r="D30" s="76">
        <v>0</v>
      </c>
      <c r="E30" s="188">
        <v>0</v>
      </c>
      <c r="F30" s="188">
        <f>D30</f>
        <v>0</v>
      </c>
      <c r="G30" s="76">
        <f t="shared" si="2"/>
        <v>0</v>
      </c>
      <c r="H30" s="155"/>
      <c r="I30" s="155"/>
      <c r="K30" s="144"/>
      <c r="L30" s="144"/>
      <c r="M30" s="144"/>
    </row>
    <row r="31" spans="1:18" x14ac:dyDescent="0.25">
      <c r="A31" s="34" t="s">
        <v>41</v>
      </c>
      <c r="B31" s="34" t="s">
        <v>43</v>
      </c>
      <c r="C31" s="89">
        <v>0</v>
      </c>
      <c r="D31" s="76">
        <v>0</v>
      </c>
      <c r="E31" s="76">
        <v>0</v>
      </c>
      <c r="F31" s="76">
        <f>D31</f>
        <v>0</v>
      </c>
      <c r="G31" s="76">
        <f t="shared" si="2"/>
        <v>0</v>
      </c>
      <c r="H31" s="155"/>
      <c r="I31" s="155"/>
      <c r="K31" s="144"/>
    </row>
    <row r="32" spans="1:18" s="92" customFormat="1" ht="15" customHeight="1" thickBot="1" x14ac:dyDescent="0.3">
      <c r="A32" s="373"/>
      <c r="B32" s="374"/>
      <c r="C32" s="374"/>
      <c r="D32" s="375"/>
      <c r="E32" s="375"/>
      <c r="F32" s="375"/>
      <c r="G32" s="91"/>
      <c r="H32" s="91"/>
      <c r="I32" s="91"/>
      <c r="J32" s="91"/>
    </row>
    <row r="33" spans="1:11" s="59" customFormat="1" ht="15.75" thickBot="1" x14ac:dyDescent="0.3">
      <c r="A33" s="387" t="s">
        <v>427</v>
      </c>
      <c r="B33" s="388"/>
      <c r="C33" s="388"/>
      <c r="D33" s="57">
        <v>-21580.17</v>
      </c>
      <c r="E33" s="58"/>
      <c r="F33" s="58"/>
      <c r="G33" s="58"/>
      <c r="H33" s="58"/>
      <c r="I33" s="58"/>
      <c r="J33" s="54"/>
    </row>
    <row r="34" spans="1:11" s="59" customFormat="1" ht="6.75" customHeight="1" thickBot="1" x14ac:dyDescent="0.3">
      <c r="A34" s="60"/>
      <c r="B34" s="60"/>
      <c r="C34" s="60"/>
      <c r="D34" s="38"/>
      <c r="E34" s="58"/>
      <c r="F34" s="58"/>
      <c r="G34" s="58"/>
      <c r="H34" s="58"/>
      <c r="I34" s="58"/>
      <c r="J34" s="54"/>
    </row>
    <row r="35" spans="1:11" s="59" customFormat="1" ht="15.75" thickBot="1" x14ac:dyDescent="0.3">
      <c r="A35" s="55" t="s">
        <v>527</v>
      </c>
      <c r="B35" s="56"/>
      <c r="C35" s="56"/>
      <c r="D35" s="61"/>
      <c r="E35" s="62"/>
      <c r="F35" s="62"/>
      <c r="G35" s="129">
        <f>G14+E25-F25</f>
        <v>-4601.686799999994</v>
      </c>
      <c r="H35" s="38"/>
      <c r="I35" s="38"/>
      <c r="J35" s="54"/>
      <c r="K35" s="130"/>
    </row>
    <row r="36" spans="1:11" s="59" customFormat="1" x14ac:dyDescent="0.25">
      <c r="A36" s="47"/>
      <c r="B36" s="47"/>
      <c r="C36" s="200"/>
      <c r="D36" s="201"/>
      <c r="E36" s="202"/>
      <c r="F36" s="202"/>
      <c r="G36" s="201"/>
      <c r="H36" s="199"/>
      <c r="I36" s="199"/>
      <c r="J36" s="177"/>
    </row>
    <row r="37" spans="1:11" ht="35.25" customHeight="1" x14ac:dyDescent="0.25">
      <c r="A37" s="485" t="s">
        <v>44</v>
      </c>
      <c r="B37" s="547"/>
      <c r="C37" s="547"/>
      <c r="D37" s="547"/>
      <c r="E37" s="547"/>
      <c r="F37" s="547"/>
      <c r="G37" s="547"/>
      <c r="H37" s="254"/>
      <c r="I37" s="203"/>
      <c r="J37" s="178"/>
    </row>
    <row r="39" spans="1:11" s="156" customFormat="1" ht="28.5" x14ac:dyDescent="0.25">
      <c r="A39" s="94" t="s">
        <v>11</v>
      </c>
      <c r="B39" s="416" t="s">
        <v>45</v>
      </c>
      <c r="C39" s="417"/>
      <c r="D39" s="94" t="s">
        <v>99</v>
      </c>
      <c r="E39" s="94" t="s">
        <v>98</v>
      </c>
      <c r="F39" s="416" t="s">
        <v>46</v>
      </c>
      <c r="G39" s="424"/>
      <c r="H39" s="204"/>
      <c r="I39" s="204"/>
    </row>
    <row r="40" spans="1:11" s="103" customFormat="1" x14ac:dyDescent="0.25">
      <c r="A40" s="98" t="s">
        <v>47</v>
      </c>
      <c r="B40" s="418" t="s">
        <v>75</v>
      </c>
      <c r="C40" s="419"/>
      <c r="D40" s="157"/>
      <c r="E40" s="157"/>
      <c r="F40" s="436">
        <f>SUM(F41:G44)</f>
        <v>179.93240000000003</v>
      </c>
      <c r="G40" s="424"/>
      <c r="H40" s="204"/>
      <c r="I40" s="204"/>
    </row>
    <row r="41" spans="1:11" x14ac:dyDescent="0.25">
      <c r="A41" s="34" t="s">
        <v>16</v>
      </c>
      <c r="B41" s="412"/>
      <c r="C41" s="413"/>
      <c r="D41" s="260"/>
      <c r="E41" s="260"/>
      <c r="F41" s="463"/>
      <c r="G41" s="463"/>
      <c r="H41" s="164"/>
      <c r="I41" s="164"/>
    </row>
    <row r="42" spans="1:11" x14ac:dyDescent="0.25">
      <c r="A42" s="34" t="s">
        <v>18</v>
      </c>
      <c r="B42" s="412"/>
      <c r="C42" s="413"/>
      <c r="D42" s="264"/>
      <c r="E42" s="264"/>
      <c r="F42" s="463"/>
      <c r="G42" s="463"/>
      <c r="H42" s="164"/>
      <c r="I42" s="164"/>
    </row>
    <row r="43" spans="1:11" ht="15" customHeight="1" x14ac:dyDescent="0.25">
      <c r="A43" s="34" t="s">
        <v>20</v>
      </c>
      <c r="B43" s="412"/>
      <c r="C43" s="413"/>
      <c r="D43" s="264"/>
      <c r="E43" s="264"/>
      <c r="F43" s="468"/>
      <c r="G43" s="469"/>
      <c r="H43" s="164"/>
      <c r="I43" s="164"/>
    </row>
    <row r="44" spans="1:11" ht="15" customHeight="1" x14ac:dyDescent="0.25">
      <c r="A44" s="34" t="s">
        <v>22</v>
      </c>
      <c r="B44" s="458" t="s">
        <v>108</v>
      </c>
      <c r="C44" s="546"/>
      <c r="D44" s="173"/>
      <c r="E44" s="173"/>
      <c r="F44" s="435">
        <f>E25*1%</f>
        <v>179.93240000000003</v>
      </c>
      <c r="G44" s="435"/>
      <c r="H44" s="164"/>
      <c r="I44" s="164"/>
    </row>
    <row r="45" spans="1:11" x14ac:dyDescent="0.25">
      <c r="A45" s="153"/>
      <c r="B45" s="84"/>
      <c r="C45" s="84"/>
      <c r="D45" s="84"/>
      <c r="E45" s="84"/>
      <c r="F45" s="164"/>
      <c r="G45" s="164"/>
      <c r="H45" s="164"/>
      <c r="I45" s="164"/>
    </row>
    <row r="46" spans="1:11" s="59" customFormat="1" x14ac:dyDescent="0.25"/>
    <row r="47" spans="1:11" s="59" customFormat="1" x14ac:dyDescent="0.25">
      <c r="A47" s="51" t="s">
        <v>372</v>
      </c>
      <c r="C47" s="59" t="s">
        <v>49</v>
      </c>
      <c r="F47" s="59" t="s">
        <v>60</v>
      </c>
    </row>
    <row r="48" spans="1:11" s="59" customFormat="1" x14ac:dyDescent="0.25">
      <c r="F48" s="111" t="s">
        <v>438</v>
      </c>
    </row>
    <row r="49" spans="1:9" s="59" customFormat="1" x14ac:dyDescent="0.25">
      <c r="A49" s="59" t="s">
        <v>50</v>
      </c>
    </row>
    <row r="50" spans="1:9" s="59" customFormat="1" x14ac:dyDescent="0.25">
      <c r="C50" s="113" t="s">
        <v>51</v>
      </c>
      <c r="E50" s="113"/>
      <c r="F50" s="113"/>
      <c r="G50" s="113"/>
      <c r="H50" s="113"/>
      <c r="I50" s="113"/>
    </row>
  </sheetData>
  <mergeCells count="22">
    <mergeCell ref="A11:J11"/>
    <mergeCell ref="A1:J1"/>
    <mergeCell ref="A2:J2"/>
    <mergeCell ref="A5:J5"/>
    <mergeCell ref="A10:J10"/>
    <mergeCell ref="A3:K3"/>
    <mergeCell ref="F44:G44"/>
    <mergeCell ref="B44:C44"/>
    <mergeCell ref="A37:G37"/>
    <mergeCell ref="B41:C41"/>
    <mergeCell ref="F40:G40"/>
    <mergeCell ref="B40:C40"/>
    <mergeCell ref="F39:G39"/>
    <mergeCell ref="B39:C39"/>
    <mergeCell ref="B43:C43"/>
    <mergeCell ref="A12:J12"/>
    <mergeCell ref="A32:F32"/>
    <mergeCell ref="F41:G41"/>
    <mergeCell ref="F42:G42"/>
    <mergeCell ref="F43:G43"/>
    <mergeCell ref="B42:C42"/>
    <mergeCell ref="A33:C33"/>
  </mergeCells>
  <phoneticPr fontId="14" type="noConversion"/>
  <pageMargins left="0.9055118110236221" right="0.51181102362204722" top="0.55118110236220474" bottom="0.55118110236220474" header="0.31496062992125984" footer="0.31496062992125984"/>
  <pageSetup paperSize="9" scale="95" orientation="landscape" verticalDpi="0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4BFDB8-E66B-4A50-B8FC-033F5E1C5C63}">
  <sheetPr>
    <tabColor rgb="FF7030A0"/>
  </sheetPr>
  <dimension ref="A1:M52"/>
  <sheetViews>
    <sheetView topLeftCell="A31" workbookViewId="0">
      <selection activeCell="A56" sqref="A56:IV57"/>
    </sheetView>
  </sheetViews>
  <sheetFormatPr defaultRowHeight="12.75" outlineLevelRow="1" outlineLevelCol="1" x14ac:dyDescent="0.2"/>
  <cols>
    <col min="1" max="1" width="5.7109375" style="49" customWidth="1"/>
    <col min="2" max="2" width="49.85546875" style="49" customWidth="1"/>
    <col min="3" max="3" width="13.28515625" style="49" customWidth="1"/>
    <col min="4" max="4" width="14.85546875" style="49" customWidth="1"/>
    <col min="5" max="5" width="13" style="49" customWidth="1"/>
    <col min="6" max="6" width="13.140625" style="49" customWidth="1"/>
    <col min="7" max="7" width="14.5703125" style="49" customWidth="1"/>
    <col min="8" max="10" width="11.5703125" style="49" hidden="1" customWidth="1" outlineLevel="1"/>
    <col min="11" max="11" width="9.140625" style="49" hidden="1" customWidth="1" outlineLevel="1"/>
    <col min="12" max="12" width="10" style="49" bestFit="1" customWidth="1" collapsed="1"/>
    <col min="13" max="13" width="15.85546875" style="49" customWidth="1"/>
    <col min="14" max="16384" width="9.140625" style="49"/>
  </cols>
  <sheetData>
    <row r="1" spans="1:11" x14ac:dyDescent="0.2">
      <c r="A1" s="370" t="s">
        <v>0</v>
      </c>
      <c r="B1" s="370"/>
      <c r="C1" s="370"/>
      <c r="D1" s="370"/>
      <c r="E1" s="370"/>
      <c r="F1" s="370"/>
      <c r="G1" s="370"/>
      <c r="H1" s="370"/>
      <c r="I1" s="370"/>
      <c r="J1" s="370"/>
    </row>
    <row r="2" spans="1:11" ht="12.75" customHeight="1" x14ac:dyDescent="0.2">
      <c r="A2" s="370" t="s">
        <v>152</v>
      </c>
      <c r="B2" s="370"/>
      <c r="C2" s="370"/>
      <c r="D2" s="370"/>
      <c r="E2" s="370"/>
      <c r="F2" s="370"/>
      <c r="G2" s="370"/>
      <c r="H2" s="370"/>
      <c r="I2" s="370"/>
      <c r="J2" s="370"/>
    </row>
    <row r="3" spans="1:11" ht="13.5" customHeight="1" x14ac:dyDescent="0.2">
      <c r="A3" s="370" t="s">
        <v>426</v>
      </c>
      <c r="B3" s="370"/>
      <c r="C3" s="370"/>
      <c r="D3" s="370"/>
      <c r="E3" s="370"/>
      <c r="F3" s="370"/>
      <c r="G3" s="370"/>
      <c r="H3" s="370"/>
      <c r="I3" s="370"/>
      <c r="J3" s="370"/>
      <c r="K3" s="370"/>
    </row>
    <row r="4" spans="1:11" ht="9" customHeight="1" x14ac:dyDescent="0.2">
      <c r="A4" s="48"/>
      <c r="B4" s="48"/>
      <c r="C4" s="48"/>
      <c r="D4" s="48"/>
      <c r="E4" s="48"/>
      <c r="F4" s="48"/>
      <c r="G4" s="48"/>
      <c r="H4" s="48"/>
      <c r="I4" s="48"/>
      <c r="J4" s="48"/>
    </row>
    <row r="5" spans="1:11" ht="16.5" customHeight="1" x14ac:dyDescent="0.2">
      <c r="A5" s="371" t="s">
        <v>1</v>
      </c>
      <c r="B5" s="370"/>
      <c r="C5" s="370"/>
      <c r="D5" s="370"/>
      <c r="E5" s="370"/>
      <c r="F5" s="370"/>
      <c r="G5" s="370"/>
      <c r="H5" s="370"/>
      <c r="I5" s="370"/>
      <c r="J5" s="370"/>
    </row>
    <row r="7" spans="1:11" s="51" customFormat="1" ht="16.5" customHeight="1" x14ac:dyDescent="0.2">
      <c r="A7" s="51" t="s">
        <v>2</v>
      </c>
      <c r="F7" s="52" t="s">
        <v>273</v>
      </c>
      <c r="H7" s="52"/>
      <c r="I7" s="52"/>
    </row>
    <row r="8" spans="1:11" s="51" customFormat="1" x14ac:dyDescent="0.2">
      <c r="A8" s="51" t="s">
        <v>3</v>
      </c>
      <c r="F8" s="241" t="s">
        <v>274</v>
      </c>
      <c r="H8" s="231">
        <v>150.69999999999999</v>
      </c>
      <c r="I8" s="214">
        <f>440.9-H8</f>
        <v>290.2</v>
      </c>
      <c r="J8" s="302">
        <f>H8+I8</f>
        <v>440.9</v>
      </c>
      <c r="K8" s="214"/>
    </row>
    <row r="9" spans="1:11" s="51" customFormat="1" x14ac:dyDescent="0.2">
      <c r="B9" s="51" t="s">
        <v>252</v>
      </c>
      <c r="F9" s="241" t="s">
        <v>275</v>
      </c>
      <c r="H9" s="231"/>
      <c r="I9" s="214"/>
      <c r="J9" s="302"/>
      <c r="K9" s="214"/>
    </row>
    <row r="10" spans="1:11" s="51" customFormat="1" x14ac:dyDescent="0.2">
      <c r="A10" s="372" t="s">
        <v>8</v>
      </c>
      <c r="B10" s="372"/>
      <c r="C10" s="372"/>
      <c r="D10" s="372"/>
      <c r="E10" s="372"/>
      <c r="F10" s="372"/>
      <c r="G10" s="372"/>
      <c r="H10" s="372"/>
      <c r="I10" s="372"/>
      <c r="J10" s="372"/>
    </row>
    <row r="11" spans="1:11" s="51" customFormat="1" x14ac:dyDescent="0.2">
      <c r="A11" s="372" t="s">
        <v>9</v>
      </c>
      <c r="B11" s="372"/>
      <c r="C11" s="372"/>
      <c r="D11" s="372"/>
      <c r="E11" s="372"/>
      <c r="F11" s="372"/>
      <c r="G11" s="372"/>
      <c r="H11" s="372"/>
      <c r="I11" s="372"/>
      <c r="J11" s="372"/>
    </row>
    <row r="12" spans="1:11" s="51" customFormat="1" x14ac:dyDescent="0.2">
      <c r="A12" s="372" t="s">
        <v>10</v>
      </c>
      <c r="B12" s="372"/>
      <c r="C12" s="372"/>
      <c r="D12" s="372"/>
      <c r="E12" s="372"/>
      <c r="F12" s="372"/>
      <c r="G12" s="372"/>
      <c r="H12" s="372"/>
      <c r="I12" s="372"/>
      <c r="J12" s="372"/>
    </row>
    <row r="13" spans="1:11" s="59" customFormat="1" ht="6" customHeight="1" thickBot="1" x14ac:dyDescent="0.3">
      <c r="A13" s="60"/>
      <c r="B13" s="60"/>
      <c r="C13" s="60"/>
      <c r="D13" s="38"/>
      <c r="E13" s="58"/>
      <c r="F13" s="58"/>
      <c r="G13" s="58"/>
      <c r="H13" s="54"/>
      <c r="I13" s="54"/>
      <c r="J13" s="54"/>
    </row>
    <row r="14" spans="1:11" s="59" customFormat="1" ht="15.75" thickBot="1" x14ac:dyDescent="0.3">
      <c r="A14" s="55" t="s">
        <v>381</v>
      </c>
      <c r="B14" s="56"/>
      <c r="C14" s="56"/>
      <c r="D14" s="61"/>
      <c r="E14" s="62"/>
      <c r="F14" s="62"/>
      <c r="G14" s="57">
        <f>'[1]Воронина 16'!$G$36</f>
        <v>25540.7958</v>
      </c>
      <c r="H14" s="54"/>
      <c r="I14" s="54"/>
      <c r="J14" s="54"/>
    </row>
    <row r="15" spans="1:11" s="51" customFormat="1" ht="6.75" customHeight="1" x14ac:dyDescent="0.2"/>
    <row r="16" spans="1:11" s="66" customFormat="1" ht="52.5" customHeight="1" x14ac:dyDescent="0.25">
      <c r="A16" s="64" t="s">
        <v>11</v>
      </c>
      <c r="B16" s="64" t="s">
        <v>12</v>
      </c>
      <c r="C16" s="64" t="s">
        <v>61</v>
      </c>
      <c r="D16" s="64" t="s">
        <v>432</v>
      </c>
      <c r="E16" s="64" t="s">
        <v>433</v>
      </c>
      <c r="F16" s="65" t="s">
        <v>434</v>
      </c>
      <c r="G16" s="64" t="s">
        <v>435</v>
      </c>
    </row>
    <row r="17" spans="1:13" s="71" customFormat="1" ht="14.25" x14ac:dyDescent="0.2">
      <c r="A17" s="118" t="s">
        <v>14</v>
      </c>
      <c r="B17" s="39" t="s">
        <v>379</v>
      </c>
      <c r="C17" s="120">
        <v>20.66</v>
      </c>
      <c r="D17" s="68">
        <v>65817.36</v>
      </c>
      <c r="E17" s="68">
        <v>56468.5</v>
      </c>
      <c r="F17" s="68">
        <f>D17</f>
        <v>65817.36</v>
      </c>
      <c r="G17" s="69">
        <f>D17-E17</f>
        <v>9348.86</v>
      </c>
      <c r="H17" s="70">
        <f>C17</f>
        <v>20.66</v>
      </c>
      <c r="I17" s="70"/>
      <c r="L17" s="121"/>
      <c r="M17" s="122"/>
    </row>
    <row r="18" spans="1:13" s="51" customFormat="1" ht="15" hidden="1" outlineLevel="1" x14ac:dyDescent="0.25">
      <c r="A18" s="123" t="s">
        <v>16</v>
      </c>
      <c r="B18" s="34" t="s">
        <v>17</v>
      </c>
      <c r="C18" s="89">
        <v>3.46</v>
      </c>
      <c r="D18" s="75">
        <f>D17*J18</f>
        <v>11022.65564375605</v>
      </c>
      <c r="E18" s="75">
        <f>E17*J18</f>
        <v>9456.9704743465645</v>
      </c>
      <c r="F18" s="75">
        <f>D18</f>
        <v>11022.65564375605</v>
      </c>
      <c r="G18" s="76">
        <f>D18-E18</f>
        <v>1565.6851694094858</v>
      </c>
      <c r="H18" s="70">
        <f>C18</f>
        <v>3.46</v>
      </c>
      <c r="I18" s="70"/>
      <c r="J18" s="51">
        <f>H18/H17</f>
        <v>0.16747337850919652</v>
      </c>
    </row>
    <row r="19" spans="1:13" s="51" customFormat="1" ht="15" hidden="1" outlineLevel="1" x14ac:dyDescent="0.25">
      <c r="A19" s="123" t="s">
        <v>18</v>
      </c>
      <c r="B19" s="34" t="s">
        <v>19</v>
      </c>
      <c r="C19" s="89">
        <v>1.69</v>
      </c>
      <c r="D19" s="75">
        <f>D17*J19</f>
        <v>5383.8982768635042</v>
      </c>
      <c r="E19" s="75">
        <f>E17*J19</f>
        <v>4619.1560987415287</v>
      </c>
      <c r="F19" s="75">
        <f>D19</f>
        <v>5383.8982768635042</v>
      </c>
      <c r="G19" s="76">
        <f>D19-E19</f>
        <v>764.74217812197548</v>
      </c>
      <c r="H19" s="70">
        <f>C19</f>
        <v>1.69</v>
      </c>
      <c r="I19" s="70"/>
      <c r="J19" s="51">
        <f>H19/H17</f>
        <v>8.1800580832526615E-2</v>
      </c>
    </row>
    <row r="20" spans="1:13" s="51" customFormat="1" ht="15" hidden="1" outlineLevel="1" x14ac:dyDescent="0.25">
      <c r="A20" s="123" t="s">
        <v>20</v>
      </c>
      <c r="B20" s="34" t="s">
        <v>21</v>
      </c>
      <c r="C20" s="89">
        <v>1.69</v>
      </c>
      <c r="D20" s="75">
        <f>D17*J20</f>
        <v>5383.8982768635042</v>
      </c>
      <c r="E20" s="75">
        <f>E17*J20</f>
        <v>4619.1560987415287</v>
      </c>
      <c r="F20" s="75">
        <f>D20</f>
        <v>5383.8982768635042</v>
      </c>
      <c r="G20" s="76">
        <f>D20-E20</f>
        <v>764.74217812197548</v>
      </c>
      <c r="H20" s="70">
        <f>C20</f>
        <v>1.69</v>
      </c>
      <c r="I20" s="70"/>
      <c r="J20" s="51">
        <f>H20/H17</f>
        <v>8.1800580832526615E-2</v>
      </c>
    </row>
    <row r="21" spans="1:13" s="51" customFormat="1" ht="15" hidden="1" outlineLevel="1" x14ac:dyDescent="0.25">
      <c r="A21" s="123" t="s">
        <v>22</v>
      </c>
      <c r="B21" s="34" t="s">
        <v>23</v>
      </c>
      <c r="C21" s="89">
        <v>3.04</v>
      </c>
      <c r="D21" s="75">
        <f>D17*J21</f>
        <v>9684.6454211035816</v>
      </c>
      <c r="E21" s="75">
        <f>E17*J21</f>
        <v>8309.0145208131653</v>
      </c>
      <c r="F21" s="75">
        <f>D21</f>
        <v>9684.6454211035816</v>
      </c>
      <c r="G21" s="76">
        <f>D21-E21</f>
        <v>1375.6309002904163</v>
      </c>
      <c r="H21" s="70">
        <f>C21</f>
        <v>3.04</v>
      </c>
      <c r="I21" s="70"/>
      <c r="J21" s="51">
        <f>H21/H17</f>
        <v>0.14714424007744434</v>
      </c>
    </row>
    <row r="22" spans="1:13" s="80" customFormat="1" ht="14.25" collapsed="1" x14ac:dyDescent="0.2">
      <c r="A22" s="125" t="s">
        <v>25</v>
      </c>
      <c r="B22" s="78" t="s">
        <v>145</v>
      </c>
      <c r="C22" s="87">
        <v>0</v>
      </c>
      <c r="D22" s="79">
        <v>0</v>
      </c>
      <c r="E22" s="79">
        <v>0</v>
      </c>
      <c r="F22" s="79">
        <v>0</v>
      </c>
      <c r="G22" s="69">
        <f t="shared" ref="G22:G32" si="0">D22-E22</f>
        <v>0</v>
      </c>
      <c r="I22" s="275"/>
    </row>
    <row r="23" spans="1:13" s="80" customFormat="1" ht="14.25" x14ac:dyDescent="0.2">
      <c r="A23" s="125" t="s">
        <v>27</v>
      </c>
      <c r="B23" s="78" t="s">
        <v>28</v>
      </c>
      <c r="C23" s="87">
        <v>0</v>
      </c>
      <c r="D23" s="79">
        <v>0</v>
      </c>
      <c r="E23" s="79">
        <v>0</v>
      </c>
      <c r="F23" s="79">
        <f>D23</f>
        <v>0</v>
      </c>
      <c r="G23" s="69">
        <f t="shared" si="0"/>
        <v>0</v>
      </c>
    </row>
    <row r="24" spans="1:13" s="80" customFormat="1" ht="14.25" x14ac:dyDescent="0.2">
      <c r="A24" s="125" t="s">
        <v>29</v>
      </c>
      <c r="B24" s="78" t="s">
        <v>97</v>
      </c>
      <c r="C24" s="357">
        <v>0</v>
      </c>
      <c r="D24" s="79">
        <v>0</v>
      </c>
      <c r="E24" s="79">
        <v>0</v>
      </c>
      <c r="F24" s="79">
        <f>D24</f>
        <v>0</v>
      </c>
      <c r="G24" s="69">
        <f t="shared" si="0"/>
        <v>0</v>
      </c>
    </row>
    <row r="25" spans="1:13" s="80" customFormat="1" ht="14.25" x14ac:dyDescent="0.2">
      <c r="A25" s="125" t="s">
        <v>31</v>
      </c>
      <c r="B25" s="78" t="s">
        <v>80</v>
      </c>
      <c r="C25" s="87">
        <v>2.04</v>
      </c>
      <c r="D25" s="79">
        <f>7104.24+D26</f>
        <v>10793.38</v>
      </c>
      <c r="E25" s="79">
        <f>6115.93+E26</f>
        <v>9805.07</v>
      </c>
      <c r="F25" s="79">
        <f>F43</f>
        <v>98.050700000000006</v>
      </c>
      <c r="G25" s="69">
        <f t="shared" si="0"/>
        <v>988.30999999999949</v>
      </c>
    </row>
    <row r="26" spans="1:13" s="80" customFormat="1" ht="14.25" x14ac:dyDescent="0.2">
      <c r="A26" s="125"/>
      <c r="B26" s="292" t="s">
        <v>244</v>
      </c>
      <c r="C26" s="293"/>
      <c r="D26" s="294">
        <v>3689.14</v>
      </c>
      <c r="E26" s="294">
        <v>3689.14</v>
      </c>
      <c r="F26" s="294"/>
      <c r="G26" s="248">
        <f>D26-E26</f>
        <v>0</v>
      </c>
    </row>
    <row r="27" spans="1:13" s="88" customFormat="1" ht="14.25" x14ac:dyDescent="0.2">
      <c r="A27" s="119" t="s">
        <v>33</v>
      </c>
      <c r="B27" s="39" t="s">
        <v>34</v>
      </c>
      <c r="C27" s="43">
        <v>0</v>
      </c>
      <c r="D27" s="69">
        <v>0</v>
      </c>
      <c r="E27" s="69">
        <v>0</v>
      </c>
      <c r="F27" s="79">
        <v>0</v>
      </c>
      <c r="G27" s="69">
        <f t="shared" si="0"/>
        <v>0</v>
      </c>
    </row>
    <row r="28" spans="1:13" s="88" customFormat="1" ht="14.25" x14ac:dyDescent="0.2">
      <c r="A28" s="119" t="s">
        <v>35</v>
      </c>
      <c r="B28" s="39" t="s">
        <v>36</v>
      </c>
      <c r="C28" s="87"/>
      <c r="D28" s="69">
        <f>SUM(D29:D32)</f>
        <v>33736.230000000003</v>
      </c>
      <c r="E28" s="69">
        <f>SUM(E29:E32)</f>
        <v>30334.45</v>
      </c>
      <c r="F28" s="69">
        <f>SUM(F29:F32)</f>
        <v>33736.230000000003</v>
      </c>
      <c r="G28" s="69">
        <f t="shared" si="0"/>
        <v>3401.7800000000025</v>
      </c>
    </row>
    <row r="29" spans="1:13" ht="15" x14ac:dyDescent="0.25">
      <c r="A29" s="124" t="s">
        <v>37</v>
      </c>
      <c r="B29" s="34" t="s">
        <v>105</v>
      </c>
      <c r="C29" s="89">
        <v>7.36</v>
      </c>
      <c r="D29" s="76">
        <v>5155.6899999999996</v>
      </c>
      <c r="E29" s="76">
        <v>5691.63</v>
      </c>
      <c r="F29" s="76">
        <f>D29</f>
        <v>5155.6899999999996</v>
      </c>
      <c r="G29" s="76">
        <f t="shared" si="0"/>
        <v>-535.94000000000051</v>
      </c>
    </row>
    <row r="30" spans="1:13" ht="15" x14ac:dyDescent="0.25">
      <c r="A30" s="124" t="s">
        <v>39</v>
      </c>
      <c r="B30" s="34" t="s">
        <v>84</v>
      </c>
      <c r="C30" s="89">
        <v>88.38</v>
      </c>
      <c r="D30" s="76">
        <v>28580.54</v>
      </c>
      <c r="E30" s="76">
        <v>24642.82</v>
      </c>
      <c r="F30" s="76">
        <f>D30</f>
        <v>28580.54</v>
      </c>
      <c r="G30" s="76">
        <f t="shared" si="0"/>
        <v>3937.7200000000012</v>
      </c>
    </row>
    <row r="31" spans="1:13" ht="15" x14ac:dyDescent="0.25">
      <c r="A31" s="124" t="s">
        <v>42</v>
      </c>
      <c r="B31" s="34" t="s">
        <v>135</v>
      </c>
      <c r="C31" s="128">
        <v>0</v>
      </c>
      <c r="D31" s="76">
        <v>0</v>
      </c>
      <c r="E31" s="76">
        <v>0</v>
      </c>
      <c r="F31" s="76">
        <f>D31</f>
        <v>0</v>
      </c>
      <c r="G31" s="76">
        <f t="shared" si="0"/>
        <v>0</v>
      </c>
    </row>
    <row r="32" spans="1:13" ht="15" x14ac:dyDescent="0.25">
      <c r="A32" s="124" t="s">
        <v>41</v>
      </c>
      <c r="B32" s="34" t="s">
        <v>43</v>
      </c>
      <c r="C32" s="89">
        <v>0</v>
      </c>
      <c r="D32" s="76">
        <v>0</v>
      </c>
      <c r="E32" s="76">
        <v>0</v>
      </c>
      <c r="F32" s="76">
        <f>D32</f>
        <v>0</v>
      </c>
      <c r="G32" s="76">
        <f t="shared" si="0"/>
        <v>0</v>
      </c>
    </row>
    <row r="33" spans="1:11" s="92" customFormat="1" ht="24" customHeight="1" thickBot="1" x14ac:dyDescent="0.3">
      <c r="A33" s="373"/>
      <c r="B33" s="374"/>
      <c r="C33" s="374"/>
      <c r="D33" s="375"/>
      <c r="E33" s="375"/>
      <c r="F33" s="375"/>
      <c r="G33" s="91"/>
      <c r="H33" s="91"/>
      <c r="I33" s="91"/>
      <c r="J33" s="91"/>
    </row>
    <row r="34" spans="1:11" s="59" customFormat="1" ht="15.75" thickBot="1" x14ac:dyDescent="0.3">
      <c r="A34" s="387" t="s">
        <v>427</v>
      </c>
      <c r="B34" s="388"/>
      <c r="C34" s="388"/>
      <c r="D34" s="57">
        <v>13738.95</v>
      </c>
      <c r="E34" s="58"/>
      <c r="F34" s="58"/>
      <c r="G34" s="58"/>
      <c r="H34" s="54"/>
      <c r="I34" s="54"/>
      <c r="J34" s="54"/>
    </row>
    <row r="35" spans="1:11" s="59" customFormat="1" ht="6" customHeight="1" thickBot="1" x14ac:dyDescent="0.3">
      <c r="A35" s="60"/>
      <c r="B35" s="60"/>
      <c r="C35" s="60"/>
      <c r="D35" s="38"/>
      <c r="E35" s="58"/>
      <c r="F35" s="58"/>
      <c r="G35" s="58"/>
      <c r="H35" s="54"/>
      <c r="I35" s="54"/>
      <c r="J35" s="54"/>
    </row>
    <row r="36" spans="1:11" s="92" customFormat="1" ht="14.25" thickBot="1" x14ac:dyDescent="0.3">
      <c r="A36" s="55" t="s">
        <v>428</v>
      </c>
      <c r="B36" s="56"/>
      <c r="C36" s="56"/>
      <c r="D36" s="61"/>
      <c r="E36" s="62"/>
      <c r="F36" s="62"/>
      <c r="G36" s="129">
        <f>G14+E25-F25</f>
        <v>35247.8151</v>
      </c>
      <c r="H36" s="91"/>
      <c r="I36" s="91"/>
      <c r="J36" s="91"/>
    </row>
    <row r="37" spans="1:11" s="92" customFormat="1" ht="16.5" customHeight="1" x14ac:dyDescent="0.25">
      <c r="A37" s="514" t="s">
        <v>134</v>
      </c>
      <c r="B37" s="515"/>
      <c r="C37" s="93"/>
      <c r="D37" s="93"/>
      <c r="E37" s="91"/>
      <c r="F37" s="91"/>
      <c r="G37" s="91"/>
      <c r="H37" s="91"/>
      <c r="I37" s="91"/>
      <c r="J37" s="91"/>
    </row>
    <row r="38" spans="1:11" s="92" customFormat="1" ht="16.5" customHeight="1" x14ac:dyDescent="0.25">
      <c r="A38" s="393" t="s">
        <v>91</v>
      </c>
      <c r="B38" s="394"/>
      <c r="C38" s="41" t="s">
        <v>92</v>
      </c>
      <c r="D38" s="41" t="s">
        <v>93</v>
      </c>
      <c r="E38" s="42" t="s">
        <v>94</v>
      </c>
      <c r="F38" s="40" t="s">
        <v>95</v>
      </c>
      <c r="G38" s="42" t="s">
        <v>96</v>
      </c>
      <c r="H38" s="91"/>
      <c r="I38" s="91"/>
      <c r="J38" s="91"/>
    </row>
    <row r="39" spans="1:11" s="92" customFormat="1" ht="15" x14ac:dyDescent="0.25">
      <c r="A39" s="395"/>
      <c r="B39" s="396"/>
      <c r="C39" s="358">
        <v>150.69999999999999</v>
      </c>
      <c r="D39" s="138">
        <f>E39/C39/12</f>
        <v>22.700000000000003</v>
      </c>
      <c r="E39" s="358">
        <v>41050.68</v>
      </c>
      <c r="F39" s="358">
        <v>41050.68</v>
      </c>
      <c r="G39" s="138">
        <f>E39-F39</f>
        <v>0</v>
      </c>
      <c r="H39" s="91">
        <f>C17+C25</f>
        <v>22.7</v>
      </c>
      <c r="I39" s="91">
        <f>H39*C39*3</f>
        <v>10262.669999999998</v>
      </c>
      <c r="J39" s="91">
        <v>27397.26</v>
      </c>
      <c r="K39" s="92">
        <v>20570.55</v>
      </c>
    </row>
    <row r="40" spans="1:11" ht="23.25" customHeight="1" x14ac:dyDescent="0.25">
      <c r="A40" s="371" t="s">
        <v>44</v>
      </c>
      <c r="B40" s="422"/>
      <c r="C40" s="422"/>
      <c r="D40" s="422"/>
      <c r="E40" s="422"/>
      <c r="F40" s="422"/>
      <c r="G40" s="422"/>
      <c r="H40" s="50"/>
      <c r="I40" s="50"/>
      <c r="J40" s="50"/>
    </row>
    <row r="42" spans="1:11" s="66" customFormat="1" ht="28.5" x14ac:dyDescent="0.2">
      <c r="A42" s="94" t="s">
        <v>11</v>
      </c>
      <c r="B42" s="416" t="s">
        <v>45</v>
      </c>
      <c r="C42" s="425"/>
      <c r="D42" s="94" t="s">
        <v>99</v>
      </c>
      <c r="E42" s="94" t="s">
        <v>98</v>
      </c>
      <c r="F42" s="550" t="s">
        <v>46</v>
      </c>
      <c r="G42" s="550"/>
      <c r="H42" s="95"/>
      <c r="I42" s="95"/>
      <c r="J42" s="96"/>
      <c r="K42" s="97"/>
    </row>
    <row r="43" spans="1:11" s="103" customFormat="1" ht="15" x14ac:dyDescent="0.25">
      <c r="A43" s="98" t="s">
        <v>47</v>
      </c>
      <c r="B43" s="418" t="s">
        <v>75</v>
      </c>
      <c r="C43" s="430"/>
      <c r="D43" s="99"/>
      <c r="E43" s="99"/>
      <c r="F43" s="548">
        <f>SUM(F44:G47)</f>
        <v>98.050700000000006</v>
      </c>
      <c r="G43" s="549"/>
      <c r="H43" s="101"/>
      <c r="I43" s="101"/>
      <c r="J43" s="102"/>
      <c r="K43" s="104"/>
    </row>
    <row r="44" spans="1:11" ht="15" x14ac:dyDescent="0.25">
      <c r="A44" s="34" t="s">
        <v>16</v>
      </c>
      <c r="B44" s="412"/>
      <c r="C44" s="413"/>
      <c r="D44" s="260"/>
      <c r="E44" s="260"/>
      <c r="F44" s="463"/>
      <c r="G44" s="463"/>
      <c r="H44" s="38"/>
      <c r="I44" s="38"/>
      <c r="J44" s="38"/>
      <c r="K44" s="106"/>
    </row>
    <row r="45" spans="1:11" ht="15" x14ac:dyDescent="0.25">
      <c r="A45" s="34" t="s">
        <v>18</v>
      </c>
      <c r="B45" s="412"/>
      <c r="C45" s="428"/>
      <c r="D45" s="258"/>
      <c r="E45" s="262"/>
      <c r="F45" s="463"/>
      <c r="G45" s="463"/>
      <c r="H45" s="38"/>
      <c r="I45" s="38"/>
      <c r="J45" s="38"/>
      <c r="K45" s="106"/>
    </row>
    <row r="46" spans="1:11" ht="15" x14ac:dyDescent="0.25">
      <c r="A46" s="34" t="s">
        <v>20</v>
      </c>
      <c r="B46" s="412"/>
      <c r="C46" s="428"/>
      <c r="D46" s="258"/>
      <c r="E46" s="262"/>
      <c r="F46" s="463"/>
      <c r="G46" s="463"/>
      <c r="H46" s="38"/>
      <c r="I46" s="38"/>
      <c r="J46" s="38"/>
      <c r="K46" s="106"/>
    </row>
    <row r="47" spans="1:11" s="59" customFormat="1" ht="15" x14ac:dyDescent="0.25">
      <c r="A47" s="34" t="s">
        <v>22</v>
      </c>
      <c r="B47" s="166" t="s">
        <v>108</v>
      </c>
      <c r="C47" s="167"/>
      <c r="D47" s="108"/>
      <c r="E47" s="108"/>
      <c r="F47" s="435">
        <f>E25*1%</f>
        <v>98.050700000000006</v>
      </c>
      <c r="G47" s="435"/>
    </row>
    <row r="48" spans="1:11" s="51" customFormat="1" x14ac:dyDescent="0.2"/>
    <row r="49" spans="1:7" s="51" customFormat="1" ht="15" x14ac:dyDescent="0.25">
      <c r="A49" s="51" t="s">
        <v>372</v>
      </c>
      <c r="B49" s="59"/>
      <c r="C49" s="110" t="s">
        <v>49</v>
      </c>
      <c r="D49" s="59"/>
      <c r="E49" s="59"/>
      <c r="F49" s="59" t="s">
        <v>60</v>
      </c>
      <c r="G49" s="59"/>
    </row>
    <row r="50" spans="1:7" ht="15" x14ac:dyDescent="0.25">
      <c r="A50" s="59"/>
      <c r="B50" s="59"/>
      <c r="C50" s="110"/>
      <c r="D50" s="59"/>
      <c r="E50" s="59"/>
      <c r="F50" s="111" t="s">
        <v>438</v>
      </c>
      <c r="G50" s="59"/>
    </row>
    <row r="51" spans="1:7" ht="15" x14ac:dyDescent="0.25">
      <c r="A51" s="59" t="s">
        <v>50</v>
      </c>
      <c r="B51" s="59"/>
      <c r="C51" s="110"/>
      <c r="D51" s="59"/>
      <c r="E51" s="59"/>
      <c r="F51" s="59"/>
      <c r="G51" s="59"/>
    </row>
    <row r="52" spans="1:7" ht="15" x14ac:dyDescent="0.25">
      <c r="A52" s="59"/>
      <c r="B52" s="59"/>
      <c r="C52" s="112" t="s">
        <v>51</v>
      </c>
      <c r="D52" s="59"/>
      <c r="E52" s="113"/>
      <c r="F52" s="113"/>
      <c r="G52" s="113"/>
    </row>
  </sheetData>
  <mergeCells count="23">
    <mergeCell ref="A1:J1"/>
    <mergeCell ref="A2:J2"/>
    <mergeCell ref="A5:J5"/>
    <mergeCell ref="A10:J10"/>
    <mergeCell ref="A37:B37"/>
    <mergeCell ref="A3:K3"/>
    <mergeCell ref="F47:G47"/>
    <mergeCell ref="A34:C34"/>
    <mergeCell ref="B42:C42"/>
    <mergeCell ref="F42:G42"/>
    <mergeCell ref="B43:C43"/>
    <mergeCell ref="A33:F33"/>
    <mergeCell ref="A40:G40"/>
    <mergeCell ref="F45:G45"/>
    <mergeCell ref="B44:C44"/>
    <mergeCell ref="B45:C45"/>
    <mergeCell ref="F43:G43"/>
    <mergeCell ref="F46:G46"/>
    <mergeCell ref="A11:J11"/>
    <mergeCell ref="B46:C46"/>
    <mergeCell ref="F44:G44"/>
    <mergeCell ref="A12:J12"/>
    <mergeCell ref="A38:B39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17C089-69D9-4438-A4A5-1FC5CFF58407}">
  <sheetPr>
    <tabColor rgb="FF7030A0"/>
  </sheetPr>
  <dimension ref="A1:L51"/>
  <sheetViews>
    <sheetView topLeftCell="A33" workbookViewId="0">
      <selection activeCell="A54" sqref="A54:IV56"/>
    </sheetView>
  </sheetViews>
  <sheetFormatPr defaultRowHeight="12.75" outlineLevelRow="1" outlineLevelCol="1" x14ac:dyDescent="0.2"/>
  <cols>
    <col min="1" max="1" width="4.85546875" style="49" customWidth="1"/>
    <col min="2" max="2" width="50.28515625" style="49" customWidth="1"/>
    <col min="3" max="3" width="15.85546875" style="49" customWidth="1"/>
    <col min="4" max="4" width="14.85546875" style="49" customWidth="1"/>
    <col min="5" max="5" width="13.140625" style="49" customWidth="1"/>
    <col min="6" max="6" width="13.28515625" style="49" customWidth="1"/>
    <col min="7" max="7" width="14.5703125" style="49" customWidth="1"/>
    <col min="8" max="9" width="11.5703125" style="49" hidden="1" customWidth="1" outlineLevel="1"/>
    <col min="10" max="10" width="9.140625" style="49" collapsed="1"/>
    <col min="11" max="11" width="10" style="49" bestFit="1" customWidth="1"/>
    <col min="12" max="12" width="15.85546875" style="49" customWidth="1"/>
    <col min="13" max="16384" width="9.140625" style="49"/>
  </cols>
  <sheetData>
    <row r="1" spans="1:12" x14ac:dyDescent="0.2">
      <c r="A1" s="370" t="s">
        <v>0</v>
      </c>
      <c r="B1" s="370"/>
      <c r="C1" s="370"/>
      <c r="D1" s="370"/>
      <c r="E1" s="370"/>
      <c r="F1" s="370"/>
      <c r="G1" s="370"/>
      <c r="H1" s="370"/>
      <c r="I1" s="370"/>
    </row>
    <row r="2" spans="1:12" ht="12.75" customHeight="1" x14ac:dyDescent="0.2">
      <c r="A2" s="370" t="s">
        <v>152</v>
      </c>
      <c r="B2" s="370"/>
      <c r="C2" s="370"/>
      <c r="D2" s="370"/>
      <c r="E2" s="370"/>
      <c r="F2" s="370"/>
      <c r="G2" s="370"/>
      <c r="H2" s="370"/>
      <c r="I2" s="370"/>
      <c r="J2" s="370"/>
    </row>
    <row r="3" spans="1:12" ht="13.5" customHeight="1" x14ac:dyDescent="0.2">
      <c r="A3" s="370" t="s">
        <v>426</v>
      </c>
      <c r="B3" s="370"/>
      <c r="C3" s="370"/>
      <c r="D3" s="370"/>
      <c r="E3" s="370"/>
      <c r="F3" s="370"/>
      <c r="G3" s="370"/>
      <c r="H3" s="370"/>
      <c r="I3" s="370"/>
      <c r="J3" s="370"/>
      <c r="K3" s="370"/>
    </row>
    <row r="4" spans="1:12" ht="9" customHeight="1" x14ac:dyDescent="0.2">
      <c r="A4" s="48"/>
      <c r="B4" s="48"/>
      <c r="C4" s="48"/>
      <c r="D4" s="48"/>
      <c r="E4" s="48"/>
      <c r="F4" s="48"/>
      <c r="G4" s="48"/>
      <c r="H4" s="48"/>
      <c r="I4" s="48"/>
    </row>
    <row r="5" spans="1:12" ht="16.5" customHeight="1" x14ac:dyDescent="0.2">
      <c r="A5" s="371" t="s">
        <v>1</v>
      </c>
      <c r="B5" s="370"/>
      <c r="C5" s="370"/>
      <c r="D5" s="370"/>
      <c r="E5" s="370"/>
      <c r="F5" s="370"/>
      <c r="G5" s="370"/>
      <c r="H5" s="370"/>
      <c r="I5" s="370"/>
    </row>
    <row r="7" spans="1:12" s="51" customFormat="1" ht="16.5" customHeight="1" x14ac:dyDescent="0.2">
      <c r="A7" s="51" t="s">
        <v>2</v>
      </c>
      <c r="F7" s="52" t="s">
        <v>276</v>
      </c>
      <c r="H7" s="52"/>
    </row>
    <row r="8" spans="1:12" s="51" customFormat="1" x14ac:dyDescent="0.2">
      <c r="A8" s="51" t="s">
        <v>3</v>
      </c>
      <c r="F8" s="242" t="s">
        <v>277</v>
      </c>
      <c r="H8" s="52"/>
    </row>
    <row r="9" spans="1:12" s="51" customFormat="1" x14ac:dyDescent="0.2">
      <c r="A9" s="372" t="s">
        <v>8</v>
      </c>
      <c r="B9" s="372"/>
      <c r="C9" s="372"/>
      <c r="D9" s="372"/>
      <c r="E9" s="372"/>
      <c r="F9" s="372"/>
      <c r="G9" s="372"/>
      <c r="H9" s="372"/>
      <c r="I9" s="372"/>
    </row>
    <row r="10" spans="1:12" s="51" customFormat="1" x14ac:dyDescent="0.2">
      <c r="A10" s="372" t="s">
        <v>9</v>
      </c>
      <c r="B10" s="372"/>
      <c r="C10" s="372"/>
      <c r="D10" s="372"/>
      <c r="E10" s="372"/>
      <c r="F10" s="372"/>
      <c r="G10" s="372"/>
      <c r="H10" s="372"/>
      <c r="I10" s="372"/>
    </row>
    <row r="11" spans="1:12" s="51" customFormat="1" x14ac:dyDescent="0.2">
      <c r="A11" s="372" t="s">
        <v>10</v>
      </c>
      <c r="B11" s="372"/>
      <c r="C11" s="372"/>
      <c r="D11" s="372"/>
      <c r="E11" s="372"/>
      <c r="F11" s="372"/>
      <c r="G11" s="372"/>
      <c r="H11" s="372"/>
      <c r="I11" s="372"/>
    </row>
    <row r="12" spans="1:12" s="59" customFormat="1" ht="6" customHeight="1" thickBot="1" x14ac:dyDescent="0.3">
      <c r="A12" s="60"/>
      <c r="B12" s="60"/>
      <c r="C12" s="60"/>
      <c r="D12" s="38"/>
      <c r="E12" s="58"/>
      <c r="F12" s="58"/>
      <c r="G12" s="58"/>
      <c r="H12" s="54"/>
      <c r="I12" s="54"/>
    </row>
    <row r="13" spans="1:12" s="59" customFormat="1" ht="15.75" thickBot="1" x14ac:dyDescent="0.3">
      <c r="A13" s="55" t="s">
        <v>381</v>
      </c>
      <c r="B13" s="56"/>
      <c r="C13" s="56"/>
      <c r="D13" s="61"/>
      <c r="E13" s="62"/>
      <c r="F13" s="62"/>
      <c r="G13" s="57">
        <f>'[1] Яченский пер д.2'!$G$34</f>
        <v>-298937.48130000004</v>
      </c>
      <c r="H13" s="54"/>
      <c r="I13" s="54"/>
    </row>
    <row r="14" spans="1:12" s="51" customFormat="1" ht="6.75" customHeight="1" x14ac:dyDescent="0.2"/>
    <row r="15" spans="1:12" s="66" customFormat="1" ht="38.25" x14ac:dyDescent="0.25">
      <c r="A15" s="64" t="s">
        <v>11</v>
      </c>
      <c r="B15" s="64" t="s">
        <v>12</v>
      </c>
      <c r="C15" s="64" t="s">
        <v>61</v>
      </c>
      <c r="D15" s="64" t="s">
        <v>432</v>
      </c>
      <c r="E15" s="64" t="s">
        <v>433</v>
      </c>
      <c r="F15" s="65" t="s">
        <v>434</v>
      </c>
      <c r="G15" s="64" t="s">
        <v>435</v>
      </c>
    </row>
    <row r="16" spans="1:12" s="71" customFormat="1" ht="14.25" x14ac:dyDescent="0.2">
      <c r="A16" s="67" t="s">
        <v>14</v>
      </c>
      <c r="B16" s="39" t="s">
        <v>379</v>
      </c>
      <c r="C16" s="120">
        <v>23.01</v>
      </c>
      <c r="D16" s="68">
        <v>441819.72</v>
      </c>
      <c r="E16" s="68">
        <v>445433.69</v>
      </c>
      <c r="F16" s="68">
        <f t="shared" ref="F16:F22" si="0">D16</f>
        <v>441819.72</v>
      </c>
      <c r="G16" s="69">
        <f>D16-E16</f>
        <v>-3613.9700000000303</v>
      </c>
      <c r="H16" s="70">
        <f>C16</f>
        <v>23.01</v>
      </c>
      <c r="K16" s="121"/>
      <c r="L16" s="122"/>
    </row>
    <row r="17" spans="1:9" s="51" customFormat="1" ht="15" hidden="1" outlineLevel="1" x14ac:dyDescent="0.25">
      <c r="A17" s="73" t="s">
        <v>16</v>
      </c>
      <c r="B17" s="34" t="s">
        <v>17</v>
      </c>
      <c r="C17" s="89">
        <v>3.46</v>
      </c>
      <c r="D17" s="75">
        <f>D16*I17</f>
        <v>66436.168239895691</v>
      </c>
      <c r="E17" s="75">
        <f>E16*I17</f>
        <v>66979.598757062151</v>
      </c>
      <c r="F17" s="75">
        <f t="shared" si="0"/>
        <v>66436.168239895691</v>
      </c>
      <c r="G17" s="76">
        <f>D17-E17</f>
        <v>-543.43051716646005</v>
      </c>
      <c r="H17" s="70">
        <f>C17</f>
        <v>3.46</v>
      </c>
      <c r="I17" s="51">
        <f>H17/H16</f>
        <v>0.15036940460669274</v>
      </c>
    </row>
    <row r="18" spans="1:9" s="51" customFormat="1" ht="15" hidden="1" outlineLevel="1" x14ac:dyDescent="0.25">
      <c r="A18" s="73" t="s">
        <v>18</v>
      </c>
      <c r="B18" s="34" t="s">
        <v>19</v>
      </c>
      <c r="C18" s="89">
        <v>1.69</v>
      </c>
      <c r="D18" s="75">
        <f>D16*I18</f>
        <v>32450.035932203384</v>
      </c>
      <c r="E18" s="75">
        <f>E16*I18</f>
        <v>32715.468757062143</v>
      </c>
      <c r="F18" s="75">
        <f t="shared" si="0"/>
        <v>32450.035932203384</v>
      </c>
      <c r="G18" s="76">
        <f>D18-E18</f>
        <v>-265.43282485875898</v>
      </c>
      <c r="H18" s="70">
        <f>C18</f>
        <v>1.69</v>
      </c>
      <c r="I18" s="51">
        <f>H18/H16</f>
        <v>7.3446327683615809E-2</v>
      </c>
    </row>
    <row r="19" spans="1:9" s="51" customFormat="1" ht="15" hidden="1" outlineLevel="1" x14ac:dyDescent="0.25">
      <c r="A19" s="73" t="s">
        <v>20</v>
      </c>
      <c r="B19" s="34" t="s">
        <v>21</v>
      </c>
      <c r="C19" s="89">
        <v>1.69</v>
      </c>
      <c r="D19" s="75">
        <f>D16*I19</f>
        <v>32450.035932203384</v>
      </c>
      <c r="E19" s="75">
        <f>E16*I19</f>
        <v>32715.468757062143</v>
      </c>
      <c r="F19" s="75">
        <f t="shared" si="0"/>
        <v>32450.035932203384</v>
      </c>
      <c r="G19" s="76">
        <f>D19-E19</f>
        <v>-265.43282485875898</v>
      </c>
      <c r="H19" s="70">
        <f>C19</f>
        <v>1.69</v>
      </c>
      <c r="I19" s="51">
        <f>H19/H16</f>
        <v>7.3446327683615809E-2</v>
      </c>
    </row>
    <row r="20" spans="1:9" s="51" customFormat="1" ht="15" hidden="1" outlineLevel="1" x14ac:dyDescent="0.25">
      <c r="A20" s="73" t="s">
        <v>22</v>
      </c>
      <c r="B20" s="34" t="s">
        <v>23</v>
      </c>
      <c r="C20" s="89">
        <v>3.04</v>
      </c>
      <c r="D20" s="75">
        <f>D16*I20</f>
        <v>58371.662268578868</v>
      </c>
      <c r="E20" s="75">
        <f>E16*I20</f>
        <v>58849.127231638413</v>
      </c>
      <c r="F20" s="75">
        <f t="shared" si="0"/>
        <v>58371.662268578868</v>
      </c>
      <c r="G20" s="76">
        <f>D20-E20</f>
        <v>-477.46496305954497</v>
      </c>
      <c r="H20" s="70">
        <f>C20</f>
        <v>3.04</v>
      </c>
      <c r="I20" s="51">
        <f>H20/H16</f>
        <v>0.13211647109952193</v>
      </c>
    </row>
    <row r="21" spans="1:9" s="80" customFormat="1" ht="14.25" collapsed="1" x14ac:dyDescent="0.2">
      <c r="A21" s="78" t="s">
        <v>25</v>
      </c>
      <c r="B21" s="39" t="s">
        <v>270</v>
      </c>
      <c r="C21" s="46">
        <v>120</v>
      </c>
      <c r="D21" s="79">
        <v>0</v>
      </c>
      <c r="E21" s="79">
        <v>96.82</v>
      </c>
      <c r="F21" s="79">
        <f t="shared" si="0"/>
        <v>0</v>
      </c>
      <c r="G21" s="69">
        <f t="shared" ref="G21:G30" si="1">D21-E21</f>
        <v>-96.82</v>
      </c>
    </row>
    <row r="22" spans="1:9" s="80" customFormat="1" ht="14.25" x14ac:dyDescent="0.2">
      <c r="A22" s="78" t="s">
        <v>27</v>
      </c>
      <c r="B22" s="78" t="s">
        <v>28</v>
      </c>
      <c r="C22" s="87">
        <v>0</v>
      </c>
      <c r="D22" s="79">
        <v>0</v>
      </c>
      <c r="E22" s="79">
        <v>0</v>
      </c>
      <c r="F22" s="79">
        <f t="shared" si="0"/>
        <v>0</v>
      </c>
      <c r="G22" s="69">
        <f t="shared" si="1"/>
        <v>0</v>
      </c>
    </row>
    <row r="23" spans="1:9" s="80" customFormat="1" ht="14.25" x14ac:dyDescent="0.2">
      <c r="A23" s="78" t="s">
        <v>29</v>
      </c>
      <c r="B23" s="78" t="s">
        <v>30</v>
      </c>
      <c r="C23" s="126">
        <v>0</v>
      </c>
      <c r="D23" s="79">
        <v>0</v>
      </c>
      <c r="E23" s="79">
        <v>0</v>
      </c>
      <c r="F23" s="79">
        <v>0</v>
      </c>
      <c r="G23" s="69">
        <f t="shared" si="1"/>
        <v>0</v>
      </c>
    </row>
    <row r="24" spans="1:9" s="80" customFormat="1" ht="14.25" x14ac:dyDescent="0.2">
      <c r="A24" s="78" t="s">
        <v>31</v>
      </c>
      <c r="B24" s="78" t="s">
        <v>80</v>
      </c>
      <c r="C24" s="79">
        <v>2.2799999999999998</v>
      </c>
      <c r="D24" s="79">
        <v>79847.320000000007</v>
      </c>
      <c r="E24" s="79">
        <v>79873.240000000005</v>
      </c>
      <c r="F24" s="79">
        <f>F39</f>
        <v>61361.062399999995</v>
      </c>
      <c r="G24" s="69">
        <f t="shared" si="1"/>
        <v>-25.919999999998254</v>
      </c>
    </row>
    <row r="25" spans="1:9" s="88" customFormat="1" ht="26.25" customHeight="1" x14ac:dyDescent="0.2">
      <c r="A25" s="39" t="s">
        <v>33</v>
      </c>
      <c r="B25" s="39" t="s">
        <v>97</v>
      </c>
      <c r="C25" s="82">
        <v>0</v>
      </c>
      <c r="D25" s="69">
        <v>0</v>
      </c>
      <c r="E25" s="69">
        <v>0</v>
      </c>
      <c r="F25" s="79">
        <v>0</v>
      </c>
      <c r="G25" s="69">
        <f t="shared" si="1"/>
        <v>0</v>
      </c>
    </row>
    <row r="26" spans="1:9" s="88" customFormat="1" ht="14.25" x14ac:dyDescent="0.2">
      <c r="A26" s="39" t="s">
        <v>35</v>
      </c>
      <c r="B26" s="39" t="s">
        <v>36</v>
      </c>
      <c r="C26" s="69"/>
      <c r="D26" s="69">
        <f>SUM(D27:D30)</f>
        <v>1181470.77</v>
      </c>
      <c r="E26" s="69">
        <f>SUM(E27:E30)</f>
        <v>1200912.55</v>
      </c>
      <c r="F26" s="69">
        <f>SUM(F27:F30)</f>
        <v>1181470.77</v>
      </c>
      <c r="G26" s="69">
        <f t="shared" si="1"/>
        <v>-19441.780000000028</v>
      </c>
    </row>
    <row r="27" spans="1:9" ht="15" x14ac:dyDescent="0.25">
      <c r="A27" s="34" t="s">
        <v>37</v>
      </c>
      <c r="B27" s="34" t="s">
        <v>101</v>
      </c>
      <c r="C27" s="89">
        <v>7.36</v>
      </c>
      <c r="D27" s="76">
        <v>11975.49</v>
      </c>
      <c r="E27" s="76">
        <v>12245.31</v>
      </c>
      <c r="F27" s="76">
        <f>D27</f>
        <v>11975.49</v>
      </c>
      <c r="G27" s="76">
        <f t="shared" si="1"/>
        <v>-269.81999999999971</v>
      </c>
    </row>
    <row r="28" spans="1:9" ht="15" x14ac:dyDescent="0.25">
      <c r="A28" s="34" t="s">
        <v>39</v>
      </c>
      <c r="B28" s="34" t="s">
        <v>84</v>
      </c>
      <c r="C28" s="89">
        <v>88.38</v>
      </c>
      <c r="D28" s="76">
        <v>461299.39</v>
      </c>
      <c r="E28" s="76">
        <v>468215.99</v>
      </c>
      <c r="F28" s="76">
        <f>D28</f>
        <v>461299.39</v>
      </c>
      <c r="G28" s="76">
        <f t="shared" si="1"/>
        <v>-6916.5999999999767</v>
      </c>
    </row>
    <row r="29" spans="1:9" ht="15" x14ac:dyDescent="0.25">
      <c r="A29" s="34" t="s">
        <v>42</v>
      </c>
      <c r="B29" s="34" t="s">
        <v>135</v>
      </c>
      <c r="C29" s="128">
        <v>0</v>
      </c>
      <c r="D29" s="76">
        <v>0</v>
      </c>
      <c r="E29" s="76">
        <v>0</v>
      </c>
      <c r="F29" s="76">
        <f>D29</f>
        <v>0</v>
      </c>
      <c r="G29" s="76">
        <f t="shared" si="1"/>
        <v>0</v>
      </c>
    </row>
    <row r="30" spans="1:9" ht="15" x14ac:dyDescent="0.25">
      <c r="A30" s="34" t="s">
        <v>41</v>
      </c>
      <c r="B30" s="34" t="s">
        <v>43</v>
      </c>
      <c r="C30" s="89">
        <v>3352.42</v>
      </c>
      <c r="D30" s="76">
        <v>708195.89</v>
      </c>
      <c r="E30" s="76">
        <v>720451.25</v>
      </c>
      <c r="F30" s="76">
        <f>D30</f>
        <v>708195.89</v>
      </c>
      <c r="G30" s="76">
        <f t="shared" si="1"/>
        <v>-12255.359999999986</v>
      </c>
    </row>
    <row r="31" spans="1:9" s="92" customFormat="1" ht="14.25" customHeight="1" thickBot="1" x14ac:dyDescent="0.3">
      <c r="A31" s="373"/>
      <c r="B31" s="374"/>
      <c r="C31" s="374"/>
      <c r="D31" s="375"/>
      <c r="E31" s="375"/>
      <c r="F31" s="375"/>
      <c r="G31" s="91"/>
      <c r="H31" s="91"/>
      <c r="I31" s="91"/>
    </row>
    <row r="32" spans="1:9" s="59" customFormat="1" ht="15.75" thickBot="1" x14ac:dyDescent="0.3">
      <c r="A32" s="387" t="s">
        <v>427</v>
      </c>
      <c r="B32" s="388"/>
      <c r="C32" s="388"/>
      <c r="D32" s="57">
        <v>-23178.49</v>
      </c>
      <c r="E32" s="58"/>
      <c r="F32" s="58"/>
      <c r="G32" s="58"/>
      <c r="H32" s="54"/>
      <c r="I32" s="54"/>
    </row>
    <row r="33" spans="1:10" s="59" customFormat="1" ht="6" customHeight="1" thickBot="1" x14ac:dyDescent="0.3">
      <c r="A33" s="60"/>
      <c r="B33" s="60"/>
      <c r="C33" s="60"/>
      <c r="D33" s="38"/>
      <c r="E33" s="58"/>
      <c r="F33" s="58"/>
      <c r="G33" s="58"/>
      <c r="H33" s="54"/>
      <c r="I33" s="54"/>
    </row>
    <row r="34" spans="1:10" s="59" customFormat="1" ht="15.75" thickBot="1" x14ac:dyDescent="0.3">
      <c r="A34" s="55" t="s">
        <v>428</v>
      </c>
      <c r="B34" s="56"/>
      <c r="C34" s="56"/>
      <c r="D34" s="61"/>
      <c r="E34" s="62"/>
      <c r="F34" s="62"/>
      <c r="G34" s="129">
        <f>G13+E24-F24</f>
        <v>-280425.30370000005</v>
      </c>
      <c r="H34" s="54"/>
      <c r="I34" s="54"/>
    </row>
    <row r="35" spans="1:10" s="92" customFormat="1" ht="9.75" customHeight="1" x14ac:dyDescent="0.25">
      <c r="A35" s="93"/>
      <c r="B35" s="93"/>
      <c r="C35" s="93"/>
      <c r="D35" s="93"/>
      <c r="E35" s="91"/>
      <c r="F35" s="91"/>
      <c r="G35" s="91"/>
      <c r="H35" s="91"/>
      <c r="I35" s="91"/>
    </row>
    <row r="36" spans="1:10" ht="23.25" customHeight="1" x14ac:dyDescent="0.25">
      <c r="A36" s="371" t="s">
        <v>44</v>
      </c>
      <c r="B36" s="422"/>
      <c r="C36" s="422"/>
      <c r="D36" s="422"/>
      <c r="E36" s="422"/>
      <c r="F36" s="422"/>
      <c r="G36" s="422"/>
      <c r="H36" s="50"/>
      <c r="I36" s="50"/>
    </row>
    <row r="38" spans="1:10" s="66" customFormat="1" ht="37.5" customHeight="1" x14ac:dyDescent="0.2">
      <c r="A38" s="94" t="s">
        <v>11</v>
      </c>
      <c r="B38" s="416" t="s">
        <v>45</v>
      </c>
      <c r="C38" s="425"/>
      <c r="D38" s="94" t="s">
        <v>99</v>
      </c>
      <c r="E38" s="94" t="s">
        <v>98</v>
      </c>
      <c r="F38" s="550" t="s">
        <v>46</v>
      </c>
      <c r="G38" s="550"/>
      <c r="H38" s="95"/>
      <c r="I38" s="96"/>
      <c r="J38" s="97"/>
    </row>
    <row r="39" spans="1:10" s="103" customFormat="1" ht="15" x14ac:dyDescent="0.25">
      <c r="A39" s="98" t="s">
        <v>47</v>
      </c>
      <c r="B39" s="418" t="s">
        <v>75</v>
      </c>
      <c r="C39" s="430"/>
      <c r="D39" s="99"/>
      <c r="E39" s="99"/>
      <c r="F39" s="548">
        <f>SUM(F40:F45)</f>
        <v>61361.062399999995</v>
      </c>
      <c r="G39" s="549"/>
      <c r="H39" s="101"/>
      <c r="I39" s="102"/>
      <c r="J39" s="104"/>
    </row>
    <row r="40" spans="1:10" s="51" customFormat="1" ht="15" x14ac:dyDescent="0.25">
      <c r="A40" s="34" t="s">
        <v>16</v>
      </c>
      <c r="B40" s="458" t="s">
        <v>108</v>
      </c>
      <c r="C40" s="459"/>
      <c r="D40" s="173"/>
      <c r="E40" s="173"/>
      <c r="F40" s="450">
        <f>E24*1%</f>
        <v>798.7324000000001</v>
      </c>
      <c r="G40" s="450"/>
    </row>
    <row r="41" spans="1:10" s="51" customFormat="1" ht="15" x14ac:dyDescent="0.25">
      <c r="A41" s="34" t="s">
        <v>18</v>
      </c>
      <c r="B41" s="406" t="s">
        <v>453</v>
      </c>
      <c r="C41" s="407"/>
      <c r="D41" s="173" t="s">
        <v>100</v>
      </c>
      <c r="E41" s="173">
        <v>2</v>
      </c>
      <c r="F41" s="435">
        <v>24493.81</v>
      </c>
      <c r="G41" s="435"/>
    </row>
    <row r="42" spans="1:10" s="51" customFormat="1" ht="15" x14ac:dyDescent="0.25">
      <c r="A42" s="34" t="s">
        <v>20</v>
      </c>
      <c r="B42" s="406" t="s">
        <v>528</v>
      </c>
      <c r="C42" s="407"/>
      <c r="D42" s="173" t="s">
        <v>103</v>
      </c>
      <c r="E42" s="354">
        <v>0.183</v>
      </c>
      <c r="F42" s="435">
        <v>36068.519999999997</v>
      </c>
      <c r="G42" s="435"/>
    </row>
    <row r="43" spans="1:10" s="51" customFormat="1" ht="15" x14ac:dyDescent="0.25">
      <c r="A43" s="34" t="s">
        <v>22</v>
      </c>
      <c r="B43" s="412"/>
      <c r="C43" s="413"/>
      <c r="D43" s="268"/>
      <c r="E43" s="268"/>
      <c r="F43" s="463"/>
      <c r="G43" s="463"/>
    </row>
    <row r="44" spans="1:10" s="51" customFormat="1" ht="15" x14ac:dyDescent="0.25">
      <c r="A44" s="34" t="s">
        <v>24</v>
      </c>
      <c r="B44" s="412"/>
      <c r="C44" s="413"/>
      <c r="D44" s="260"/>
      <c r="E44" s="260"/>
      <c r="F44" s="463"/>
      <c r="G44" s="463"/>
    </row>
    <row r="45" spans="1:10" s="51" customFormat="1" ht="15" x14ac:dyDescent="0.25">
      <c r="A45" s="34" t="s">
        <v>73</v>
      </c>
      <c r="B45" s="458"/>
      <c r="C45" s="459"/>
      <c r="D45" s="268"/>
      <c r="E45" s="268"/>
      <c r="F45" s="453"/>
      <c r="G45" s="453"/>
    </row>
    <row r="46" spans="1:10" s="51" customFormat="1" x14ac:dyDescent="0.2"/>
    <row r="47" spans="1:10" s="59" customFormat="1" ht="15" x14ac:dyDescent="0.25">
      <c r="A47" s="51" t="s">
        <v>372</v>
      </c>
      <c r="C47" s="110" t="s">
        <v>49</v>
      </c>
      <c r="F47" s="59" t="s">
        <v>60</v>
      </c>
    </row>
    <row r="48" spans="1:10" s="51" customFormat="1" ht="15" x14ac:dyDescent="0.25">
      <c r="A48" s="59"/>
      <c r="B48" s="59"/>
      <c r="C48" s="110"/>
      <c r="D48" s="59"/>
      <c r="E48" s="59"/>
      <c r="F48" s="111" t="s">
        <v>438</v>
      </c>
      <c r="G48" s="59"/>
    </row>
    <row r="49" spans="1:9" s="51" customFormat="1" ht="15" x14ac:dyDescent="0.25">
      <c r="A49" s="59" t="s">
        <v>50</v>
      </c>
      <c r="B49" s="59"/>
      <c r="C49" s="110"/>
      <c r="D49" s="59"/>
      <c r="E49" s="59"/>
      <c r="F49" s="59"/>
      <c r="G49" s="59"/>
      <c r="H49" s="141"/>
      <c r="I49" s="141"/>
    </row>
    <row r="50" spans="1:9" s="51" customFormat="1" ht="15" x14ac:dyDescent="0.25">
      <c r="A50" s="59"/>
      <c r="B50" s="59"/>
      <c r="C50" s="112" t="s">
        <v>51</v>
      </c>
      <c r="D50" s="59"/>
      <c r="E50" s="113"/>
      <c r="F50" s="113"/>
      <c r="G50" s="113"/>
    </row>
    <row r="51" spans="1:9" s="51" customFormat="1" x14ac:dyDescent="0.2"/>
  </sheetData>
  <mergeCells count="26">
    <mergeCell ref="A2:J2"/>
    <mergeCell ref="A10:I10"/>
    <mergeCell ref="F45:G45"/>
    <mergeCell ref="B44:C44"/>
    <mergeCell ref="B45:C45"/>
    <mergeCell ref="B40:C40"/>
    <mergeCell ref="B38:C38"/>
    <mergeCell ref="B39:C39"/>
    <mergeCell ref="F39:G39"/>
    <mergeCell ref="F40:G40"/>
    <mergeCell ref="A3:K3"/>
    <mergeCell ref="A1:I1"/>
    <mergeCell ref="A5:I5"/>
    <mergeCell ref="A9:I9"/>
    <mergeCell ref="F44:G44"/>
    <mergeCell ref="A11:I11"/>
    <mergeCell ref="A32:C32"/>
    <mergeCell ref="A36:G36"/>
    <mergeCell ref="A31:F31"/>
    <mergeCell ref="F38:G38"/>
    <mergeCell ref="B41:C41"/>
    <mergeCell ref="B42:C42"/>
    <mergeCell ref="B43:C43"/>
    <mergeCell ref="F41:G41"/>
    <mergeCell ref="F42:G42"/>
    <mergeCell ref="F43:G43"/>
  </mergeCells>
  <pageMargins left="0.7" right="0.7" top="0.75" bottom="0.75" header="0.3" footer="0.3"/>
  <pageSetup paperSize="9" orientation="portrait" verticalDpi="200" r:id="rId1"/>
  <drawing r:id="rId2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737E2B-76A3-4F49-9FFE-9C5B5302E2C9}">
  <sheetPr>
    <tabColor rgb="FF7030A0"/>
  </sheetPr>
  <dimension ref="A1:P54"/>
  <sheetViews>
    <sheetView topLeftCell="A33" workbookViewId="0">
      <selection activeCell="A57" sqref="A57:IV58"/>
    </sheetView>
  </sheetViews>
  <sheetFormatPr defaultRowHeight="12.75" outlineLevelRow="1" outlineLevelCol="1" x14ac:dyDescent="0.2"/>
  <cols>
    <col min="1" max="1" width="4.85546875" style="49" customWidth="1"/>
    <col min="2" max="2" width="48.5703125" style="49" customWidth="1"/>
    <col min="3" max="3" width="15.85546875" style="49" customWidth="1"/>
    <col min="4" max="4" width="14.85546875" style="49" customWidth="1"/>
    <col min="5" max="5" width="13.42578125" style="49" customWidth="1"/>
    <col min="6" max="6" width="13.140625" style="49" customWidth="1"/>
    <col min="7" max="7" width="14.5703125" style="49" customWidth="1"/>
    <col min="8" max="9" width="11.5703125" style="49" hidden="1" customWidth="1" outlineLevel="1"/>
    <col min="10" max="10" width="10.140625" style="49" hidden="1" customWidth="1" outlineLevel="1"/>
    <col min="11" max="11" width="10.42578125" style="49" hidden="1" customWidth="1" outlineLevel="1"/>
    <col min="12" max="13" width="9.140625" style="49" hidden="1" customWidth="1" outlineLevel="1"/>
    <col min="14" max="14" width="10.42578125" style="49" bestFit="1" customWidth="1" collapsed="1"/>
    <col min="15" max="15" width="10" style="49" bestFit="1" customWidth="1"/>
    <col min="16" max="16" width="15.85546875" style="49" customWidth="1"/>
    <col min="17" max="16384" width="9.140625" style="49"/>
  </cols>
  <sheetData>
    <row r="1" spans="1:16" x14ac:dyDescent="0.2">
      <c r="A1" s="370" t="s">
        <v>0</v>
      </c>
      <c r="B1" s="370"/>
      <c r="C1" s="370"/>
      <c r="D1" s="370"/>
      <c r="E1" s="370"/>
      <c r="F1" s="370"/>
      <c r="G1" s="370"/>
      <c r="H1" s="370"/>
      <c r="I1" s="370"/>
      <c r="J1" s="370"/>
      <c r="K1" s="370"/>
    </row>
    <row r="2" spans="1:16" x14ac:dyDescent="0.2">
      <c r="A2" s="370" t="s">
        <v>279</v>
      </c>
      <c r="B2" s="370"/>
      <c r="C2" s="370"/>
      <c r="D2" s="370"/>
      <c r="E2" s="370"/>
      <c r="F2" s="370"/>
      <c r="G2" s="370"/>
      <c r="H2" s="370"/>
      <c r="I2" s="370"/>
      <c r="J2" s="370"/>
      <c r="K2" s="370"/>
    </row>
    <row r="3" spans="1:16" ht="13.5" customHeight="1" x14ac:dyDescent="0.2">
      <c r="A3" s="370" t="s">
        <v>426</v>
      </c>
      <c r="B3" s="370"/>
      <c r="C3" s="370"/>
      <c r="D3" s="370"/>
      <c r="E3" s="370"/>
      <c r="F3" s="370"/>
      <c r="G3" s="370"/>
      <c r="H3" s="370"/>
      <c r="I3" s="370"/>
      <c r="J3" s="370"/>
      <c r="K3" s="370"/>
    </row>
    <row r="4" spans="1:16" ht="9" customHeight="1" x14ac:dyDescent="0.2">
      <c r="A4" s="48"/>
      <c r="B4" s="48"/>
      <c r="C4" s="48"/>
      <c r="D4" s="48"/>
      <c r="E4" s="48"/>
      <c r="F4" s="48"/>
      <c r="G4" s="48"/>
      <c r="H4" s="48"/>
      <c r="I4" s="48"/>
      <c r="J4" s="48"/>
      <c r="K4" s="48"/>
    </row>
    <row r="5" spans="1:16" ht="16.5" customHeight="1" x14ac:dyDescent="0.2">
      <c r="A5" s="371" t="s">
        <v>1</v>
      </c>
      <c r="B5" s="370"/>
      <c r="C5" s="370"/>
      <c r="D5" s="370"/>
      <c r="E5" s="370"/>
      <c r="F5" s="370"/>
      <c r="G5" s="370"/>
      <c r="H5" s="370"/>
      <c r="I5" s="370"/>
      <c r="J5" s="370"/>
      <c r="K5" s="370"/>
    </row>
    <row r="7" spans="1:16" s="51" customFormat="1" ht="16.5" customHeight="1" x14ac:dyDescent="0.2">
      <c r="A7" s="51" t="s">
        <v>2</v>
      </c>
      <c r="F7" s="52" t="s">
        <v>278</v>
      </c>
      <c r="H7" s="52"/>
      <c r="L7" s="214"/>
    </row>
    <row r="8" spans="1:16" s="51" customFormat="1" x14ac:dyDescent="0.2">
      <c r="A8" s="51" t="s">
        <v>3</v>
      </c>
      <c r="F8" s="242" t="s">
        <v>280</v>
      </c>
      <c r="H8" s="52"/>
      <c r="J8" s="53">
        <v>0</v>
      </c>
      <c r="K8" s="51">
        <v>3070.1</v>
      </c>
      <c r="L8" s="276">
        <f>J8+K8</f>
        <v>3070.1</v>
      </c>
    </row>
    <row r="9" spans="1:16" s="51" customFormat="1" x14ac:dyDescent="0.2">
      <c r="A9" s="372" t="s">
        <v>8</v>
      </c>
      <c r="B9" s="372"/>
      <c r="C9" s="372"/>
      <c r="D9" s="372"/>
      <c r="E9" s="372"/>
      <c r="F9" s="372"/>
      <c r="G9" s="372"/>
      <c r="H9" s="372"/>
      <c r="I9" s="372"/>
      <c r="J9" s="372"/>
      <c r="K9" s="372"/>
    </row>
    <row r="10" spans="1:16" s="51" customFormat="1" x14ac:dyDescent="0.2">
      <c r="A10" s="372" t="s">
        <v>9</v>
      </c>
      <c r="B10" s="372"/>
      <c r="C10" s="372"/>
      <c r="D10" s="372"/>
      <c r="E10" s="372"/>
      <c r="F10" s="372"/>
      <c r="G10" s="372"/>
      <c r="H10" s="372"/>
      <c r="I10" s="372"/>
      <c r="J10" s="372"/>
      <c r="K10" s="372"/>
    </row>
    <row r="11" spans="1:16" s="51" customFormat="1" ht="13.5" thickBot="1" x14ac:dyDescent="0.25">
      <c r="A11" s="372" t="s">
        <v>10</v>
      </c>
      <c r="B11" s="372"/>
      <c r="C11" s="372"/>
      <c r="D11" s="372"/>
      <c r="E11" s="372"/>
      <c r="F11" s="372"/>
      <c r="G11" s="372"/>
      <c r="H11" s="372"/>
      <c r="I11" s="372"/>
      <c r="J11" s="372"/>
      <c r="K11" s="372"/>
    </row>
    <row r="12" spans="1:16" s="59" customFormat="1" ht="21.75" customHeight="1" thickBot="1" x14ac:dyDescent="0.3">
      <c r="A12" s="55" t="s">
        <v>384</v>
      </c>
      <c r="B12" s="56"/>
      <c r="C12" s="56"/>
      <c r="D12" s="61"/>
      <c r="E12" s="62"/>
      <c r="F12" s="62"/>
      <c r="G12" s="57">
        <f>'[1]Рылеева 3'!$G$36</f>
        <v>98062.79</v>
      </c>
      <c r="H12" s="54"/>
      <c r="I12" s="54"/>
    </row>
    <row r="13" spans="1:16" s="59" customFormat="1" ht="15.75" thickBot="1" x14ac:dyDescent="0.3">
      <c r="A13" s="55" t="s">
        <v>381</v>
      </c>
      <c r="B13" s="56"/>
      <c r="C13" s="56"/>
      <c r="D13" s="61"/>
      <c r="E13" s="62"/>
      <c r="F13" s="62"/>
      <c r="G13" s="57">
        <f>'[1]Рылеева 3'!$G$37</f>
        <v>-418244.20889999997</v>
      </c>
      <c r="H13" s="54"/>
      <c r="I13" s="54"/>
    </row>
    <row r="14" spans="1:16" s="51" customFormat="1" ht="6.75" customHeight="1" x14ac:dyDescent="0.2"/>
    <row r="15" spans="1:16" s="66" customFormat="1" ht="38.25" x14ac:dyDescent="0.25">
      <c r="A15" s="64" t="s">
        <v>11</v>
      </c>
      <c r="B15" s="64" t="s">
        <v>12</v>
      </c>
      <c r="C15" s="64" t="s">
        <v>61</v>
      </c>
      <c r="D15" s="64" t="s">
        <v>432</v>
      </c>
      <c r="E15" s="64" t="s">
        <v>433</v>
      </c>
      <c r="F15" s="65" t="s">
        <v>434</v>
      </c>
      <c r="G15" s="64" t="s">
        <v>435</v>
      </c>
    </row>
    <row r="16" spans="1:16" s="71" customFormat="1" ht="14.25" x14ac:dyDescent="0.2">
      <c r="A16" s="67" t="s">
        <v>14</v>
      </c>
      <c r="B16" s="39" t="s">
        <v>379</v>
      </c>
      <c r="C16" s="120">
        <v>23.85</v>
      </c>
      <c r="D16" s="68">
        <v>878665.68</v>
      </c>
      <c r="E16" s="68">
        <v>804662.71</v>
      </c>
      <c r="F16" s="68">
        <f>D16</f>
        <v>878665.68</v>
      </c>
      <c r="G16" s="69">
        <f>D16-E16</f>
        <v>74002.970000000088</v>
      </c>
      <c r="H16" s="70">
        <f>C16</f>
        <v>23.85</v>
      </c>
      <c r="O16" s="121"/>
      <c r="P16" s="122"/>
    </row>
    <row r="17" spans="1:14" s="51" customFormat="1" ht="15" hidden="1" outlineLevel="1" x14ac:dyDescent="0.25">
      <c r="A17" s="73" t="s">
        <v>16</v>
      </c>
      <c r="B17" s="34" t="s">
        <v>17</v>
      </c>
      <c r="C17" s="89">
        <v>3.46</v>
      </c>
      <c r="D17" s="75">
        <f>D16*I17</f>
        <v>127470.9959245283</v>
      </c>
      <c r="E17" s="75">
        <f>E16*I17</f>
        <v>116735.13528721173</v>
      </c>
      <c r="F17" s="75">
        <f>D17</f>
        <v>127470.9959245283</v>
      </c>
      <c r="G17" s="76">
        <f>D17-E17</f>
        <v>10735.860637316568</v>
      </c>
      <c r="H17" s="70">
        <f>C17</f>
        <v>3.46</v>
      </c>
      <c r="I17" s="51">
        <f>H17/H16</f>
        <v>0.14507337526205449</v>
      </c>
    </row>
    <row r="18" spans="1:14" s="51" customFormat="1" ht="15" hidden="1" outlineLevel="1" x14ac:dyDescent="0.25">
      <c r="A18" s="73" t="s">
        <v>18</v>
      </c>
      <c r="B18" s="34" t="s">
        <v>19</v>
      </c>
      <c r="C18" s="89">
        <v>1.69</v>
      </c>
      <c r="D18" s="75">
        <f>D16*I18</f>
        <v>62261.844830188675</v>
      </c>
      <c r="E18" s="75">
        <f>E16*I18</f>
        <v>57018.028507337513</v>
      </c>
      <c r="F18" s="75">
        <f>D18</f>
        <v>62261.844830188675</v>
      </c>
      <c r="G18" s="76">
        <f>D18-E18</f>
        <v>5243.8163228511621</v>
      </c>
      <c r="H18" s="70">
        <f>C18</f>
        <v>1.69</v>
      </c>
      <c r="I18" s="51">
        <f>H18/H16</f>
        <v>7.0859538784067075E-2</v>
      </c>
    </row>
    <row r="19" spans="1:14" s="51" customFormat="1" ht="15" hidden="1" outlineLevel="1" x14ac:dyDescent="0.25">
      <c r="A19" s="73" t="s">
        <v>20</v>
      </c>
      <c r="B19" s="34" t="s">
        <v>21</v>
      </c>
      <c r="C19" s="89">
        <v>2.15</v>
      </c>
      <c r="D19" s="75">
        <f>D16*I19</f>
        <v>79208.855849056592</v>
      </c>
      <c r="E19" s="75">
        <f>E16*I19</f>
        <v>72537.728574423469</v>
      </c>
      <c r="F19" s="75">
        <f>D19</f>
        <v>79208.855849056592</v>
      </c>
      <c r="G19" s="76">
        <f>D19-E19</f>
        <v>6671.1272746331233</v>
      </c>
      <c r="H19" s="70">
        <f>C19</f>
        <v>2.15</v>
      </c>
      <c r="I19" s="51">
        <f>H19/H16</f>
        <v>9.0146750524109004E-2</v>
      </c>
    </row>
    <row r="20" spans="1:14" s="51" customFormat="1" ht="15" hidden="1" outlineLevel="1" x14ac:dyDescent="0.25">
      <c r="A20" s="73" t="s">
        <v>22</v>
      </c>
      <c r="B20" s="34" t="s">
        <v>23</v>
      </c>
      <c r="C20" s="89">
        <v>3.04</v>
      </c>
      <c r="D20" s="75">
        <f>D16*I20</f>
        <v>111997.63803773584</v>
      </c>
      <c r="E20" s="75">
        <f>E16*I20</f>
        <v>102564.97435639412</v>
      </c>
      <c r="F20" s="75">
        <f>D20</f>
        <v>111997.63803773584</v>
      </c>
      <c r="G20" s="76">
        <f>D20-E20</f>
        <v>9432.6636813417281</v>
      </c>
      <c r="H20" s="70">
        <f>C20</f>
        <v>3.04</v>
      </c>
      <c r="I20" s="51">
        <f>H20/H16</f>
        <v>0.12746331236897274</v>
      </c>
    </row>
    <row r="21" spans="1:14" s="80" customFormat="1" ht="14.25" collapsed="1" x14ac:dyDescent="0.2">
      <c r="A21" s="78" t="s">
        <v>25</v>
      </c>
      <c r="B21" s="39" t="s">
        <v>270</v>
      </c>
      <c r="C21" s="46">
        <v>135</v>
      </c>
      <c r="D21" s="79">
        <v>0</v>
      </c>
      <c r="E21" s="79">
        <v>2402.6999999999998</v>
      </c>
      <c r="F21" s="79">
        <v>0</v>
      </c>
      <c r="G21" s="69">
        <f t="shared" ref="G21:G31" si="0">D21-E21</f>
        <v>-2402.6999999999998</v>
      </c>
    </row>
    <row r="22" spans="1:14" s="80" customFormat="1" ht="14.25" x14ac:dyDescent="0.2">
      <c r="A22" s="78" t="s">
        <v>27</v>
      </c>
      <c r="B22" s="78" t="s">
        <v>28</v>
      </c>
      <c r="C22" s="87">
        <v>0</v>
      </c>
      <c r="D22" s="79">
        <v>0</v>
      </c>
      <c r="E22" s="79">
        <v>0</v>
      </c>
      <c r="F22" s="79">
        <f>D22</f>
        <v>0</v>
      </c>
      <c r="G22" s="69">
        <f t="shared" si="0"/>
        <v>0</v>
      </c>
    </row>
    <row r="23" spans="1:14" s="80" customFormat="1" ht="14.25" x14ac:dyDescent="0.2">
      <c r="A23" s="78" t="s">
        <v>29</v>
      </c>
      <c r="B23" s="78" t="s">
        <v>26</v>
      </c>
      <c r="C23" s="126">
        <v>0</v>
      </c>
      <c r="D23" s="79">
        <v>0</v>
      </c>
      <c r="E23" s="79">
        <v>0</v>
      </c>
      <c r="F23" s="79">
        <f>D23</f>
        <v>0</v>
      </c>
      <c r="G23" s="69">
        <f t="shared" si="0"/>
        <v>0</v>
      </c>
    </row>
    <row r="24" spans="1:14" s="80" customFormat="1" ht="14.25" x14ac:dyDescent="0.2">
      <c r="A24" s="78" t="s">
        <v>31</v>
      </c>
      <c r="B24" s="78" t="s">
        <v>80</v>
      </c>
      <c r="C24" s="79">
        <v>2.36</v>
      </c>
      <c r="D24" s="79">
        <v>86944.8</v>
      </c>
      <c r="E24" s="79">
        <v>79068.639999999999</v>
      </c>
      <c r="F24" s="79">
        <f>F42-F23</f>
        <v>86037.906399999993</v>
      </c>
      <c r="G24" s="69">
        <f t="shared" si="0"/>
        <v>7876.1600000000035</v>
      </c>
    </row>
    <row r="25" spans="1:14" s="88" customFormat="1" ht="14.25" x14ac:dyDescent="0.2">
      <c r="A25" s="39" t="s">
        <v>33</v>
      </c>
      <c r="B25" s="39" t="s">
        <v>97</v>
      </c>
      <c r="C25" s="82">
        <v>0</v>
      </c>
      <c r="D25" s="69">
        <v>0</v>
      </c>
      <c r="E25" s="69">
        <v>0</v>
      </c>
      <c r="F25" s="79">
        <v>0</v>
      </c>
      <c r="G25" s="69">
        <f t="shared" si="0"/>
        <v>0</v>
      </c>
    </row>
    <row r="26" spans="1:14" s="88" customFormat="1" ht="14.25" x14ac:dyDescent="0.2">
      <c r="A26" s="39" t="s">
        <v>35</v>
      </c>
      <c r="B26" s="39" t="s">
        <v>36</v>
      </c>
      <c r="C26" s="69"/>
      <c r="D26" s="69">
        <f>SUM(D27:D30)</f>
        <v>3077909.54</v>
      </c>
      <c r="E26" s="69">
        <f>SUM(E27:E30)</f>
        <v>2764814.0300000003</v>
      </c>
      <c r="F26" s="69">
        <f>SUM(F27:F30)</f>
        <v>3077909.54</v>
      </c>
      <c r="G26" s="69">
        <f t="shared" si="0"/>
        <v>313095.50999999978</v>
      </c>
      <c r="N26" s="323"/>
    </row>
    <row r="27" spans="1:14" ht="15" x14ac:dyDescent="0.25">
      <c r="A27" s="34" t="s">
        <v>37</v>
      </c>
      <c r="B27" s="34" t="s">
        <v>101</v>
      </c>
      <c r="C27" s="89">
        <v>7.36</v>
      </c>
      <c r="D27" s="76">
        <v>27631.51</v>
      </c>
      <c r="E27" s="76">
        <v>25189.77</v>
      </c>
      <c r="F27" s="76">
        <f>D27</f>
        <v>27631.51</v>
      </c>
      <c r="G27" s="76">
        <f t="shared" si="0"/>
        <v>2441.739999999998</v>
      </c>
    </row>
    <row r="28" spans="1:14" ht="15" x14ac:dyDescent="0.25">
      <c r="A28" s="34" t="s">
        <v>39</v>
      </c>
      <c r="B28" s="34" t="s">
        <v>84</v>
      </c>
      <c r="C28" s="89">
        <v>88.38</v>
      </c>
      <c r="D28" s="76">
        <v>659966.64</v>
      </c>
      <c r="E28" s="76">
        <v>569091.76</v>
      </c>
      <c r="F28" s="76">
        <f>D28</f>
        <v>659966.64</v>
      </c>
      <c r="G28" s="76">
        <f t="shared" si="0"/>
        <v>90874.880000000005</v>
      </c>
    </row>
    <row r="29" spans="1:14" ht="15" x14ac:dyDescent="0.25">
      <c r="A29" s="34" t="s">
        <v>42</v>
      </c>
      <c r="B29" s="34" t="s">
        <v>135</v>
      </c>
      <c r="C29" s="128">
        <v>278.94</v>
      </c>
      <c r="D29" s="76">
        <v>793546.32</v>
      </c>
      <c r="E29" s="76">
        <v>715640.22</v>
      </c>
      <c r="F29" s="76">
        <f>D29</f>
        <v>793546.32</v>
      </c>
      <c r="G29" s="76">
        <f t="shared" si="0"/>
        <v>77906.099999999977</v>
      </c>
    </row>
    <row r="30" spans="1:14" ht="15" x14ac:dyDescent="0.25">
      <c r="A30" s="34" t="s">
        <v>41</v>
      </c>
      <c r="B30" s="34" t="s">
        <v>43</v>
      </c>
      <c r="C30" s="89">
        <v>3352.42</v>
      </c>
      <c r="D30" s="76">
        <v>1596765.07</v>
      </c>
      <c r="E30" s="76">
        <v>1454892.28</v>
      </c>
      <c r="F30" s="76">
        <f>D30</f>
        <v>1596765.07</v>
      </c>
      <c r="G30" s="76">
        <f t="shared" si="0"/>
        <v>141872.79000000004</v>
      </c>
    </row>
    <row r="31" spans="1:14" ht="14.25" hidden="1" outlineLevel="1" x14ac:dyDescent="0.2">
      <c r="A31" s="286" t="s">
        <v>112</v>
      </c>
      <c r="B31" s="300" t="s">
        <v>140</v>
      </c>
      <c r="C31" s="298"/>
      <c r="D31" s="248">
        <v>1800</v>
      </c>
      <c r="E31" s="248">
        <v>1800</v>
      </c>
      <c r="F31" s="248">
        <v>0</v>
      </c>
      <c r="G31" s="248">
        <f t="shared" si="0"/>
        <v>0</v>
      </c>
    </row>
    <row r="32" spans="1:14" ht="15" hidden="1" outlineLevel="1" x14ac:dyDescent="0.25">
      <c r="A32" s="153"/>
      <c r="B32" s="301"/>
      <c r="C32" s="376" t="s">
        <v>246</v>
      </c>
      <c r="D32" s="377"/>
      <c r="E32" s="377"/>
      <c r="F32" s="377"/>
      <c r="G32" s="82">
        <f>E31-(E31*15%)</f>
        <v>1530</v>
      </c>
    </row>
    <row r="33" spans="1:14" s="92" customFormat="1" ht="20.25" customHeight="1" collapsed="1" thickBot="1" x14ac:dyDescent="0.3">
      <c r="A33" s="373"/>
      <c r="B33" s="374"/>
      <c r="C33" s="374"/>
      <c r="D33" s="375"/>
      <c r="E33" s="375"/>
      <c r="F33" s="375"/>
      <c r="G33" s="91"/>
      <c r="H33" s="91"/>
      <c r="I33" s="91"/>
    </row>
    <row r="34" spans="1:14" s="59" customFormat="1" ht="15.75" thickBot="1" x14ac:dyDescent="0.3">
      <c r="A34" s="387" t="s">
        <v>427</v>
      </c>
      <c r="B34" s="388"/>
      <c r="C34" s="388"/>
      <c r="D34" s="57">
        <v>392571.94</v>
      </c>
      <c r="E34" s="58"/>
      <c r="F34" s="58"/>
      <c r="G34" s="58"/>
      <c r="H34" s="54"/>
      <c r="I34" s="54"/>
    </row>
    <row r="35" spans="1:14" s="59" customFormat="1" ht="6" customHeight="1" thickBot="1" x14ac:dyDescent="0.3">
      <c r="A35" s="60"/>
      <c r="B35" s="60"/>
      <c r="C35" s="60"/>
      <c r="D35" s="38"/>
      <c r="E35" s="58"/>
      <c r="F35" s="58"/>
      <c r="G35" s="58"/>
      <c r="H35" s="54"/>
      <c r="I35" s="54"/>
    </row>
    <row r="36" spans="1:14" s="59" customFormat="1" ht="21.75" customHeight="1" thickBot="1" x14ac:dyDescent="0.3">
      <c r="A36" s="55" t="s">
        <v>464</v>
      </c>
      <c r="B36" s="56"/>
      <c r="C36" s="56"/>
      <c r="D36" s="61"/>
      <c r="E36" s="62"/>
      <c r="F36" s="62"/>
      <c r="G36" s="129">
        <f>G12</f>
        <v>98062.79</v>
      </c>
      <c r="H36" s="54"/>
      <c r="I36" s="54"/>
    </row>
    <row r="37" spans="1:14" s="59" customFormat="1" ht="15.75" thickBot="1" x14ac:dyDescent="0.3">
      <c r="A37" s="55" t="s">
        <v>428</v>
      </c>
      <c r="B37" s="56"/>
      <c r="C37" s="56"/>
      <c r="D37" s="61"/>
      <c r="E37" s="62"/>
      <c r="F37" s="62"/>
      <c r="G37" s="129">
        <f>G13+E24-F24</f>
        <v>-425213.47529999993</v>
      </c>
      <c r="H37" s="54"/>
      <c r="I37" s="54"/>
    </row>
    <row r="38" spans="1:14" s="92" customFormat="1" ht="9.75" customHeight="1" x14ac:dyDescent="0.25">
      <c r="A38" s="93"/>
      <c r="B38" s="93"/>
      <c r="C38" s="93"/>
      <c r="D38" s="93"/>
      <c r="E38" s="91"/>
      <c r="F38" s="91"/>
      <c r="G38" s="91"/>
      <c r="H38" s="91"/>
      <c r="I38" s="91"/>
      <c r="J38" s="91"/>
      <c r="K38" s="91"/>
      <c r="L38" s="91"/>
      <c r="M38" s="91"/>
    </row>
    <row r="39" spans="1:14" ht="28.5" customHeight="1" x14ac:dyDescent="0.2">
      <c r="A39" s="371" t="s">
        <v>44</v>
      </c>
      <c r="B39" s="371"/>
      <c r="C39" s="371"/>
      <c r="D39" s="371"/>
      <c r="E39" s="371"/>
      <c r="F39" s="371"/>
      <c r="G39" s="371"/>
      <c r="H39" s="371"/>
      <c r="I39" s="371"/>
      <c r="J39" s="371"/>
      <c r="K39" s="371"/>
    </row>
    <row r="41" spans="1:14" s="66" customFormat="1" ht="37.5" customHeight="1" x14ac:dyDescent="0.2">
      <c r="A41" s="94" t="s">
        <v>11</v>
      </c>
      <c r="B41" s="416" t="s">
        <v>45</v>
      </c>
      <c r="C41" s="425"/>
      <c r="D41" s="94" t="s">
        <v>99</v>
      </c>
      <c r="E41" s="94" t="s">
        <v>98</v>
      </c>
      <c r="F41" s="416" t="s">
        <v>46</v>
      </c>
      <c r="G41" s="425"/>
      <c r="H41" s="207"/>
      <c r="I41" s="208"/>
      <c r="N41" s="97"/>
    </row>
    <row r="42" spans="1:14" s="103" customFormat="1" ht="15" x14ac:dyDescent="0.25">
      <c r="A42" s="98" t="s">
        <v>47</v>
      </c>
      <c r="B42" s="418" t="s">
        <v>75</v>
      </c>
      <c r="C42" s="430"/>
      <c r="D42" s="99"/>
      <c r="E42" s="99"/>
      <c r="F42" s="436">
        <f>SUM(F43:G48)</f>
        <v>86037.906399999993</v>
      </c>
      <c r="G42" s="424"/>
      <c r="H42" s="209"/>
      <c r="I42" s="210"/>
      <c r="N42" s="104"/>
    </row>
    <row r="43" spans="1:14" ht="15" x14ac:dyDescent="0.25">
      <c r="A43" s="34" t="s">
        <v>16</v>
      </c>
      <c r="B43" s="406" t="s">
        <v>529</v>
      </c>
      <c r="C43" s="407"/>
      <c r="D43" s="176" t="s">
        <v>100</v>
      </c>
      <c r="E43" s="176">
        <v>2</v>
      </c>
      <c r="F43" s="435">
        <v>12993.11</v>
      </c>
      <c r="G43" s="435"/>
    </row>
    <row r="44" spans="1:14" ht="15" x14ac:dyDescent="0.25">
      <c r="A44" s="34" t="s">
        <v>18</v>
      </c>
      <c r="B44" s="406" t="s">
        <v>530</v>
      </c>
      <c r="C44" s="454"/>
      <c r="D44" s="176" t="s">
        <v>100</v>
      </c>
      <c r="E44" s="176">
        <v>3</v>
      </c>
      <c r="F44" s="435">
        <v>36196.71</v>
      </c>
      <c r="G44" s="435"/>
    </row>
    <row r="45" spans="1:14" ht="15" x14ac:dyDescent="0.25">
      <c r="A45" s="34" t="s">
        <v>20</v>
      </c>
      <c r="B45" s="458" t="s">
        <v>531</v>
      </c>
      <c r="C45" s="488"/>
      <c r="D45" s="318" t="s">
        <v>100</v>
      </c>
      <c r="E45" s="318">
        <v>1</v>
      </c>
      <c r="F45" s="460">
        <v>12246.92</v>
      </c>
      <c r="G45" s="460"/>
    </row>
    <row r="46" spans="1:14" ht="15" x14ac:dyDescent="0.25">
      <c r="A46" s="34" t="s">
        <v>22</v>
      </c>
      <c r="B46" s="458" t="s">
        <v>508</v>
      </c>
      <c r="C46" s="488"/>
      <c r="D46" s="318" t="s">
        <v>100</v>
      </c>
      <c r="E46" s="318">
        <v>6</v>
      </c>
      <c r="F46" s="460">
        <v>15548.22</v>
      </c>
      <c r="G46" s="460"/>
    </row>
    <row r="47" spans="1:14" ht="15" x14ac:dyDescent="0.25">
      <c r="A47" s="34" t="s">
        <v>24</v>
      </c>
      <c r="B47" s="458" t="s">
        <v>532</v>
      </c>
      <c r="C47" s="488"/>
      <c r="D47" s="318" t="s">
        <v>100</v>
      </c>
      <c r="E47" s="318">
        <v>4</v>
      </c>
      <c r="F47" s="460">
        <v>8262.26</v>
      </c>
      <c r="G47" s="460"/>
    </row>
    <row r="48" spans="1:14" s="51" customFormat="1" ht="23.25" customHeight="1" x14ac:dyDescent="0.25">
      <c r="A48" s="34" t="s">
        <v>73</v>
      </c>
      <c r="B48" s="384" t="s">
        <v>108</v>
      </c>
      <c r="C48" s="415"/>
      <c r="D48" s="108"/>
      <c r="E48" s="108"/>
      <c r="F48" s="435">
        <f>E24*1%</f>
        <v>790.68640000000005</v>
      </c>
      <c r="G48" s="435"/>
    </row>
    <row r="49" spans="1:10" s="51" customFormat="1" x14ac:dyDescent="0.2"/>
    <row r="50" spans="1:10" s="59" customFormat="1" ht="15" x14ac:dyDescent="0.25">
      <c r="A50" s="51" t="s">
        <v>372</v>
      </c>
      <c r="C50" s="110" t="s">
        <v>49</v>
      </c>
      <c r="F50" s="59" t="s">
        <v>60</v>
      </c>
    </row>
    <row r="51" spans="1:10" s="51" customFormat="1" ht="15" x14ac:dyDescent="0.25">
      <c r="A51" s="59"/>
      <c r="B51" s="59"/>
      <c r="C51" s="110"/>
      <c r="D51" s="59"/>
      <c r="E51" s="59"/>
      <c r="F51" s="111" t="s">
        <v>438</v>
      </c>
      <c r="G51" s="59"/>
    </row>
    <row r="52" spans="1:10" s="51" customFormat="1" ht="15" x14ac:dyDescent="0.25">
      <c r="A52" s="59" t="s">
        <v>50</v>
      </c>
      <c r="B52" s="59"/>
      <c r="C52" s="110"/>
      <c r="D52" s="59"/>
      <c r="E52" s="59"/>
      <c r="F52" s="59"/>
      <c r="G52" s="59"/>
      <c r="H52" s="141"/>
      <c r="I52" s="141"/>
      <c r="J52" s="141"/>
    </row>
    <row r="53" spans="1:10" s="51" customFormat="1" ht="15" x14ac:dyDescent="0.25">
      <c r="A53" s="59"/>
      <c r="B53" s="59"/>
      <c r="C53" s="112" t="s">
        <v>51</v>
      </c>
      <c r="D53" s="59"/>
      <c r="E53" s="113"/>
      <c r="F53" s="113"/>
      <c r="G53" s="113"/>
    </row>
    <row r="54" spans="1:10" s="51" customFormat="1" x14ac:dyDescent="0.2"/>
  </sheetData>
  <mergeCells count="27">
    <mergeCell ref="B42:C42"/>
    <mergeCell ref="A10:K10"/>
    <mergeCell ref="A1:K1"/>
    <mergeCell ref="A2:K2"/>
    <mergeCell ref="A3:K3"/>
    <mergeCell ref="A5:K5"/>
    <mergeCell ref="A9:K9"/>
    <mergeCell ref="B47:C47"/>
    <mergeCell ref="A11:K11"/>
    <mergeCell ref="A34:C34"/>
    <mergeCell ref="A39:K39"/>
    <mergeCell ref="B41:C41"/>
    <mergeCell ref="F41:G41"/>
    <mergeCell ref="B43:C43"/>
    <mergeCell ref="F43:G43"/>
    <mergeCell ref="A33:F33"/>
    <mergeCell ref="C32:F32"/>
    <mergeCell ref="F47:G47"/>
    <mergeCell ref="B48:C48"/>
    <mergeCell ref="F44:G44"/>
    <mergeCell ref="F45:G45"/>
    <mergeCell ref="F48:G48"/>
    <mergeCell ref="F42:G42"/>
    <mergeCell ref="B44:C44"/>
    <mergeCell ref="B45:C45"/>
    <mergeCell ref="B46:C46"/>
    <mergeCell ref="F46:G46"/>
  </mergeCells>
  <pageMargins left="0.7" right="0.7" top="0.75" bottom="0.75" header="0.3" footer="0.3"/>
  <pageSetup paperSize="9" orientation="portrait" verticalDpi="0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53F17A-2BE3-4CD5-A30C-6530764C2F59}">
  <sheetPr>
    <tabColor rgb="FF7030A0"/>
  </sheetPr>
  <dimension ref="A1:P58"/>
  <sheetViews>
    <sheetView topLeftCell="A40" workbookViewId="0">
      <selection activeCell="A61" sqref="A61:IV62"/>
    </sheetView>
  </sheetViews>
  <sheetFormatPr defaultRowHeight="12.75" outlineLevelRow="1" outlineLevelCol="1" x14ac:dyDescent="0.2"/>
  <cols>
    <col min="1" max="1" width="5.85546875" style="49" customWidth="1"/>
    <col min="2" max="2" width="47" style="49" customWidth="1"/>
    <col min="3" max="4" width="14.85546875" style="49" customWidth="1"/>
    <col min="5" max="5" width="12.5703125" style="49" customWidth="1"/>
    <col min="6" max="6" width="12.42578125" style="49" customWidth="1"/>
    <col min="7" max="7" width="14.5703125" style="49" customWidth="1"/>
    <col min="8" max="9" width="11.5703125" style="49" hidden="1" customWidth="1" outlineLevel="1"/>
    <col min="10" max="10" width="10.140625" style="49" hidden="1" customWidth="1" outlineLevel="1"/>
    <col min="11" max="11" width="10.42578125" style="49" hidden="1" customWidth="1" outlineLevel="1"/>
    <col min="12" max="13" width="9.140625" style="49" hidden="1" customWidth="1" outlineLevel="1"/>
    <col min="14" max="14" width="9.140625" style="49" collapsed="1"/>
    <col min="15" max="15" width="10" style="49" bestFit="1" customWidth="1"/>
    <col min="16" max="16" width="15.85546875" style="49" customWidth="1"/>
    <col min="17" max="16384" width="9.140625" style="49"/>
  </cols>
  <sheetData>
    <row r="1" spans="1:12" x14ac:dyDescent="0.2">
      <c r="A1" s="370" t="s">
        <v>0</v>
      </c>
      <c r="B1" s="370"/>
      <c r="C1" s="370"/>
      <c r="D1" s="370"/>
      <c r="E1" s="370"/>
      <c r="F1" s="370"/>
      <c r="G1" s="370"/>
      <c r="H1" s="370"/>
      <c r="I1" s="370"/>
      <c r="J1" s="370"/>
      <c r="K1" s="370"/>
    </row>
    <row r="2" spans="1:12" ht="12.75" customHeight="1" x14ac:dyDescent="0.2">
      <c r="A2" s="370" t="s">
        <v>279</v>
      </c>
      <c r="B2" s="370"/>
      <c r="C2" s="370"/>
      <c r="D2" s="370"/>
      <c r="E2" s="370"/>
      <c r="F2" s="370"/>
      <c r="G2" s="370"/>
      <c r="H2" s="370"/>
      <c r="I2" s="370"/>
      <c r="J2" s="370"/>
      <c r="K2" s="370"/>
    </row>
    <row r="3" spans="1:12" ht="13.5" customHeight="1" x14ac:dyDescent="0.2">
      <c r="A3" s="370" t="s">
        <v>426</v>
      </c>
      <c r="B3" s="370"/>
      <c r="C3" s="370"/>
      <c r="D3" s="370"/>
      <c r="E3" s="370"/>
      <c r="F3" s="370"/>
      <c r="G3" s="370"/>
      <c r="H3" s="370"/>
      <c r="I3" s="370"/>
      <c r="J3" s="370"/>
      <c r="K3" s="370"/>
    </row>
    <row r="4" spans="1:12" ht="9" customHeight="1" x14ac:dyDescent="0.2">
      <c r="A4" s="48"/>
      <c r="B4" s="48"/>
      <c r="C4" s="48"/>
      <c r="D4" s="48"/>
      <c r="E4" s="48"/>
      <c r="F4" s="48"/>
      <c r="G4" s="48"/>
      <c r="H4" s="48"/>
      <c r="I4" s="48"/>
      <c r="J4" s="48"/>
      <c r="K4" s="48"/>
    </row>
    <row r="5" spans="1:12" ht="16.5" customHeight="1" x14ac:dyDescent="0.2">
      <c r="A5" s="371" t="s">
        <v>1</v>
      </c>
      <c r="B5" s="370"/>
      <c r="C5" s="370"/>
      <c r="D5" s="370"/>
      <c r="E5" s="370"/>
      <c r="F5" s="370"/>
      <c r="G5" s="370"/>
      <c r="H5" s="370"/>
      <c r="I5" s="370"/>
      <c r="J5" s="370"/>
      <c r="K5" s="370"/>
    </row>
    <row r="7" spans="1:12" s="51" customFormat="1" ht="16.5" customHeight="1" x14ac:dyDescent="0.2">
      <c r="A7" s="51" t="s">
        <v>2</v>
      </c>
      <c r="F7" s="52" t="s">
        <v>281</v>
      </c>
      <c r="H7" s="52"/>
      <c r="L7" s="214"/>
    </row>
    <row r="8" spans="1:12" s="51" customFormat="1" x14ac:dyDescent="0.2">
      <c r="A8" s="51" t="s">
        <v>3</v>
      </c>
      <c r="F8" s="242" t="s">
        <v>282</v>
      </c>
      <c r="H8" s="231">
        <f>247.2+138.9+41.9+64.5+60.5</f>
        <v>553</v>
      </c>
      <c r="I8" s="51">
        <f>J8-H8</f>
        <v>3875</v>
      </c>
      <c r="J8" s="276">
        <v>4428</v>
      </c>
    </row>
    <row r="9" spans="1:12" s="51" customFormat="1" x14ac:dyDescent="0.2">
      <c r="B9" s="51" t="s">
        <v>252</v>
      </c>
      <c r="F9" s="242" t="s">
        <v>284</v>
      </c>
      <c r="H9" s="206"/>
      <c r="J9" s="276"/>
    </row>
    <row r="10" spans="1:12" s="51" customFormat="1" x14ac:dyDescent="0.2">
      <c r="A10" s="372" t="s">
        <v>8</v>
      </c>
      <c r="B10" s="372"/>
      <c r="C10" s="372"/>
      <c r="D10" s="372"/>
      <c r="E10" s="372"/>
      <c r="F10" s="372"/>
      <c r="G10" s="372"/>
      <c r="H10" s="372"/>
      <c r="I10" s="372"/>
      <c r="J10" s="372"/>
      <c r="K10" s="372"/>
    </row>
    <row r="11" spans="1:12" s="51" customFormat="1" x14ac:dyDescent="0.2">
      <c r="A11" s="372" t="s">
        <v>9</v>
      </c>
      <c r="B11" s="372"/>
      <c r="C11" s="372"/>
      <c r="D11" s="372"/>
      <c r="E11" s="372"/>
      <c r="F11" s="372"/>
      <c r="G11" s="372"/>
      <c r="H11" s="372"/>
      <c r="I11" s="372"/>
      <c r="J11" s="372"/>
      <c r="K11" s="372"/>
    </row>
    <row r="12" spans="1:12" s="51" customFormat="1" x14ac:dyDescent="0.2">
      <c r="A12" s="372" t="s">
        <v>10</v>
      </c>
      <c r="B12" s="372"/>
      <c r="C12" s="372"/>
      <c r="D12" s="372"/>
      <c r="E12" s="372"/>
      <c r="F12" s="372"/>
      <c r="G12" s="372"/>
      <c r="H12" s="372"/>
      <c r="I12" s="372"/>
      <c r="J12" s="372"/>
      <c r="K12" s="372"/>
    </row>
    <row r="13" spans="1:12" s="59" customFormat="1" ht="6" customHeight="1" thickBot="1" x14ac:dyDescent="0.3">
      <c r="A13" s="60"/>
      <c r="B13" s="60"/>
      <c r="C13" s="60"/>
      <c r="D13" s="38"/>
      <c r="E13" s="58"/>
      <c r="F13" s="58"/>
      <c r="G13" s="58"/>
      <c r="H13" s="54"/>
      <c r="I13" s="54"/>
    </row>
    <row r="14" spans="1:12" s="59" customFormat="1" ht="15.75" thickBot="1" x14ac:dyDescent="0.3">
      <c r="A14" s="55" t="s">
        <v>381</v>
      </c>
      <c r="B14" s="56"/>
      <c r="C14" s="56"/>
      <c r="D14" s="61"/>
      <c r="E14" s="62"/>
      <c r="F14" s="62"/>
      <c r="G14" s="232">
        <f>'[1]Ломоносова 1'!$G$36</f>
        <v>-158725.10619999998</v>
      </c>
      <c r="H14" s="54"/>
      <c r="I14" s="54"/>
    </row>
    <row r="15" spans="1:12" s="51" customFormat="1" ht="6.75" customHeight="1" x14ac:dyDescent="0.2"/>
    <row r="16" spans="1:12" s="66" customFormat="1" ht="52.5" customHeight="1" x14ac:dyDescent="0.25">
      <c r="A16" s="64" t="s">
        <v>11</v>
      </c>
      <c r="B16" s="64" t="s">
        <v>12</v>
      </c>
      <c r="C16" s="64" t="s">
        <v>61</v>
      </c>
      <c r="D16" s="64" t="s">
        <v>432</v>
      </c>
      <c r="E16" s="64" t="s">
        <v>433</v>
      </c>
      <c r="F16" s="65" t="s">
        <v>434</v>
      </c>
      <c r="G16" s="64" t="s">
        <v>435</v>
      </c>
    </row>
    <row r="17" spans="1:16" s="51" customFormat="1" ht="14.25" x14ac:dyDescent="0.2">
      <c r="A17" s="67" t="s">
        <v>14</v>
      </c>
      <c r="B17" s="39" t="s">
        <v>379</v>
      </c>
      <c r="C17" s="120">
        <v>20.32</v>
      </c>
      <c r="D17" s="68">
        <v>944880</v>
      </c>
      <c r="E17" s="68">
        <v>950263.61</v>
      </c>
      <c r="F17" s="68">
        <f t="shared" ref="F17:F23" si="0">D17</f>
        <v>944880</v>
      </c>
      <c r="G17" s="69">
        <f>D17-E17</f>
        <v>-5383.609999999986</v>
      </c>
      <c r="H17" s="70">
        <f>C17</f>
        <v>20.32</v>
      </c>
      <c r="I17" s="71"/>
      <c r="J17" s="71"/>
      <c r="K17" s="71"/>
      <c r="O17" s="70"/>
      <c r="P17" s="72"/>
    </row>
    <row r="18" spans="1:16" s="51" customFormat="1" ht="15" hidden="1" outlineLevel="1" x14ac:dyDescent="0.25">
      <c r="A18" s="73" t="s">
        <v>16</v>
      </c>
      <c r="B18" s="34" t="s">
        <v>17</v>
      </c>
      <c r="C18" s="89">
        <v>3.46</v>
      </c>
      <c r="D18" s="75">
        <f>D17*I18</f>
        <v>160890</v>
      </c>
      <c r="E18" s="75">
        <f>E17*I18</f>
        <v>161806.69737204723</v>
      </c>
      <c r="F18" s="75">
        <f t="shared" si="0"/>
        <v>160890</v>
      </c>
      <c r="G18" s="76" t="s">
        <v>285</v>
      </c>
      <c r="H18" s="70">
        <f>C18</f>
        <v>3.46</v>
      </c>
      <c r="I18" s="51">
        <f>H18/H17</f>
        <v>0.17027559055118111</v>
      </c>
    </row>
    <row r="19" spans="1:16" s="51" customFormat="1" ht="15" hidden="1" outlineLevel="1" x14ac:dyDescent="0.25">
      <c r="A19" s="73" t="s">
        <v>18</v>
      </c>
      <c r="B19" s="34" t="s">
        <v>19</v>
      </c>
      <c r="C19" s="89">
        <v>1.69</v>
      </c>
      <c r="D19" s="75">
        <f>D17*I19</f>
        <v>78584.999999999985</v>
      </c>
      <c r="E19" s="75">
        <f>E17*I19</f>
        <v>79032.751028543295</v>
      </c>
      <c r="F19" s="75">
        <f t="shared" si="0"/>
        <v>78584.999999999985</v>
      </c>
      <c r="G19" s="76">
        <f>D19-E19</f>
        <v>-447.75102854330908</v>
      </c>
      <c r="H19" s="70">
        <f>C19</f>
        <v>1.69</v>
      </c>
      <c r="I19" s="51">
        <f>H19/H17</f>
        <v>8.3169291338582668E-2</v>
      </c>
    </row>
    <row r="20" spans="1:16" s="51" customFormat="1" ht="15" hidden="1" outlineLevel="1" x14ac:dyDescent="0.25">
      <c r="A20" s="73" t="s">
        <v>20</v>
      </c>
      <c r="B20" s="34" t="s">
        <v>21</v>
      </c>
      <c r="C20" s="89">
        <v>2.15</v>
      </c>
      <c r="D20" s="75">
        <f>D17*I20</f>
        <v>99975</v>
      </c>
      <c r="E20" s="75">
        <f>E17*I20</f>
        <v>100544.62408956692</v>
      </c>
      <c r="F20" s="75">
        <f t="shared" si="0"/>
        <v>99975</v>
      </c>
      <c r="G20" s="76">
        <f>D20-E20</f>
        <v>-569.62408956691797</v>
      </c>
      <c r="H20" s="70">
        <f>C20</f>
        <v>2.15</v>
      </c>
      <c r="I20" s="51">
        <f>H20/H17</f>
        <v>0.10580708661417322</v>
      </c>
    </row>
    <row r="21" spans="1:16" s="51" customFormat="1" ht="15" hidden="1" outlineLevel="1" x14ac:dyDescent="0.25">
      <c r="A21" s="73" t="s">
        <v>22</v>
      </c>
      <c r="B21" s="34" t="s">
        <v>23</v>
      </c>
      <c r="C21" s="89">
        <v>3.04</v>
      </c>
      <c r="D21" s="75">
        <f>D17*I21</f>
        <v>141360</v>
      </c>
      <c r="E21" s="75">
        <f>E17*I21</f>
        <v>142165.42196850394</v>
      </c>
      <c r="F21" s="75">
        <f t="shared" si="0"/>
        <v>141360</v>
      </c>
      <c r="G21" s="76">
        <f>D21-E21</f>
        <v>-805.42196850394248</v>
      </c>
      <c r="H21" s="70">
        <f>C21</f>
        <v>3.04</v>
      </c>
      <c r="I21" s="51">
        <f>H21/H17</f>
        <v>0.14960629921259844</v>
      </c>
    </row>
    <row r="22" spans="1:16" s="81" customFormat="1" ht="28.5" collapsed="1" x14ac:dyDescent="0.2">
      <c r="A22" s="78" t="s">
        <v>25</v>
      </c>
      <c r="B22" s="78" t="s">
        <v>283</v>
      </c>
      <c r="C22" s="46">
        <v>150</v>
      </c>
      <c r="D22" s="79">
        <v>0</v>
      </c>
      <c r="E22" s="79">
        <v>2965.89</v>
      </c>
      <c r="F22" s="79">
        <v>4701.1400000000003</v>
      </c>
      <c r="G22" s="69">
        <f t="shared" ref="G22:G32" si="1">D22-E22</f>
        <v>-2965.89</v>
      </c>
      <c r="H22" s="80"/>
      <c r="I22" s="80"/>
      <c r="J22" s="80"/>
      <c r="K22" s="80"/>
    </row>
    <row r="23" spans="1:16" s="81" customFormat="1" ht="14.25" x14ac:dyDescent="0.2">
      <c r="A23" s="78" t="s">
        <v>27</v>
      </c>
      <c r="B23" s="78" t="s">
        <v>26</v>
      </c>
      <c r="C23" s="87">
        <v>4.3600000000000003</v>
      </c>
      <c r="D23" s="79">
        <v>199369.63</v>
      </c>
      <c r="E23" s="79">
        <v>201376.57</v>
      </c>
      <c r="F23" s="79">
        <f t="shared" si="0"/>
        <v>199369.63</v>
      </c>
      <c r="G23" s="69">
        <f t="shared" si="1"/>
        <v>-2006.9400000000023</v>
      </c>
      <c r="H23" s="80"/>
      <c r="I23" s="80"/>
      <c r="J23" s="80"/>
      <c r="K23" s="80"/>
    </row>
    <row r="24" spans="1:16" s="81" customFormat="1" ht="14.25" x14ac:dyDescent="0.2">
      <c r="A24" s="78" t="s">
        <v>29</v>
      </c>
      <c r="B24" s="78" t="s">
        <v>30</v>
      </c>
      <c r="C24" s="126">
        <v>0</v>
      </c>
      <c r="D24" s="79">
        <v>0</v>
      </c>
      <c r="E24" s="79">
        <v>0</v>
      </c>
      <c r="F24" s="79">
        <v>0</v>
      </c>
      <c r="G24" s="69">
        <f t="shared" si="1"/>
        <v>0</v>
      </c>
      <c r="H24" s="80"/>
      <c r="I24" s="80"/>
      <c r="J24" s="80"/>
      <c r="K24" s="80"/>
    </row>
    <row r="25" spans="1:16" s="81" customFormat="1" ht="14.25" x14ac:dyDescent="0.2">
      <c r="A25" s="78" t="s">
        <v>31</v>
      </c>
      <c r="B25" s="78" t="s">
        <v>80</v>
      </c>
      <c r="C25" s="79">
        <v>2.0099999999999998</v>
      </c>
      <c r="D25" s="79">
        <f>93465.6+D26</f>
        <v>106804.02</v>
      </c>
      <c r="E25" s="79">
        <f>94554.02+E26</f>
        <v>112724.83</v>
      </c>
      <c r="F25" s="79">
        <f>F43</f>
        <v>376025.77830000001</v>
      </c>
      <c r="G25" s="69">
        <f t="shared" si="1"/>
        <v>-5920.8099999999977</v>
      </c>
      <c r="H25" s="80"/>
      <c r="I25" s="80"/>
      <c r="J25" s="80"/>
      <c r="K25" s="80"/>
    </row>
    <row r="26" spans="1:16" s="81" customFormat="1" ht="14.25" x14ac:dyDescent="0.2">
      <c r="A26" s="78"/>
      <c r="B26" s="292" t="s">
        <v>244</v>
      </c>
      <c r="C26" s="293"/>
      <c r="D26" s="294">
        <f>1010.63+5962.46+549.94+482.4+622.3+513.76+554.76+627.17+3015</f>
        <v>13338.42</v>
      </c>
      <c r="E26" s="294">
        <f>1515.94+8943.7+412.45+0+622.3+513.76+416.07+470.34+5276.25</f>
        <v>18170.810000000001</v>
      </c>
      <c r="F26" s="294"/>
      <c r="G26" s="248"/>
      <c r="H26" s="80"/>
      <c r="I26" s="80"/>
      <c r="J26" s="80"/>
      <c r="K26" s="80"/>
    </row>
    <row r="27" spans="1:16" ht="28.15" customHeight="1" x14ac:dyDescent="0.2">
      <c r="A27" s="39" t="s">
        <v>33</v>
      </c>
      <c r="B27" s="39" t="s">
        <v>97</v>
      </c>
      <c r="C27" s="69">
        <v>0</v>
      </c>
      <c r="D27" s="69">
        <v>0</v>
      </c>
      <c r="E27" s="69">
        <v>0</v>
      </c>
      <c r="F27" s="79">
        <v>0</v>
      </c>
      <c r="G27" s="69">
        <f>D27-E27</f>
        <v>0</v>
      </c>
      <c r="H27" s="88"/>
      <c r="I27" s="88"/>
      <c r="J27" s="88"/>
      <c r="K27" s="88"/>
    </row>
    <row r="28" spans="1:16" ht="14.25" x14ac:dyDescent="0.2">
      <c r="A28" s="39" t="s">
        <v>35</v>
      </c>
      <c r="B28" s="39" t="s">
        <v>36</v>
      </c>
      <c r="C28" s="69"/>
      <c r="D28" s="69">
        <f>SUM(D29:D32)</f>
        <v>220654.27</v>
      </c>
      <c r="E28" s="69">
        <f>SUM(E29:E32)</f>
        <v>199761.03999999998</v>
      </c>
      <c r="F28" s="69">
        <f>SUM(F29:F32)</f>
        <v>220654.27</v>
      </c>
      <c r="G28" s="69">
        <f t="shared" si="1"/>
        <v>20893.23000000001</v>
      </c>
      <c r="H28" s="88"/>
      <c r="I28" s="88"/>
      <c r="J28" s="88"/>
      <c r="K28" s="88"/>
    </row>
    <row r="29" spans="1:16" ht="15" x14ac:dyDescent="0.25">
      <c r="A29" s="34" t="s">
        <v>37</v>
      </c>
      <c r="B29" s="34" t="s">
        <v>101</v>
      </c>
      <c r="C29" s="89">
        <v>7.36</v>
      </c>
      <c r="D29" s="76">
        <v>86129.22</v>
      </c>
      <c r="E29" s="76">
        <v>78920.509999999995</v>
      </c>
      <c r="F29" s="76">
        <f>D29</f>
        <v>86129.22</v>
      </c>
      <c r="G29" s="76">
        <f t="shared" si="1"/>
        <v>7208.7100000000064</v>
      </c>
    </row>
    <row r="30" spans="1:16" ht="15" x14ac:dyDescent="0.25">
      <c r="A30" s="34" t="s">
        <v>39</v>
      </c>
      <c r="B30" s="34" t="s">
        <v>84</v>
      </c>
      <c r="C30" s="89">
        <v>88.38</v>
      </c>
      <c r="D30" s="76">
        <v>98277.43</v>
      </c>
      <c r="E30" s="76">
        <v>87731.4</v>
      </c>
      <c r="F30" s="76">
        <f>D30</f>
        <v>98277.43</v>
      </c>
      <c r="G30" s="76">
        <f t="shared" si="1"/>
        <v>10546.029999999999</v>
      </c>
    </row>
    <row r="31" spans="1:16" ht="15" x14ac:dyDescent="0.25">
      <c r="A31" s="34" t="s">
        <v>42</v>
      </c>
      <c r="B31" s="34" t="s">
        <v>135</v>
      </c>
      <c r="C31" s="128">
        <v>278.94</v>
      </c>
      <c r="D31" s="76">
        <v>36247.620000000003</v>
      </c>
      <c r="E31" s="76">
        <v>33109.129999999997</v>
      </c>
      <c r="F31" s="76">
        <f>D31</f>
        <v>36247.620000000003</v>
      </c>
      <c r="G31" s="76">
        <f t="shared" si="1"/>
        <v>3138.4900000000052</v>
      </c>
    </row>
    <row r="32" spans="1:16" ht="15" x14ac:dyDescent="0.25">
      <c r="A32" s="34" t="s">
        <v>41</v>
      </c>
      <c r="B32" s="34" t="s">
        <v>43</v>
      </c>
      <c r="C32" s="89">
        <v>0</v>
      </c>
      <c r="D32" s="76">
        <v>0</v>
      </c>
      <c r="E32" s="76">
        <v>0</v>
      </c>
      <c r="F32" s="76">
        <f>D32</f>
        <v>0</v>
      </c>
      <c r="G32" s="76">
        <f t="shared" si="1"/>
        <v>0</v>
      </c>
    </row>
    <row r="33" spans="1:14" s="92" customFormat="1" ht="23.45" customHeight="1" thickBot="1" x14ac:dyDescent="0.3">
      <c r="A33" s="373"/>
      <c r="B33" s="374"/>
      <c r="C33" s="374"/>
      <c r="D33" s="375"/>
      <c r="E33" s="375"/>
      <c r="F33" s="375"/>
      <c r="G33" s="91"/>
      <c r="H33" s="91"/>
      <c r="I33" s="91"/>
    </row>
    <row r="34" spans="1:14" s="59" customFormat="1" ht="15.75" thickBot="1" x14ac:dyDescent="0.3">
      <c r="A34" s="387" t="s">
        <v>427</v>
      </c>
      <c r="B34" s="388"/>
      <c r="C34" s="388"/>
      <c r="D34" s="57">
        <v>4615.9799999999996</v>
      </c>
      <c r="E34" s="58"/>
      <c r="F34" s="58"/>
      <c r="G34" s="58"/>
      <c r="H34" s="54"/>
      <c r="I34" s="54"/>
    </row>
    <row r="35" spans="1:14" s="59" customFormat="1" ht="6" customHeight="1" thickBot="1" x14ac:dyDescent="0.3">
      <c r="A35" s="60"/>
      <c r="B35" s="60"/>
      <c r="C35" s="60"/>
      <c r="D35" s="38"/>
      <c r="E35" s="58"/>
      <c r="F35" s="58"/>
      <c r="G35" s="58"/>
      <c r="H35" s="54"/>
      <c r="I35" s="54"/>
    </row>
    <row r="36" spans="1:14" s="59" customFormat="1" ht="15.75" thickBot="1" x14ac:dyDescent="0.3">
      <c r="A36" s="55" t="s">
        <v>428</v>
      </c>
      <c r="B36" s="56"/>
      <c r="C36" s="56"/>
      <c r="D36" s="61"/>
      <c r="E36" s="62"/>
      <c r="F36" s="62"/>
      <c r="G36" s="129">
        <f>G14+E25-F25</f>
        <v>-422026.05449999997</v>
      </c>
      <c r="H36" s="54"/>
      <c r="I36" s="54"/>
      <c r="N36" s="130"/>
    </row>
    <row r="37" spans="1:14" s="59" customFormat="1" ht="15" x14ac:dyDescent="0.25">
      <c r="A37" s="514" t="s">
        <v>134</v>
      </c>
      <c r="B37" s="515"/>
      <c r="C37" s="93"/>
      <c r="D37" s="93"/>
      <c r="E37" s="91"/>
      <c r="F37" s="91"/>
      <c r="G37" s="91"/>
      <c r="H37" s="256"/>
      <c r="I37" s="54"/>
      <c r="N37" s="130"/>
    </row>
    <row r="38" spans="1:14" s="59" customFormat="1" ht="15" x14ac:dyDescent="0.25">
      <c r="A38" s="393" t="s">
        <v>91</v>
      </c>
      <c r="B38" s="394"/>
      <c r="C38" s="41" t="s">
        <v>92</v>
      </c>
      <c r="D38" s="41" t="s">
        <v>93</v>
      </c>
      <c r="E38" s="42" t="s">
        <v>94</v>
      </c>
      <c r="F38" s="40" t="s">
        <v>95</v>
      </c>
      <c r="G38" s="42" t="s">
        <v>96</v>
      </c>
      <c r="I38" s="54">
        <f>22.8*3*H39</f>
        <v>1825.596</v>
      </c>
      <c r="N38" s="130"/>
    </row>
    <row r="39" spans="1:14" s="59" customFormat="1" ht="15" x14ac:dyDescent="0.25">
      <c r="A39" s="395"/>
      <c r="B39" s="396"/>
      <c r="C39" s="358">
        <f>41.9+247.2+22.8+20+25.8+21.3+23+26+125</f>
        <v>553</v>
      </c>
      <c r="D39" s="138">
        <f>E39/C39/12</f>
        <v>26.669507233273052</v>
      </c>
      <c r="E39" s="358">
        <f>6405.6+6822+40035+7230.33+8263.32+8327.28+7302.48+13419.72+79173.12</f>
        <v>176978.84999999998</v>
      </c>
      <c r="F39" s="358">
        <f>7074+6822+65418.87+5388.72+6197.49+6245.46+5476.86+18805.95+105000</f>
        <v>226429.35</v>
      </c>
      <c r="G39" s="138">
        <f>E39-F39</f>
        <v>-49450.500000000029</v>
      </c>
      <c r="H39" s="130">
        <f>C17+C23+C25</f>
        <v>26.689999999999998</v>
      </c>
      <c r="I39" s="91">
        <f>21.3*3*H39</f>
        <v>1705.491</v>
      </c>
      <c r="J39" s="91">
        <f>4840.8+5155.5+8741.16+27705.06+5566.92+6244.68+63555.06+6293.04+5518.56+2031.3</f>
        <v>135652.07999999999</v>
      </c>
      <c r="K39" s="91">
        <f>2607.6+5194.5+5609.01+6291.87+7036.75+5275.92+4626.6+4063.3</f>
        <v>40705.550000000003</v>
      </c>
      <c r="L39" s="338">
        <f>E39-J39</f>
        <v>41326.76999999999</v>
      </c>
      <c r="M39" s="338">
        <f>F39-K39</f>
        <v>185723.8</v>
      </c>
    </row>
    <row r="40" spans="1:14" s="92" customFormat="1" ht="25.5" customHeight="1" x14ac:dyDescent="0.25">
      <c r="A40" s="371" t="s">
        <v>44</v>
      </c>
      <c r="B40" s="371"/>
      <c r="C40" s="371"/>
      <c r="D40" s="371"/>
      <c r="E40" s="371"/>
      <c r="F40" s="371"/>
      <c r="G40" s="371"/>
      <c r="H40" s="371"/>
      <c r="I40" s="371"/>
      <c r="J40" s="371"/>
      <c r="K40" s="371"/>
      <c r="L40" s="91"/>
      <c r="M40" s="91"/>
    </row>
    <row r="41" spans="1:14" ht="23.25" customHeight="1" x14ac:dyDescent="0.2"/>
    <row r="42" spans="1:14" ht="28.5" x14ac:dyDescent="0.2">
      <c r="A42" s="94" t="s">
        <v>11</v>
      </c>
      <c r="B42" s="416" t="s">
        <v>45</v>
      </c>
      <c r="C42" s="425"/>
      <c r="D42" s="94" t="s">
        <v>99</v>
      </c>
      <c r="E42" s="94" t="s">
        <v>98</v>
      </c>
      <c r="F42" s="416" t="s">
        <v>46</v>
      </c>
      <c r="G42" s="425"/>
      <c r="H42" s="207"/>
      <c r="I42" s="208"/>
      <c r="J42" s="66"/>
      <c r="K42" s="66"/>
    </row>
    <row r="43" spans="1:14" s="66" customFormat="1" ht="15" x14ac:dyDescent="0.25">
      <c r="A43" s="98" t="s">
        <v>47</v>
      </c>
      <c r="B43" s="418" t="s">
        <v>75</v>
      </c>
      <c r="C43" s="430"/>
      <c r="D43" s="99"/>
      <c r="E43" s="99"/>
      <c r="F43" s="436">
        <f>SUM(F44:F52)</f>
        <v>376025.77830000001</v>
      </c>
      <c r="G43" s="424"/>
      <c r="H43" s="209"/>
      <c r="I43" s="210"/>
      <c r="J43" s="103"/>
      <c r="K43" s="103"/>
      <c r="N43" s="97"/>
    </row>
    <row r="44" spans="1:14" s="66" customFormat="1" ht="15" x14ac:dyDescent="0.25">
      <c r="A44" s="34" t="s">
        <v>16</v>
      </c>
      <c r="B44" s="458" t="s">
        <v>533</v>
      </c>
      <c r="C44" s="459"/>
      <c r="D44" s="176" t="s">
        <v>103</v>
      </c>
      <c r="E44" s="176">
        <v>0.06</v>
      </c>
      <c r="F44" s="520">
        <v>12290.1</v>
      </c>
      <c r="G44" s="424"/>
      <c r="H44" s="101"/>
      <c r="I44" s="102"/>
      <c r="J44" s="103"/>
      <c r="K44" s="103"/>
      <c r="N44" s="97"/>
    </row>
    <row r="45" spans="1:14" s="66" customFormat="1" ht="15" x14ac:dyDescent="0.25">
      <c r="A45" s="34" t="s">
        <v>18</v>
      </c>
      <c r="B45" s="458" t="s">
        <v>534</v>
      </c>
      <c r="C45" s="459"/>
      <c r="D45" s="176" t="s">
        <v>103</v>
      </c>
      <c r="E45" s="176">
        <v>0.65</v>
      </c>
      <c r="F45" s="520">
        <v>75298.350000000006</v>
      </c>
      <c r="G45" s="424"/>
      <c r="H45" s="101"/>
      <c r="I45" s="102"/>
      <c r="J45" s="103"/>
      <c r="K45" s="103"/>
      <c r="N45" s="97"/>
    </row>
    <row r="46" spans="1:14" s="66" customFormat="1" ht="15" x14ac:dyDescent="0.25">
      <c r="A46" s="34" t="s">
        <v>20</v>
      </c>
      <c r="B46" s="458" t="s">
        <v>535</v>
      </c>
      <c r="C46" s="459"/>
      <c r="D46" s="176" t="s">
        <v>100</v>
      </c>
      <c r="E46" s="176">
        <v>1</v>
      </c>
      <c r="F46" s="520">
        <v>4601.7299999999996</v>
      </c>
      <c r="G46" s="424"/>
      <c r="H46" s="101"/>
      <c r="I46" s="102"/>
      <c r="J46" s="103"/>
      <c r="K46" s="103"/>
      <c r="N46" s="97"/>
    </row>
    <row r="47" spans="1:14" s="66" customFormat="1" ht="15" x14ac:dyDescent="0.25">
      <c r="A47" s="34" t="s">
        <v>22</v>
      </c>
      <c r="B47" s="458" t="s">
        <v>536</v>
      </c>
      <c r="C47" s="459"/>
      <c r="D47" s="176" t="s">
        <v>100</v>
      </c>
      <c r="E47" s="176">
        <v>1</v>
      </c>
      <c r="F47" s="520">
        <v>14513.76</v>
      </c>
      <c r="G47" s="424"/>
      <c r="H47" s="101"/>
      <c r="I47" s="102"/>
      <c r="J47" s="103"/>
      <c r="K47" s="103"/>
      <c r="N47" s="97"/>
    </row>
    <row r="48" spans="1:14" s="66" customFormat="1" ht="15" x14ac:dyDescent="0.25">
      <c r="A48" s="34" t="s">
        <v>24</v>
      </c>
      <c r="B48" s="458" t="s">
        <v>409</v>
      </c>
      <c r="C48" s="459"/>
      <c r="D48" s="176" t="s">
        <v>100</v>
      </c>
      <c r="E48" s="176">
        <v>1</v>
      </c>
      <c r="F48" s="520">
        <v>8000</v>
      </c>
      <c r="G48" s="424"/>
      <c r="H48" s="101"/>
      <c r="I48" s="102"/>
      <c r="J48" s="103"/>
      <c r="K48" s="103"/>
      <c r="N48" s="97"/>
    </row>
    <row r="49" spans="1:14" s="66" customFormat="1" ht="15" x14ac:dyDescent="0.25">
      <c r="A49" s="34" t="s">
        <v>73</v>
      </c>
      <c r="B49" s="458" t="s">
        <v>538</v>
      </c>
      <c r="C49" s="459"/>
      <c r="D49" s="176" t="s">
        <v>103</v>
      </c>
      <c r="E49" s="176">
        <v>4.0000000000000001E-3</v>
      </c>
      <c r="F49" s="520">
        <v>12215.52</v>
      </c>
      <c r="G49" s="424"/>
      <c r="H49" s="101"/>
      <c r="I49" s="102"/>
      <c r="J49" s="103"/>
      <c r="K49" s="103"/>
      <c r="N49" s="97"/>
    </row>
    <row r="50" spans="1:14" s="66" customFormat="1" ht="15" x14ac:dyDescent="0.25">
      <c r="A50" s="34" t="s">
        <v>74</v>
      </c>
      <c r="B50" s="458" t="s">
        <v>539</v>
      </c>
      <c r="C50" s="459"/>
      <c r="D50" s="176" t="s">
        <v>458</v>
      </c>
      <c r="E50" s="176">
        <v>0.04</v>
      </c>
      <c r="F50" s="520">
        <v>11179.07</v>
      </c>
      <c r="G50" s="424"/>
      <c r="H50" s="101"/>
      <c r="I50" s="102"/>
      <c r="J50" s="103"/>
      <c r="K50" s="103"/>
      <c r="N50" s="97"/>
    </row>
    <row r="51" spans="1:14" s="66" customFormat="1" ht="15" x14ac:dyDescent="0.25">
      <c r="A51" s="34" t="s">
        <v>81</v>
      </c>
      <c r="B51" s="458" t="s">
        <v>537</v>
      </c>
      <c r="C51" s="459"/>
      <c r="D51" s="176" t="s">
        <v>100</v>
      </c>
      <c r="E51" s="176">
        <v>1</v>
      </c>
      <c r="F51" s="520">
        <v>236800</v>
      </c>
      <c r="G51" s="424"/>
      <c r="H51" s="101"/>
      <c r="I51" s="102"/>
      <c r="J51" s="103"/>
      <c r="K51" s="103"/>
      <c r="N51" s="97"/>
    </row>
    <row r="52" spans="1:14" s="51" customFormat="1" ht="15" x14ac:dyDescent="0.25">
      <c r="A52" s="34" t="s">
        <v>82</v>
      </c>
      <c r="B52" s="458" t="s">
        <v>108</v>
      </c>
      <c r="C52" s="459"/>
      <c r="D52" s="108"/>
      <c r="E52" s="108"/>
      <c r="F52" s="435">
        <f>E25*1%</f>
        <v>1127.2483</v>
      </c>
      <c r="G52" s="435"/>
    </row>
    <row r="53" spans="1:14" s="51" customFormat="1" x14ac:dyDescent="0.2"/>
    <row r="54" spans="1:14" s="59" customFormat="1" ht="15" x14ac:dyDescent="0.25">
      <c r="A54" s="51" t="s">
        <v>372</v>
      </c>
      <c r="C54" s="110" t="s">
        <v>49</v>
      </c>
      <c r="F54" s="59" t="s">
        <v>60</v>
      </c>
    </row>
    <row r="55" spans="1:14" s="51" customFormat="1" ht="15" x14ac:dyDescent="0.25">
      <c r="A55" s="59"/>
      <c r="B55" s="59"/>
      <c r="C55" s="110"/>
      <c r="D55" s="59"/>
      <c r="E55" s="59"/>
      <c r="F55" s="111" t="s">
        <v>383</v>
      </c>
      <c r="G55" s="59"/>
    </row>
    <row r="56" spans="1:14" s="51" customFormat="1" ht="15" x14ac:dyDescent="0.25">
      <c r="A56" s="59" t="s">
        <v>50</v>
      </c>
      <c r="B56" s="59"/>
      <c r="C56" s="110"/>
      <c r="D56" s="59"/>
      <c r="E56" s="59"/>
      <c r="F56" s="59"/>
      <c r="G56" s="59"/>
      <c r="H56" s="141"/>
      <c r="I56" s="141"/>
      <c r="J56" s="141"/>
    </row>
    <row r="57" spans="1:14" s="51" customFormat="1" ht="15" x14ac:dyDescent="0.25">
      <c r="A57" s="59"/>
      <c r="B57" s="59"/>
      <c r="C57" s="112" t="s">
        <v>51</v>
      </c>
      <c r="D57" s="59"/>
      <c r="E57" s="113"/>
      <c r="F57" s="113"/>
      <c r="G57" s="113"/>
    </row>
    <row r="58" spans="1:14" s="51" customFormat="1" x14ac:dyDescent="0.2"/>
  </sheetData>
  <mergeCells count="34">
    <mergeCell ref="A1:K1"/>
    <mergeCell ref="A2:K2"/>
    <mergeCell ref="A3:K3"/>
    <mergeCell ref="A5:K5"/>
    <mergeCell ref="A10:K10"/>
    <mergeCell ref="F43:G43"/>
    <mergeCell ref="A12:K12"/>
    <mergeCell ref="F42:G42"/>
    <mergeCell ref="A11:K11"/>
    <mergeCell ref="A33:F33"/>
    <mergeCell ref="A34:C34"/>
    <mergeCell ref="A40:K40"/>
    <mergeCell ref="B42:C42"/>
    <mergeCell ref="F47:G47"/>
    <mergeCell ref="B47:C47"/>
    <mergeCell ref="F44:G44"/>
    <mergeCell ref="B45:C45"/>
    <mergeCell ref="B46:C46"/>
    <mergeCell ref="A37:B37"/>
    <mergeCell ref="A38:B39"/>
    <mergeCell ref="F52:G52"/>
    <mergeCell ref="B52:C52"/>
    <mergeCell ref="B49:C49"/>
    <mergeCell ref="F49:G49"/>
    <mergeCell ref="B50:C50"/>
    <mergeCell ref="F50:G50"/>
    <mergeCell ref="B51:C51"/>
    <mergeCell ref="F51:G51"/>
    <mergeCell ref="B48:C48"/>
    <mergeCell ref="F48:G48"/>
    <mergeCell ref="B43:C43"/>
    <mergeCell ref="B44:C44"/>
    <mergeCell ref="F45:G45"/>
    <mergeCell ref="F46:G46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  <drawing r:id="rId2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3D888D-7824-4D22-899D-20EA33422B68}">
  <sheetPr>
    <tabColor rgb="FF7030A0"/>
  </sheetPr>
  <dimension ref="A1:P53"/>
  <sheetViews>
    <sheetView topLeftCell="A40" workbookViewId="0">
      <selection activeCell="A55" sqref="A55:IV56"/>
    </sheetView>
  </sheetViews>
  <sheetFormatPr defaultRowHeight="12.75" outlineLevelRow="1" outlineLevelCol="1" x14ac:dyDescent="0.2"/>
  <cols>
    <col min="1" max="1" width="5.85546875" style="49" customWidth="1"/>
    <col min="2" max="2" width="47" style="49" customWidth="1"/>
    <col min="3" max="4" width="14.85546875" style="49" customWidth="1"/>
    <col min="5" max="5" width="12.5703125" style="49" customWidth="1"/>
    <col min="6" max="6" width="12.42578125" style="49" customWidth="1"/>
    <col min="7" max="7" width="14.5703125" style="49" customWidth="1"/>
    <col min="8" max="9" width="11.5703125" style="49" hidden="1" customWidth="1" outlineLevel="1"/>
    <col min="10" max="10" width="10.140625" style="49" hidden="1" customWidth="1" outlineLevel="1"/>
    <col min="11" max="11" width="10.42578125" style="49" hidden="1" customWidth="1" outlineLevel="1"/>
    <col min="12" max="13" width="9.140625" style="49" hidden="1" customWidth="1" outlineLevel="1"/>
    <col min="14" max="14" width="9.7109375" style="49" bestFit="1" customWidth="1" collapsed="1"/>
    <col min="15" max="15" width="10" style="49" bestFit="1" customWidth="1"/>
    <col min="16" max="16" width="15.85546875" style="49" customWidth="1"/>
    <col min="17" max="16384" width="9.140625" style="49"/>
  </cols>
  <sheetData>
    <row r="1" spans="1:12" x14ac:dyDescent="0.2">
      <c r="A1" s="370" t="s">
        <v>0</v>
      </c>
      <c r="B1" s="370"/>
      <c r="C1" s="370"/>
      <c r="D1" s="370"/>
      <c r="E1" s="370"/>
      <c r="F1" s="370"/>
      <c r="G1" s="370"/>
      <c r="H1" s="370"/>
      <c r="I1" s="370"/>
      <c r="J1" s="370"/>
      <c r="K1" s="370"/>
    </row>
    <row r="2" spans="1:12" ht="12.75" customHeight="1" x14ac:dyDescent="0.2">
      <c r="A2" s="370" t="s">
        <v>279</v>
      </c>
      <c r="B2" s="370"/>
      <c r="C2" s="370"/>
      <c r="D2" s="370"/>
      <c r="E2" s="370"/>
      <c r="F2" s="370"/>
      <c r="G2" s="370"/>
      <c r="H2" s="370"/>
      <c r="I2" s="370"/>
      <c r="J2" s="370"/>
      <c r="K2" s="370"/>
    </row>
    <row r="3" spans="1:12" ht="13.5" customHeight="1" x14ac:dyDescent="0.2">
      <c r="A3" s="370" t="s">
        <v>426</v>
      </c>
      <c r="B3" s="370"/>
      <c r="C3" s="370"/>
      <c r="D3" s="370"/>
      <c r="E3" s="370"/>
      <c r="F3" s="370"/>
      <c r="G3" s="370"/>
      <c r="H3" s="370"/>
      <c r="I3" s="370"/>
      <c r="J3" s="370"/>
      <c r="K3" s="370"/>
    </row>
    <row r="4" spans="1:12" ht="9" customHeight="1" x14ac:dyDescent="0.2">
      <c r="A4" s="48"/>
      <c r="B4" s="48"/>
      <c r="C4" s="48"/>
      <c r="D4" s="48"/>
      <c r="E4" s="48"/>
      <c r="F4" s="48"/>
      <c r="G4" s="48"/>
      <c r="H4" s="48"/>
      <c r="I4" s="48"/>
      <c r="J4" s="48"/>
      <c r="K4" s="48"/>
    </row>
    <row r="5" spans="1:12" ht="16.5" customHeight="1" x14ac:dyDescent="0.2">
      <c r="A5" s="371" t="s">
        <v>1</v>
      </c>
      <c r="B5" s="370"/>
      <c r="C5" s="370"/>
      <c r="D5" s="370"/>
      <c r="E5" s="370"/>
      <c r="F5" s="370"/>
      <c r="G5" s="370"/>
      <c r="H5" s="370"/>
      <c r="I5" s="370"/>
      <c r="J5" s="370"/>
      <c r="K5" s="370"/>
    </row>
    <row r="7" spans="1:12" s="51" customFormat="1" ht="16.5" customHeight="1" x14ac:dyDescent="0.2">
      <c r="A7" s="51" t="s">
        <v>2</v>
      </c>
      <c r="F7" s="52" t="s">
        <v>286</v>
      </c>
      <c r="H7" s="52"/>
      <c r="L7" s="214"/>
    </row>
    <row r="8" spans="1:12" s="51" customFormat="1" x14ac:dyDescent="0.2">
      <c r="A8" s="51" t="s">
        <v>3</v>
      </c>
      <c r="F8" s="242" t="s">
        <v>287</v>
      </c>
      <c r="H8" s="231">
        <v>67.5</v>
      </c>
      <c r="I8" s="51">
        <f>J8-H8</f>
        <v>2209.8000000000002</v>
      </c>
      <c r="J8" s="276">
        <v>2277.3000000000002</v>
      </c>
    </row>
    <row r="9" spans="1:12" s="51" customFormat="1" x14ac:dyDescent="0.2">
      <c r="B9" s="51" t="s">
        <v>252</v>
      </c>
      <c r="F9" s="242" t="s">
        <v>288</v>
      </c>
      <c r="H9" s="52"/>
      <c r="I9" s="53" t="s">
        <v>419</v>
      </c>
      <c r="J9" s="53"/>
      <c r="K9" s="53"/>
    </row>
    <row r="10" spans="1:12" s="51" customFormat="1" x14ac:dyDescent="0.2">
      <c r="A10" s="372" t="s">
        <v>8</v>
      </c>
      <c r="B10" s="372"/>
      <c r="C10" s="372"/>
      <c r="D10" s="372"/>
      <c r="E10" s="372"/>
      <c r="F10" s="372"/>
      <c r="G10" s="372"/>
      <c r="H10" s="372"/>
      <c r="I10" s="372"/>
      <c r="J10" s="372"/>
      <c r="K10" s="372"/>
    </row>
    <row r="11" spans="1:12" s="51" customFormat="1" x14ac:dyDescent="0.2">
      <c r="A11" s="372" t="s">
        <v>9</v>
      </c>
      <c r="B11" s="372"/>
      <c r="C11" s="372"/>
      <c r="D11" s="372"/>
      <c r="E11" s="372"/>
      <c r="F11" s="372"/>
      <c r="G11" s="372"/>
      <c r="H11" s="372"/>
      <c r="I11" s="372"/>
      <c r="J11" s="372"/>
      <c r="K11" s="372"/>
    </row>
    <row r="12" spans="1:12" s="51" customFormat="1" x14ac:dyDescent="0.2">
      <c r="A12" s="372" t="s">
        <v>10</v>
      </c>
      <c r="B12" s="372"/>
      <c r="C12" s="372"/>
      <c r="D12" s="372"/>
      <c r="E12" s="372"/>
      <c r="F12" s="372"/>
      <c r="G12" s="372"/>
      <c r="H12" s="372"/>
      <c r="I12" s="372"/>
      <c r="J12" s="372"/>
      <c r="K12" s="372"/>
    </row>
    <row r="13" spans="1:12" s="59" customFormat="1" ht="6" customHeight="1" thickBot="1" x14ac:dyDescent="0.3">
      <c r="A13" s="60"/>
      <c r="B13" s="60"/>
      <c r="C13" s="60"/>
      <c r="D13" s="38"/>
      <c r="E13" s="58"/>
      <c r="F13" s="58"/>
      <c r="G13" s="58"/>
      <c r="H13" s="54"/>
      <c r="I13" s="54"/>
    </row>
    <row r="14" spans="1:12" s="59" customFormat="1" ht="15.75" thickBot="1" x14ac:dyDescent="0.3">
      <c r="A14" s="55" t="s">
        <v>381</v>
      </c>
      <c r="B14" s="56"/>
      <c r="C14" s="56"/>
      <c r="D14" s="61"/>
      <c r="E14" s="62"/>
      <c r="F14" s="62"/>
      <c r="G14" s="57">
        <f>'[1]Суворова 21'!$G$36</f>
        <v>80079.01939999999</v>
      </c>
      <c r="H14" s="54"/>
      <c r="I14" s="54"/>
    </row>
    <row r="15" spans="1:12" s="51" customFormat="1" ht="6.75" customHeight="1" x14ac:dyDescent="0.2"/>
    <row r="16" spans="1:12" s="66" customFormat="1" ht="52.5" customHeight="1" x14ac:dyDescent="0.25">
      <c r="A16" s="64" t="s">
        <v>11</v>
      </c>
      <c r="B16" s="64" t="s">
        <v>12</v>
      </c>
      <c r="C16" s="64" t="s">
        <v>61</v>
      </c>
      <c r="D16" s="64" t="s">
        <v>432</v>
      </c>
      <c r="E16" s="64" t="s">
        <v>433</v>
      </c>
      <c r="F16" s="65" t="s">
        <v>434</v>
      </c>
      <c r="G16" s="64" t="s">
        <v>435</v>
      </c>
    </row>
    <row r="17" spans="1:16" s="51" customFormat="1" ht="14.25" x14ac:dyDescent="0.2">
      <c r="A17" s="67" t="s">
        <v>14</v>
      </c>
      <c r="B17" s="39" t="s">
        <v>379</v>
      </c>
      <c r="C17" s="120">
        <v>23.85</v>
      </c>
      <c r="D17" s="68">
        <v>596800.81000000006</v>
      </c>
      <c r="E17" s="68">
        <v>584013.46</v>
      </c>
      <c r="F17" s="68">
        <f>D17</f>
        <v>596800.81000000006</v>
      </c>
      <c r="G17" s="69">
        <f>D17-E17</f>
        <v>12787.350000000093</v>
      </c>
      <c r="H17" s="70">
        <f>C17</f>
        <v>23.85</v>
      </c>
      <c r="I17" s="71"/>
      <c r="J17" s="71"/>
      <c r="K17" s="71"/>
      <c r="O17" s="70"/>
      <c r="P17" s="72"/>
    </row>
    <row r="18" spans="1:16" s="51" customFormat="1" ht="15" hidden="1" outlineLevel="1" x14ac:dyDescent="0.25">
      <c r="A18" s="73" t="s">
        <v>16</v>
      </c>
      <c r="B18" s="34" t="s">
        <v>17</v>
      </c>
      <c r="C18" s="89">
        <v>3.46</v>
      </c>
      <c r="D18" s="75">
        <f>D17*I18</f>
        <v>86579.907865828092</v>
      </c>
      <c r="E18" s="75">
        <f>E17*I18</f>
        <v>84724.803840670851</v>
      </c>
      <c r="F18" s="75">
        <f>D18</f>
        <v>86579.907865828092</v>
      </c>
      <c r="G18" s="76">
        <f>D18-E18</f>
        <v>1855.1040251572413</v>
      </c>
      <c r="H18" s="70">
        <f>C18</f>
        <v>3.46</v>
      </c>
      <c r="I18" s="51">
        <f>H18/H17</f>
        <v>0.14507337526205449</v>
      </c>
    </row>
    <row r="19" spans="1:16" s="51" customFormat="1" ht="15" hidden="1" outlineLevel="1" x14ac:dyDescent="0.25">
      <c r="A19" s="73" t="s">
        <v>18</v>
      </c>
      <c r="B19" s="34" t="s">
        <v>19</v>
      </c>
      <c r="C19" s="89">
        <v>1.69</v>
      </c>
      <c r="D19" s="75">
        <f>D17*I19</f>
        <v>42289.030142557647</v>
      </c>
      <c r="E19" s="75">
        <f>E17*I19</f>
        <v>41382.924419287199</v>
      </c>
      <c r="F19" s="75">
        <f>D19</f>
        <v>42289.030142557647</v>
      </c>
      <c r="G19" s="76">
        <f>D19-E19</f>
        <v>906.10572327044792</v>
      </c>
      <c r="H19" s="70">
        <f>C19</f>
        <v>1.69</v>
      </c>
      <c r="I19" s="51">
        <f>H19/H17</f>
        <v>7.0859538784067075E-2</v>
      </c>
    </row>
    <row r="20" spans="1:16" s="51" customFormat="1" ht="15" hidden="1" outlineLevel="1" x14ac:dyDescent="0.25">
      <c r="A20" s="73" t="s">
        <v>20</v>
      </c>
      <c r="B20" s="34" t="s">
        <v>21</v>
      </c>
      <c r="C20" s="89">
        <v>2.15</v>
      </c>
      <c r="D20" s="75">
        <f>D17*I20</f>
        <v>53799.653731656181</v>
      </c>
      <c r="E20" s="75">
        <f>E17*I20</f>
        <v>52646.915681341707</v>
      </c>
      <c r="F20" s="75">
        <f>D20</f>
        <v>53799.653731656181</v>
      </c>
      <c r="G20" s="76">
        <f>D20-E20</f>
        <v>1152.7380503144741</v>
      </c>
      <c r="H20" s="70">
        <f>C20</f>
        <v>2.15</v>
      </c>
      <c r="I20" s="51">
        <f>H20/H17</f>
        <v>9.0146750524109004E-2</v>
      </c>
    </row>
    <row r="21" spans="1:16" s="51" customFormat="1" ht="15" hidden="1" outlineLevel="1" x14ac:dyDescent="0.25">
      <c r="A21" s="73" t="s">
        <v>22</v>
      </c>
      <c r="B21" s="34" t="s">
        <v>23</v>
      </c>
      <c r="C21" s="89">
        <v>3.04</v>
      </c>
      <c r="D21" s="75">
        <f>D17*I21</f>
        <v>76070.208067085958</v>
      </c>
      <c r="E21" s="75">
        <f>E17*I21</f>
        <v>74440.290079664555</v>
      </c>
      <c r="F21" s="75">
        <f>D21</f>
        <v>76070.208067085958</v>
      </c>
      <c r="G21" s="76">
        <f>D21-E21</f>
        <v>1629.9179874214024</v>
      </c>
      <c r="H21" s="70">
        <f>C21</f>
        <v>3.04</v>
      </c>
      <c r="I21" s="51">
        <f>H21/H17</f>
        <v>0.12746331236897274</v>
      </c>
    </row>
    <row r="22" spans="1:16" s="81" customFormat="1" ht="14.25" collapsed="1" x14ac:dyDescent="0.2">
      <c r="A22" s="78" t="s">
        <v>25</v>
      </c>
      <c r="B22" s="78" t="s">
        <v>26</v>
      </c>
      <c r="C22" s="89">
        <v>0</v>
      </c>
      <c r="D22" s="79">
        <v>0</v>
      </c>
      <c r="E22" s="79">
        <v>0</v>
      </c>
      <c r="F22" s="79">
        <v>0</v>
      </c>
      <c r="G22" s="69">
        <f t="shared" ref="G22:G32" si="0">D22-E22</f>
        <v>0</v>
      </c>
      <c r="H22" s="80"/>
      <c r="I22" s="80"/>
      <c r="J22" s="80"/>
      <c r="K22" s="80"/>
    </row>
    <row r="23" spans="1:16" s="81" customFormat="1" ht="28.5" x14ac:dyDescent="0.2">
      <c r="A23" s="78" t="s">
        <v>27</v>
      </c>
      <c r="B23" s="78" t="s">
        <v>283</v>
      </c>
      <c r="C23" s="87">
        <v>0</v>
      </c>
      <c r="D23" s="79">
        <v>0</v>
      </c>
      <c r="E23" s="79">
        <v>0</v>
      </c>
      <c r="F23" s="79">
        <f>D23</f>
        <v>0</v>
      </c>
      <c r="G23" s="69">
        <f t="shared" si="0"/>
        <v>0</v>
      </c>
      <c r="H23" s="80"/>
      <c r="I23" s="80"/>
      <c r="J23" s="80"/>
      <c r="K23" s="80"/>
    </row>
    <row r="24" spans="1:16" s="81" customFormat="1" ht="14.25" x14ac:dyDescent="0.2">
      <c r="A24" s="78" t="s">
        <v>29</v>
      </c>
      <c r="B24" s="78" t="s">
        <v>30</v>
      </c>
      <c r="C24" s="126">
        <v>0</v>
      </c>
      <c r="D24" s="79">
        <v>0</v>
      </c>
      <c r="E24" s="79">
        <v>0</v>
      </c>
      <c r="F24" s="79">
        <v>0</v>
      </c>
      <c r="G24" s="69">
        <f t="shared" si="0"/>
        <v>0</v>
      </c>
      <c r="H24" s="80"/>
      <c r="I24" s="80"/>
      <c r="J24" s="80"/>
      <c r="K24" s="80"/>
    </row>
    <row r="25" spans="1:16" s="81" customFormat="1" ht="14.25" x14ac:dyDescent="0.2">
      <c r="A25" s="78" t="s">
        <v>31</v>
      </c>
      <c r="B25" s="78" t="s">
        <v>80</v>
      </c>
      <c r="C25" s="79">
        <v>2.36</v>
      </c>
      <c r="D25" s="79">
        <f>60513.6+D26</f>
        <v>62425.2</v>
      </c>
      <c r="E25" s="79">
        <f>60414+E26</f>
        <v>62644.2</v>
      </c>
      <c r="F25" s="79">
        <f>F43</f>
        <v>79731.392000000007</v>
      </c>
      <c r="G25" s="69">
        <f t="shared" si="0"/>
        <v>-219</v>
      </c>
      <c r="H25" s="80"/>
      <c r="I25" s="80"/>
      <c r="J25" s="80"/>
      <c r="K25" s="80"/>
    </row>
    <row r="26" spans="1:16" s="81" customFormat="1" ht="14.25" outlineLevel="1" x14ac:dyDescent="0.2">
      <c r="A26" s="78"/>
      <c r="B26" s="292" t="s">
        <v>244</v>
      </c>
      <c r="C26" s="293"/>
      <c r="D26" s="294">
        <v>1911.6</v>
      </c>
      <c r="E26" s="294">
        <v>2230.1999999999998</v>
      </c>
      <c r="F26" s="294"/>
      <c r="G26" s="248"/>
      <c r="H26" s="80"/>
      <c r="I26" s="80"/>
      <c r="J26" s="80"/>
      <c r="K26" s="80"/>
    </row>
    <row r="27" spans="1:16" ht="14.25" x14ac:dyDescent="0.2">
      <c r="A27" s="39" t="s">
        <v>33</v>
      </c>
      <c r="B27" s="39" t="s">
        <v>97</v>
      </c>
      <c r="C27" s="82">
        <v>0</v>
      </c>
      <c r="D27" s="69">
        <v>0</v>
      </c>
      <c r="E27" s="69">
        <v>0</v>
      </c>
      <c r="F27" s="79">
        <v>0</v>
      </c>
      <c r="G27" s="69">
        <f t="shared" si="0"/>
        <v>0</v>
      </c>
      <c r="H27" s="88"/>
      <c r="I27" s="88"/>
      <c r="J27" s="88"/>
      <c r="K27" s="88"/>
    </row>
    <row r="28" spans="1:16" ht="14.25" x14ac:dyDescent="0.2">
      <c r="A28" s="39" t="s">
        <v>35</v>
      </c>
      <c r="B28" s="39" t="s">
        <v>36</v>
      </c>
      <c r="C28" s="69"/>
      <c r="D28" s="69">
        <f>SUM(D29:D32)</f>
        <v>60626.11</v>
      </c>
      <c r="E28" s="69">
        <f>SUM(E29:E32)</f>
        <v>78767.319999999992</v>
      </c>
      <c r="F28" s="69">
        <f>SUM(F29:F32)</f>
        <v>60626.11</v>
      </c>
      <c r="G28" s="69">
        <f t="shared" si="0"/>
        <v>-18141.209999999992</v>
      </c>
      <c r="H28" s="88"/>
      <c r="I28" s="88"/>
      <c r="J28" s="88"/>
      <c r="K28" s="88"/>
      <c r="N28" s="324"/>
    </row>
    <row r="29" spans="1:16" ht="15" x14ac:dyDescent="0.25">
      <c r="A29" s="34" t="s">
        <v>37</v>
      </c>
      <c r="B29" s="34" t="s">
        <v>101</v>
      </c>
      <c r="C29" s="89">
        <v>7.36</v>
      </c>
      <c r="D29" s="76">
        <v>30549.61</v>
      </c>
      <c r="E29" s="76">
        <v>25516.43</v>
      </c>
      <c r="F29" s="76">
        <f>D29</f>
        <v>30549.61</v>
      </c>
      <c r="G29" s="76">
        <f t="shared" si="0"/>
        <v>5033.18</v>
      </c>
    </row>
    <row r="30" spans="1:16" ht="15" x14ac:dyDescent="0.25">
      <c r="A30" s="34" t="s">
        <v>39</v>
      </c>
      <c r="B30" s="34" t="s">
        <v>84</v>
      </c>
      <c r="C30" s="89">
        <v>88.38</v>
      </c>
      <c r="D30" s="76">
        <v>12391.92</v>
      </c>
      <c r="E30" s="76">
        <v>18030.68</v>
      </c>
      <c r="F30" s="76">
        <f>D30</f>
        <v>12391.92</v>
      </c>
      <c r="G30" s="76">
        <f t="shared" si="0"/>
        <v>-5638.76</v>
      </c>
    </row>
    <row r="31" spans="1:16" ht="15" x14ac:dyDescent="0.25">
      <c r="A31" s="34" t="s">
        <v>42</v>
      </c>
      <c r="B31" s="34" t="s">
        <v>135</v>
      </c>
      <c r="C31" s="128">
        <v>278.94</v>
      </c>
      <c r="D31" s="76">
        <v>17684.580000000002</v>
      </c>
      <c r="E31" s="76">
        <v>22322.7</v>
      </c>
      <c r="F31" s="76">
        <f>D31</f>
        <v>17684.580000000002</v>
      </c>
      <c r="G31" s="76">
        <f t="shared" si="0"/>
        <v>-4638.119999999999</v>
      </c>
    </row>
    <row r="32" spans="1:16" ht="15" x14ac:dyDescent="0.25">
      <c r="A32" s="34" t="s">
        <v>41</v>
      </c>
      <c r="B32" s="34" t="s">
        <v>43</v>
      </c>
      <c r="C32" s="89">
        <v>3352.42</v>
      </c>
      <c r="D32" s="76">
        <v>0</v>
      </c>
      <c r="E32" s="76">
        <v>12897.51</v>
      </c>
      <c r="F32" s="76">
        <f>D32</f>
        <v>0</v>
      </c>
      <c r="G32" s="76">
        <f t="shared" si="0"/>
        <v>-12897.51</v>
      </c>
    </row>
    <row r="33" spans="1:14" s="92" customFormat="1" ht="15" customHeight="1" thickBot="1" x14ac:dyDescent="0.3">
      <c r="A33" s="373"/>
      <c r="B33" s="374"/>
      <c r="C33" s="374"/>
      <c r="D33" s="375"/>
      <c r="E33" s="375"/>
      <c r="F33" s="375"/>
      <c r="G33" s="91"/>
      <c r="H33" s="91"/>
      <c r="I33" s="91"/>
    </row>
    <row r="34" spans="1:14" s="59" customFormat="1" ht="15.75" thickBot="1" x14ac:dyDescent="0.3">
      <c r="A34" s="387" t="s">
        <v>427</v>
      </c>
      <c r="B34" s="388"/>
      <c r="C34" s="388"/>
      <c r="D34" s="57">
        <v>-5572.86</v>
      </c>
      <c r="E34" s="58"/>
      <c r="F34" s="58"/>
      <c r="G34" s="58"/>
      <c r="H34" s="54"/>
      <c r="I34" s="54"/>
    </row>
    <row r="35" spans="1:14" s="59" customFormat="1" ht="6" customHeight="1" thickBot="1" x14ac:dyDescent="0.3">
      <c r="A35" s="60"/>
      <c r="B35" s="60"/>
      <c r="C35" s="60"/>
      <c r="D35" s="38"/>
      <c r="E35" s="58"/>
      <c r="F35" s="58"/>
      <c r="G35" s="58"/>
      <c r="H35" s="54"/>
      <c r="I35" s="54"/>
    </row>
    <row r="36" spans="1:14" s="59" customFormat="1" ht="15.75" thickBot="1" x14ac:dyDescent="0.3">
      <c r="A36" s="55" t="s">
        <v>428</v>
      </c>
      <c r="B36" s="56"/>
      <c r="C36" s="56"/>
      <c r="D36" s="61"/>
      <c r="E36" s="62"/>
      <c r="F36" s="62"/>
      <c r="G36" s="129">
        <f>G14+E25-F25</f>
        <v>62991.827399999995</v>
      </c>
      <c r="H36" s="54"/>
      <c r="I36" s="54"/>
      <c r="N36" s="130"/>
    </row>
    <row r="37" spans="1:14" s="59" customFormat="1" ht="15" outlineLevel="1" x14ac:dyDescent="0.25">
      <c r="A37" s="60"/>
      <c r="B37" s="514" t="s">
        <v>134</v>
      </c>
      <c r="C37" s="515"/>
      <c r="D37" s="93"/>
      <c r="E37" s="93"/>
      <c r="F37" s="91"/>
      <c r="G37" s="91"/>
      <c r="H37" s="256"/>
      <c r="I37" s="256"/>
      <c r="J37" s="54"/>
      <c r="N37" s="130"/>
    </row>
    <row r="38" spans="1:14" s="59" customFormat="1" ht="15" outlineLevel="1" x14ac:dyDescent="0.25">
      <c r="A38" s="393" t="s">
        <v>91</v>
      </c>
      <c r="B38" s="394"/>
      <c r="C38" s="41" t="s">
        <v>92</v>
      </c>
      <c r="D38" s="41" t="s">
        <v>93</v>
      </c>
      <c r="E38" s="42" t="s">
        <v>94</v>
      </c>
      <c r="F38" s="40" t="s">
        <v>95</v>
      </c>
      <c r="G38" s="42" t="s">
        <v>96</v>
      </c>
      <c r="H38" s="250" t="s">
        <v>95</v>
      </c>
      <c r="I38" s="249" t="s">
        <v>96</v>
      </c>
      <c r="J38" s="54"/>
      <c r="N38" s="130"/>
    </row>
    <row r="39" spans="1:14" s="59" customFormat="1" ht="15" outlineLevel="1" x14ac:dyDescent="0.25">
      <c r="A39" s="395"/>
      <c r="B39" s="396"/>
      <c r="C39" s="358">
        <v>67.5</v>
      </c>
      <c r="D39" s="138">
        <f>E39/C39/6</f>
        <v>52.420148148148144</v>
      </c>
      <c r="E39" s="358">
        <v>21230.16</v>
      </c>
      <c r="F39" s="358">
        <v>24768.52</v>
      </c>
      <c r="G39" s="138">
        <f>E39-F39</f>
        <v>-3538.3600000000006</v>
      </c>
      <c r="H39" s="253">
        <f>2031.3+872.25+11984.25+8015.75+1064.7+933.66</f>
        <v>24901.91</v>
      </c>
      <c r="I39" s="251">
        <f>F39-H39</f>
        <v>-133.38999999999942</v>
      </c>
      <c r="J39" s="91"/>
      <c r="K39" s="91"/>
      <c r="L39" s="91"/>
    </row>
    <row r="40" spans="1:14" s="92" customFormat="1" ht="32.450000000000003" customHeight="1" x14ac:dyDescent="0.25">
      <c r="A40" s="371" t="s">
        <v>44</v>
      </c>
      <c r="B40" s="371"/>
      <c r="C40" s="371"/>
      <c r="D40" s="371"/>
      <c r="E40" s="371"/>
      <c r="F40" s="371"/>
      <c r="G40" s="371"/>
      <c r="H40" s="371"/>
      <c r="I40" s="371"/>
      <c r="J40" s="371"/>
      <c r="K40" s="371"/>
      <c r="L40" s="91"/>
      <c r="M40" s="91"/>
    </row>
    <row r="41" spans="1:14" ht="23.25" customHeight="1" x14ac:dyDescent="0.2"/>
    <row r="42" spans="1:14" ht="28.5" x14ac:dyDescent="0.2">
      <c r="A42" s="94" t="s">
        <v>11</v>
      </c>
      <c r="B42" s="416" t="s">
        <v>45</v>
      </c>
      <c r="C42" s="425"/>
      <c r="D42" s="94" t="s">
        <v>99</v>
      </c>
      <c r="E42" s="94" t="s">
        <v>98</v>
      </c>
      <c r="F42" s="416" t="s">
        <v>46</v>
      </c>
      <c r="G42" s="425"/>
      <c r="H42" s="207"/>
      <c r="I42" s="208"/>
      <c r="J42" s="66"/>
      <c r="K42" s="66"/>
    </row>
    <row r="43" spans="1:14" s="66" customFormat="1" ht="15" x14ac:dyDescent="0.25">
      <c r="A43" s="98" t="s">
        <v>47</v>
      </c>
      <c r="B43" s="418" t="s">
        <v>75</v>
      </c>
      <c r="C43" s="430"/>
      <c r="D43" s="99"/>
      <c r="E43" s="99"/>
      <c r="F43" s="436">
        <f>SUM(F44:G47)</f>
        <v>79731.392000000007</v>
      </c>
      <c r="G43" s="424"/>
      <c r="H43" s="209"/>
      <c r="I43" s="210"/>
      <c r="J43" s="103"/>
      <c r="K43" s="103"/>
      <c r="N43" s="97"/>
    </row>
    <row r="44" spans="1:14" s="103" customFormat="1" ht="15" x14ac:dyDescent="0.25">
      <c r="A44" s="34" t="s">
        <v>16</v>
      </c>
      <c r="B44" s="406" t="s">
        <v>542</v>
      </c>
      <c r="C44" s="407"/>
      <c r="D44" s="176" t="s">
        <v>137</v>
      </c>
      <c r="E44" s="176">
        <v>0.01</v>
      </c>
      <c r="F44" s="435">
        <v>7388.01</v>
      </c>
      <c r="G44" s="435"/>
      <c r="H44" s="38"/>
      <c r="I44" s="38"/>
      <c r="J44" s="49"/>
      <c r="K44" s="49"/>
      <c r="N44" s="104"/>
    </row>
    <row r="45" spans="1:14" s="103" customFormat="1" ht="15" x14ac:dyDescent="0.25">
      <c r="A45" s="34" t="s">
        <v>18</v>
      </c>
      <c r="B45" s="406" t="s">
        <v>543</v>
      </c>
      <c r="C45" s="407"/>
      <c r="D45" s="176" t="s">
        <v>137</v>
      </c>
      <c r="E45" s="176">
        <v>0.64</v>
      </c>
      <c r="F45" s="435">
        <v>50876.37</v>
      </c>
      <c r="G45" s="435"/>
      <c r="H45" s="38"/>
      <c r="I45" s="38"/>
      <c r="J45" s="49"/>
      <c r="K45" s="49"/>
      <c r="N45" s="104"/>
    </row>
    <row r="46" spans="1:14" s="103" customFormat="1" ht="15" x14ac:dyDescent="0.25">
      <c r="A46" s="34" t="s">
        <v>20</v>
      </c>
      <c r="B46" s="406" t="s">
        <v>488</v>
      </c>
      <c r="C46" s="407"/>
      <c r="D46" s="176" t="s">
        <v>100</v>
      </c>
      <c r="E46" s="176">
        <v>25</v>
      </c>
      <c r="F46" s="435">
        <v>20840.57</v>
      </c>
      <c r="G46" s="435"/>
      <c r="H46" s="38"/>
      <c r="I46" s="38"/>
      <c r="J46" s="49"/>
      <c r="K46" s="49"/>
      <c r="N46" s="104"/>
    </row>
    <row r="47" spans="1:14" s="51" customFormat="1" ht="15" x14ac:dyDescent="0.25">
      <c r="A47" s="34" t="s">
        <v>22</v>
      </c>
      <c r="B47" s="458" t="s">
        <v>108</v>
      </c>
      <c r="C47" s="459"/>
      <c r="D47" s="108"/>
      <c r="E47" s="108"/>
      <c r="F47" s="435">
        <f>E25*1%</f>
        <v>626.44200000000001</v>
      </c>
      <c r="G47" s="435"/>
    </row>
    <row r="48" spans="1:14" s="51" customFormat="1" x14ac:dyDescent="0.2"/>
    <row r="49" spans="1:10" s="59" customFormat="1" ht="15" x14ac:dyDescent="0.25">
      <c r="A49" s="51" t="s">
        <v>372</v>
      </c>
      <c r="C49" s="110" t="s">
        <v>49</v>
      </c>
      <c r="F49" s="59" t="s">
        <v>60</v>
      </c>
    </row>
    <row r="50" spans="1:10" s="51" customFormat="1" ht="15" x14ac:dyDescent="0.25">
      <c r="A50" s="59"/>
      <c r="B50" s="59"/>
      <c r="C50" s="110"/>
      <c r="D50" s="59"/>
      <c r="E50" s="59"/>
      <c r="F50" s="111" t="s">
        <v>438</v>
      </c>
      <c r="G50" s="59"/>
    </row>
    <row r="51" spans="1:10" s="51" customFormat="1" ht="15" x14ac:dyDescent="0.25">
      <c r="A51" s="59" t="s">
        <v>50</v>
      </c>
      <c r="B51" s="59"/>
      <c r="C51" s="110"/>
      <c r="D51" s="59"/>
      <c r="E51" s="59"/>
      <c r="F51" s="59"/>
      <c r="G51" s="59"/>
      <c r="H51" s="141"/>
      <c r="I51" s="141"/>
      <c r="J51" s="141"/>
    </row>
    <row r="52" spans="1:10" s="51" customFormat="1" ht="15" x14ac:dyDescent="0.25">
      <c r="A52" s="59"/>
      <c r="B52" s="59"/>
      <c r="C52" s="112" t="s">
        <v>51</v>
      </c>
      <c r="D52" s="59"/>
      <c r="E52" s="113"/>
      <c r="F52" s="113"/>
      <c r="G52" s="113"/>
    </row>
    <row r="53" spans="1:10" s="51" customFormat="1" x14ac:dyDescent="0.2"/>
  </sheetData>
  <mergeCells count="24">
    <mergeCell ref="B45:C45"/>
    <mergeCell ref="B46:C46"/>
    <mergeCell ref="F45:G45"/>
    <mergeCell ref="F46:G46"/>
    <mergeCell ref="B37:C37"/>
    <mergeCell ref="B42:C42"/>
    <mergeCell ref="A38:B39"/>
    <mergeCell ref="A12:K12"/>
    <mergeCell ref="A11:K11"/>
    <mergeCell ref="B43:C43"/>
    <mergeCell ref="A40:K40"/>
    <mergeCell ref="A34:C34"/>
    <mergeCell ref="A33:F33"/>
    <mergeCell ref="F42:G42"/>
    <mergeCell ref="B47:C47"/>
    <mergeCell ref="F47:G47"/>
    <mergeCell ref="B44:C44"/>
    <mergeCell ref="A1:K1"/>
    <mergeCell ref="A2:K2"/>
    <mergeCell ref="A3:K3"/>
    <mergeCell ref="A5:K5"/>
    <mergeCell ref="A10:K10"/>
    <mergeCell ref="F44:G44"/>
    <mergeCell ref="F43:G43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84EAC4-6E05-4BD8-8957-F806970CB34B}">
  <sheetPr>
    <tabColor rgb="FF7030A0"/>
  </sheetPr>
  <dimension ref="A1:P58"/>
  <sheetViews>
    <sheetView topLeftCell="A41" workbookViewId="0">
      <selection activeCell="A60" sqref="A60:IV61"/>
    </sheetView>
  </sheetViews>
  <sheetFormatPr defaultRowHeight="12.75" outlineLevelRow="1" outlineLevelCol="1" x14ac:dyDescent="0.2"/>
  <cols>
    <col min="1" max="1" width="5.85546875" style="49" customWidth="1"/>
    <col min="2" max="2" width="47" style="49" customWidth="1"/>
    <col min="3" max="4" width="14.85546875" style="49" customWidth="1"/>
    <col min="5" max="5" width="13.140625" style="49" bestFit="1" customWidth="1"/>
    <col min="6" max="6" width="12.85546875" style="49" customWidth="1"/>
    <col min="7" max="7" width="14.5703125" style="49" customWidth="1"/>
    <col min="8" max="9" width="11.5703125" style="49" hidden="1" customWidth="1" outlineLevel="1"/>
    <col min="10" max="10" width="10.140625" style="49" hidden="1" customWidth="1" outlineLevel="1"/>
    <col min="11" max="11" width="10.42578125" style="49" hidden="1" customWidth="1" outlineLevel="1"/>
    <col min="12" max="13" width="9.140625" style="49" hidden="1" customWidth="1" outlineLevel="1"/>
    <col min="14" max="14" width="9.140625" style="49" collapsed="1"/>
    <col min="15" max="15" width="10" style="49" bestFit="1" customWidth="1"/>
    <col min="16" max="16" width="15.85546875" style="49" customWidth="1"/>
    <col min="17" max="16384" width="9.140625" style="49"/>
  </cols>
  <sheetData>
    <row r="1" spans="1:12" x14ac:dyDescent="0.2">
      <c r="A1" s="370" t="s">
        <v>0</v>
      </c>
      <c r="B1" s="370"/>
      <c r="C1" s="370"/>
      <c r="D1" s="370"/>
      <c r="E1" s="370"/>
      <c r="F1" s="370"/>
      <c r="G1" s="370"/>
      <c r="H1" s="370"/>
      <c r="I1" s="370"/>
      <c r="J1" s="370"/>
      <c r="K1" s="370"/>
    </row>
    <row r="2" spans="1:12" ht="12.75" customHeight="1" x14ac:dyDescent="0.2">
      <c r="A2" s="370" t="s">
        <v>279</v>
      </c>
      <c r="B2" s="370"/>
      <c r="C2" s="370"/>
      <c r="D2" s="370"/>
      <c r="E2" s="370"/>
      <c r="F2" s="370"/>
      <c r="G2" s="370"/>
      <c r="H2" s="370"/>
      <c r="I2" s="370"/>
      <c r="J2" s="370"/>
      <c r="K2" s="370"/>
    </row>
    <row r="3" spans="1:12" ht="13.5" customHeight="1" x14ac:dyDescent="0.2">
      <c r="A3" s="370" t="s">
        <v>426</v>
      </c>
      <c r="B3" s="370"/>
      <c r="C3" s="370"/>
      <c r="D3" s="370"/>
      <c r="E3" s="370"/>
      <c r="F3" s="370"/>
      <c r="G3" s="370"/>
      <c r="H3" s="370"/>
      <c r="I3" s="370"/>
      <c r="J3" s="370"/>
      <c r="K3" s="370"/>
    </row>
    <row r="4" spans="1:12" ht="9" customHeight="1" x14ac:dyDescent="0.2">
      <c r="A4" s="48"/>
      <c r="B4" s="48"/>
      <c r="C4" s="48"/>
      <c r="D4" s="48"/>
      <c r="E4" s="48"/>
      <c r="F4" s="48"/>
      <c r="G4" s="48"/>
      <c r="H4" s="48"/>
      <c r="I4" s="48"/>
      <c r="J4" s="48"/>
      <c r="K4" s="48"/>
    </row>
    <row r="5" spans="1:12" ht="16.5" customHeight="1" x14ac:dyDescent="0.2">
      <c r="A5" s="371" t="s">
        <v>1</v>
      </c>
      <c r="B5" s="370"/>
      <c r="C5" s="370"/>
      <c r="D5" s="370"/>
      <c r="E5" s="370"/>
      <c r="F5" s="370"/>
      <c r="G5" s="370"/>
      <c r="H5" s="370"/>
      <c r="I5" s="370"/>
      <c r="J5" s="370"/>
      <c r="K5" s="370"/>
    </row>
    <row r="7" spans="1:12" s="51" customFormat="1" ht="16.5" customHeight="1" x14ac:dyDescent="0.2">
      <c r="A7" s="51" t="s">
        <v>2</v>
      </c>
      <c r="F7" s="52" t="s">
        <v>289</v>
      </c>
      <c r="H7" s="52"/>
      <c r="L7" s="214"/>
    </row>
    <row r="8" spans="1:12" s="51" customFormat="1" x14ac:dyDescent="0.2">
      <c r="A8" s="51" t="s">
        <v>3</v>
      </c>
      <c r="F8" s="242" t="s">
        <v>375</v>
      </c>
      <c r="H8" s="52"/>
      <c r="I8" s="53">
        <f>253.95+253.95</f>
        <v>507.9</v>
      </c>
      <c r="J8" s="51">
        <f>K8-I8</f>
        <v>3593.7999999999997</v>
      </c>
      <c r="K8" s="276">
        <v>4101.7</v>
      </c>
    </row>
    <row r="9" spans="1:12" s="51" customFormat="1" x14ac:dyDescent="0.2">
      <c r="B9" s="51" t="s">
        <v>252</v>
      </c>
      <c r="F9" s="242" t="s">
        <v>290</v>
      </c>
      <c r="H9" s="52"/>
      <c r="I9" s="214"/>
      <c r="K9" s="276"/>
    </row>
    <row r="10" spans="1:12" s="51" customFormat="1" x14ac:dyDescent="0.2">
      <c r="A10" s="372" t="s">
        <v>8</v>
      </c>
      <c r="B10" s="372"/>
      <c r="C10" s="372"/>
      <c r="D10" s="372"/>
      <c r="E10" s="372"/>
      <c r="F10" s="372"/>
      <c r="G10" s="372"/>
      <c r="H10" s="372"/>
      <c r="I10" s="372"/>
      <c r="J10" s="372"/>
      <c r="K10" s="372"/>
    </row>
    <row r="11" spans="1:12" s="51" customFormat="1" x14ac:dyDescent="0.2">
      <c r="A11" s="372" t="s">
        <v>9</v>
      </c>
      <c r="B11" s="372"/>
      <c r="C11" s="372"/>
      <c r="D11" s="372"/>
      <c r="E11" s="372"/>
      <c r="F11" s="372"/>
      <c r="G11" s="372"/>
      <c r="H11" s="372"/>
      <c r="I11" s="372"/>
      <c r="J11" s="372"/>
      <c r="K11" s="372"/>
    </row>
    <row r="12" spans="1:12" s="51" customFormat="1" x14ac:dyDescent="0.2">
      <c r="A12" s="372" t="s">
        <v>10</v>
      </c>
      <c r="B12" s="372"/>
      <c r="C12" s="372"/>
      <c r="D12" s="372"/>
      <c r="E12" s="372"/>
      <c r="F12" s="372"/>
      <c r="G12" s="372"/>
      <c r="H12" s="372"/>
      <c r="I12" s="372"/>
      <c r="J12" s="372"/>
      <c r="K12" s="372"/>
    </row>
    <row r="13" spans="1:12" s="59" customFormat="1" ht="6" customHeight="1" thickBot="1" x14ac:dyDescent="0.3">
      <c r="A13" s="60"/>
      <c r="B13" s="60"/>
      <c r="C13" s="60"/>
      <c r="D13" s="38"/>
      <c r="E13" s="58"/>
      <c r="F13" s="58"/>
      <c r="G13" s="58"/>
      <c r="H13" s="54"/>
      <c r="I13" s="54"/>
    </row>
    <row r="14" spans="1:12" s="59" customFormat="1" ht="13.5" customHeight="1" thickBot="1" x14ac:dyDescent="0.3">
      <c r="A14" s="55" t="s">
        <v>544</v>
      </c>
      <c r="B14" s="56"/>
      <c r="C14" s="56"/>
      <c r="D14" s="61"/>
      <c r="E14" s="62"/>
      <c r="F14" s="62"/>
      <c r="G14" s="57">
        <f>'[1]Суворова 21а'!$G$38</f>
        <v>39976.58</v>
      </c>
      <c r="H14" s="54"/>
      <c r="I14" s="54"/>
    </row>
    <row r="15" spans="1:12" s="59" customFormat="1" ht="15.75" thickBot="1" x14ac:dyDescent="0.3">
      <c r="A15" s="55" t="s">
        <v>381</v>
      </c>
      <c r="B15" s="56"/>
      <c r="C15" s="56"/>
      <c r="D15" s="61"/>
      <c r="E15" s="62"/>
      <c r="F15" s="62"/>
      <c r="G15" s="57">
        <f>'[1]Суворова 21а'!$G$39</f>
        <v>-416981.26309999992</v>
      </c>
      <c r="H15" s="54"/>
      <c r="I15" s="54"/>
    </row>
    <row r="16" spans="1:12" s="51" customFormat="1" ht="6.75" customHeight="1" x14ac:dyDescent="0.2"/>
    <row r="17" spans="1:16" s="66" customFormat="1" ht="52.5" customHeight="1" x14ac:dyDescent="0.25">
      <c r="A17" s="64" t="s">
        <v>11</v>
      </c>
      <c r="B17" s="64" t="s">
        <v>12</v>
      </c>
      <c r="C17" s="64" t="s">
        <v>61</v>
      </c>
      <c r="D17" s="64" t="s">
        <v>432</v>
      </c>
      <c r="E17" s="64" t="s">
        <v>433</v>
      </c>
      <c r="F17" s="65" t="s">
        <v>434</v>
      </c>
      <c r="G17" s="64" t="s">
        <v>435</v>
      </c>
    </row>
    <row r="18" spans="1:16" s="51" customFormat="1" ht="14.25" x14ac:dyDescent="0.2">
      <c r="A18" s="67" t="s">
        <v>14</v>
      </c>
      <c r="B18" s="39" t="s">
        <v>379</v>
      </c>
      <c r="C18" s="120">
        <v>20.32</v>
      </c>
      <c r="D18" s="68">
        <v>876312.24</v>
      </c>
      <c r="E18" s="68">
        <v>857288.53</v>
      </c>
      <c r="F18" s="68">
        <f t="shared" ref="F18:F24" si="0">D18</f>
        <v>876312.24</v>
      </c>
      <c r="G18" s="69">
        <f>D18-E18</f>
        <v>19023.709999999963</v>
      </c>
      <c r="H18" s="70">
        <f>C18</f>
        <v>20.32</v>
      </c>
      <c r="I18" s="71"/>
      <c r="J18" s="71"/>
      <c r="K18" s="71"/>
      <c r="O18" s="70"/>
      <c r="P18" s="72"/>
    </row>
    <row r="19" spans="1:16" s="51" customFormat="1" ht="15" hidden="1" outlineLevel="1" x14ac:dyDescent="0.25">
      <c r="A19" s="73" t="s">
        <v>16</v>
      </c>
      <c r="B19" s="34" t="s">
        <v>17</v>
      </c>
      <c r="C19" s="89">
        <v>3.46</v>
      </c>
      <c r="D19" s="75">
        <f>D18*I19</f>
        <v>149214.58417322836</v>
      </c>
      <c r="E19" s="75">
        <f>E18*I19</f>
        <v>145975.31071850396</v>
      </c>
      <c r="F19" s="75">
        <f t="shared" si="0"/>
        <v>149214.58417322836</v>
      </c>
      <c r="G19" s="76">
        <f>D19-E19</f>
        <v>3239.2734547244036</v>
      </c>
      <c r="H19" s="70">
        <f>C19</f>
        <v>3.46</v>
      </c>
      <c r="I19" s="51">
        <f>H19/H18</f>
        <v>0.17027559055118111</v>
      </c>
    </row>
    <row r="20" spans="1:16" s="51" customFormat="1" ht="15" hidden="1" outlineLevel="1" x14ac:dyDescent="0.25">
      <c r="A20" s="73" t="s">
        <v>18</v>
      </c>
      <c r="B20" s="34" t="s">
        <v>19</v>
      </c>
      <c r="C20" s="89">
        <v>1.69</v>
      </c>
      <c r="D20" s="75">
        <f>D18*I20</f>
        <v>72882.26799212597</v>
      </c>
      <c r="E20" s="75">
        <f>E18*I20</f>
        <v>71300.079512795273</v>
      </c>
      <c r="F20" s="75">
        <f t="shared" si="0"/>
        <v>72882.26799212597</v>
      </c>
      <c r="G20" s="76">
        <f>D20-E20</f>
        <v>1582.1884793306963</v>
      </c>
      <c r="H20" s="70">
        <f>C20</f>
        <v>1.69</v>
      </c>
      <c r="I20" s="51">
        <f>H20/H18</f>
        <v>8.3169291338582668E-2</v>
      </c>
    </row>
    <row r="21" spans="1:16" s="51" customFormat="1" ht="15" hidden="1" outlineLevel="1" x14ac:dyDescent="0.25">
      <c r="A21" s="73" t="s">
        <v>20</v>
      </c>
      <c r="B21" s="34" t="s">
        <v>21</v>
      </c>
      <c r="C21" s="89">
        <v>2.15</v>
      </c>
      <c r="D21" s="75">
        <f>D18*I21</f>
        <v>92720.04507874015</v>
      </c>
      <c r="E21" s="75">
        <f>E18*I21</f>
        <v>90707.201747047235</v>
      </c>
      <c r="F21" s="75">
        <f t="shared" si="0"/>
        <v>92720.04507874015</v>
      </c>
      <c r="G21" s="76">
        <f>D21-E21</f>
        <v>2012.8433316929149</v>
      </c>
      <c r="H21" s="70">
        <f>C21</f>
        <v>2.15</v>
      </c>
      <c r="I21" s="51">
        <f>H21/H18</f>
        <v>0.10580708661417322</v>
      </c>
    </row>
    <row r="22" spans="1:16" s="51" customFormat="1" ht="15" hidden="1" outlineLevel="1" x14ac:dyDescent="0.25">
      <c r="A22" s="73" t="s">
        <v>22</v>
      </c>
      <c r="B22" s="34" t="s">
        <v>23</v>
      </c>
      <c r="C22" s="89">
        <v>3.04</v>
      </c>
      <c r="D22" s="75">
        <f>D18*I22</f>
        <v>131101.83118110237</v>
      </c>
      <c r="E22" s="75">
        <f>E18*I22</f>
        <v>128255.76433070867</v>
      </c>
      <c r="F22" s="75">
        <f t="shared" si="0"/>
        <v>131101.83118110237</v>
      </c>
      <c r="G22" s="76">
        <f>D22-E22</f>
        <v>2846.066850393705</v>
      </c>
      <c r="H22" s="70">
        <f>C22</f>
        <v>3.04</v>
      </c>
      <c r="I22" s="51">
        <f>H22/H18</f>
        <v>0.14960629921259844</v>
      </c>
    </row>
    <row r="23" spans="1:16" s="81" customFormat="1" ht="28.5" collapsed="1" x14ac:dyDescent="0.2">
      <c r="A23" s="78" t="s">
        <v>25</v>
      </c>
      <c r="B23" s="78" t="s">
        <v>283</v>
      </c>
      <c r="C23" s="46">
        <v>135</v>
      </c>
      <c r="D23" s="79">
        <v>0</v>
      </c>
      <c r="E23" s="79">
        <v>183.64</v>
      </c>
      <c r="F23" s="79">
        <f t="shared" si="0"/>
        <v>0</v>
      </c>
      <c r="G23" s="69">
        <f t="shared" ref="G23:G33" si="1">D23-E23</f>
        <v>-183.64</v>
      </c>
      <c r="H23" s="80"/>
      <c r="I23" s="80"/>
      <c r="J23" s="80"/>
      <c r="K23" s="80"/>
    </row>
    <row r="24" spans="1:16" s="81" customFormat="1" ht="14.25" x14ac:dyDescent="0.2">
      <c r="A24" s="78" t="s">
        <v>27</v>
      </c>
      <c r="B24" s="78" t="s">
        <v>26</v>
      </c>
      <c r="C24" s="87">
        <v>4.3600000000000003</v>
      </c>
      <c r="D24" s="79">
        <v>187169.23</v>
      </c>
      <c r="E24" s="79">
        <v>184163.12</v>
      </c>
      <c r="F24" s="79">
        <f t="shared" si="0"/>
        <v>187169.23</v>
      </c>
      <c r="G24" s="69">
        <f t="shared" si="1"/>
        <v>3006.1100000000151</v>
      </c>
      <c r="H24" s="80"/>
      <c r="I24" s="80"/>
      <c r="J24" s="80"/>
      <c r="K24" s="80"/>
    </row>
    <row r="25" spans="1:16" s="81" customFormat="1" ht="14.25" x14ac:dyDescent="0.2">
      <c r="A25" s="78" t="s">
        <v>29</v>
      </c>
      <c r="B25" s="78" t="s">
        <v>30</v>
      </c>
      <c r="C25" s="126">
        <v>0</v>
      </c>
      <c r="D25" s="79">
        <v>0</v>
      </c>
      <c r="E25" s="79">
        <v>0</v>
      </c>
      <c r="F25" s="79">
        <v>0</v>
      </c>
      <c r="G25" s="69">
        <f t="shared" si="1"/>
        <v>0</v>
      </c>
      <c r="H25" s="80"/>
      <c r="I25" s="80"/>
      <c r="J25" s="80"/>
      <c r="K25" s="80"/>
    </row>
    <row r="26" spans="1:16" s="81" customFormat="1" ht="14.25" x14ac:dyDescent="0.2">
      <c r="A26" s="78" t="s">
        <v>31</v>
      </c>
      <c r="B26" s="78" t="s">
        <v>80</v>
      </c>
      <c r="C26" s="79">
        <v>2.0099999999999998</v>
      </c>
      <c r="D26" s="79">
        <f>86682.48+D27</f>
        <v>99258.64</v>
      </c>
      <c r="E26" s="79">
        <f>85309+E27</f>
        <v>97885.16</v>
      </c>
      <c r="F26" s="79">
        <f>F46</f>
        <v>86747.3416</v>
      </c>
      <c r="G26" s="69">
        <f t="shared" si="1"/>
        <v>1373.4799999999959</v>
      </c>
      <c r="H26" s="80"/>
      <c r="I26" s="80"/>
      <c r="J26" s="80"/>
      <c r="K26" s="80"/>
    </row>
    <row r="27" spans="1:16" s="81" customFormat="1" ht="14.25" x14ac:dyDescent="0.2">
      <c r="A27" s="78"/>
      <c r="B27" s="292" t="s">
        <v>244</v>
      </c>
      <c r="C27" s="293"/>
      <c r="D27" s="294">
        <f>6288.08+6288.08</f>
        <v>12576.16</v>
      </c>
      <c r="E27" s="294">
        <f>6288.08+6288.08</f>
        <v>12576.16</v>
      </c>
      <c r="F27" s="294"/>
      <c r="G27" s="248">
        <f>D27-E27</f>
        <v>0</v>
      </c>
      <c r="H27" s="80"/>
      <c r="I27" s="80"/>
      <c r="J27" s="80"/>
      <c r="K27" s="80"/>
    </row>
    <row r="28" spans="1:16" ht="14.25" x14ac:dyDescent="0.2">
      <c r="A28" s="39" t="s">
        <v>33</v>
      </c>
      <c r="B28" s="39" t="s">
        <v>97</v>
      </c>
      <c r="C28" s="82">
        <v>0</v>
      </c>
      <c r="D28" s="69">
        <v>0</v>
      </c>
      <c r="E28" s="69">
        <v>0</v>
      </c>
      <c r="F28" s="79">
        <v>0</v>
      </c>
      <c r="G28" s="69">
        <f t="shared" si="1"/>
        <v>0</v>
      </c>
      <c r="H28" s="88"/>
      <c r="I28" s="88"/>
      <c r="J28" s="88"/>
      <c r="K28" s="88"/>
    </row>
    <row r="29" spans="1:16" ht="14.25" x14ac:dyDescent="0.2">
      <c r="A29" s="39" t="s">
        <v>35</v>
      </c>
      <c r="B29" s="39" t="s">
        <v>36</v>
      </c>
      <c r="C29" s="69"/>
      <c r="D29" s="69">
        <f>SUM(D30:D33)</f>
        <v>2892254.2</v>
      </c>
      <c r="E29" s="69">
        <f>SUM(E30:E33)</f>
        <v>2813811.7</v>
      </c>
      <c r="F29" s="69">
        <f>SUM(F30:F33)</f>
        <v>2892254.2</v>
      </c>
      <c r="G29" s="69">
        <f>SUM(G30:G33)</f>
        <v>78442.499999999913</v>
      </c>
      <c r="H29" s="88"/>
      <c r="I29" s="88"/>
      <c r="J29" s="88"/>
      <c r="K29" s="88"/>
    </row>
    <row r="30" spans="1:16" ht="15" x14ac:dyDescent="0.25">
      <c r="A30" s="34" t="s">
        <v>37</v>
      </c>
      <c r="B30" s="34" t="s">
        <v>101</v>
      </c>
      <c r="C30" s="89">
        <v>7.36</v>
      </c>
      <c r="D30" s="76">
        <v>100036.71</v>
      </c>
      <c r="E30" s="76">
        <v>97591.55</v>
      </c>
      <c r="F30" s="76">
        <f>D30</f>
        <v>100036.71</v>
      </c>
      <c r="G30" s="76">
        <f t="shared" si="1"/>
        <v>2445.1600000000035</v>
      </c>
    </row>
    <row r="31" spans="1:16" ht="15" x14ac:dyDescent="0.25">
      <c r="A31" s="34" t="s">
        <v>39</v>
      </c>
      <c r="B31" s="34" t="s">
        <v>84</v>
      </c>
      <c r="C31" s="89">
        <v>88.38</v>
      </c>
      <c r="D31" s="76">
        <v>356304.8</v>
      </c>
      <c r="E31" s="76">
        <v>335016.78000000003</v>
      </c>
      <c r="F31" s="76">
        <f>D31</f>
        <v>356304.8</v>
      </c>
      <c r="G31" s="76">
        <f t="shared" si="1"/>
        <v>21288.01999999996</v>
      </c>
    </row>
    <row r="32" spans="1:16" ht="15" x14ac:dyDescent="0.25">
      <c r="A32" s="34" t="s">
        <v>42</v>
      </c>
      <c r="B32" s="34" t="s">
        <v>135</v>
      </c>
      <c r="C32" s="128">
        <v>278.94</v>
      </c>
      <c r="D32" s="76">
        <v>495488.97</v>
      </c>
      <c r="E32" s="76">
        <v>469414.39</v>
      </c>
      <c r="F32" s="76">
        <f>D32</f>
        <v>495488.97</v>
      </c>
      <c r="G32" s="76">
        <f t="shared" si="1"/>
        <v>26074.579999999958</v>
      </c>
    </row>
    <row r="33" spans="1:14" ht="15" x14ac:dyDescent="0.25">
      <c r="A33" s="34" t="s">
        <v>41</v>
      </c>
      <c r="B33" s="34" t="s">
        <v>43</v>
      </c>
      <c r="C33" s="89">
        <v>3352.42</v>
      </c>
      <c r="D33" s="76">
        <v>1940423.72</v>
      </c>
      <c r="E33" s="76">
        <v>1911788.98</v>
      </c>
      <c r="F33" s="76">
        <f>D33</f>
        <v>1940423.72</v>
      </c>
      <c r="G33" s="76">
        <f t="shared" si="1"/>
        <v>28634.739999999991</v>
      </c>
    </row>
    <row r="34" spans="1:14" s="92" customFormat="1" ht="7.5" customHeight="1" x14ac:dyDescent="0.25">
      <c r="A34" s="90"/>
      <c r="B34" s="90"/>
      <c r="C34" s="90"/>
      <c r="D34" s="91"/>
      <c r="E34" s="91"/>
      <c r="F34" s="91"/>
      <c r="G34" s="91"/>
      <c r="H34" s="91"/>
      <c r="I34" s="91"/>
    </row>
    <row r="35" spans="1:14" s="92" customFormat="1" ht="18" customHeight="1" thickBot="1" x14ac:dyDescent="0.3">
      <c r="A35" s="373"/>
      <c r="B35" s="374"/>
      <c r="C35" s="374"/>
      <c r="D35" s="375"/>
      <c r="E35" s="375"/>
      <c r="F35" s="375"/>
      <c r="G35" s="91"/>
      <c r="H35" s="91"/>
      <c r="I35" s="91"/>
    </row>
    <row r="36" spans="1:14" s="59" customFormat="1" ht="15.75" thickBot="1" x14ac:dyDescent="0.3">
      <c r="A36" s="387" t="s">
        <v>427</v>
      </c>
      <c r="B36" s="388"/>
      <c r="C36" s="388"/>
      <c r="D36" s="57">
        <v>101662.16</v>
      </c>
      <c r="E36" s="58"/>
      <c r="F36" s="58"/>
      <c r="G36" s="58"/>
      <c r="H36" s="54"/>
      <c r="I36" s="54"/>
    </row>
    <row r="37" spans="1:14" s="59" customFormat="1" ht="6" customHeight="1" thickBot="1" x14ac:dyDescent="0.3">
      <c r="A37" s="60"/>
      <c r="B37" s="60"/>
      <c r="C37" s="60"/>
      <c r="D37" s="38"/>
      <c r="E37" s="58"/>
      <c r="F37" s="58"/>
      <c r="G37" s="58"/>
      <c r="H37" s="54"/>
      <c r="I37" s="54"/>
    </row>
    <row r="38" spans="1:14" s="59" customFormat="1" ht="13.5" customHeight="1" thickBot="1" x14ac:dyDescent="0.3">
      <c r="A38" s="55" t="s">
        <v>464</v>
      </c>
      <c r="B38" s="56"/>
      <c r="C38" s="56"/>
      <c r="D38" s="61"/>
      <c r="E38" s="62"/>
      <c r="F38" s="62"/>
      <c r="G38" s="129">
        <f>G14</f>
        <v>39976.58</v>
      </c>
      <c r="H38" s="54"/>
      <c r="I38" s="54"/>
    </row>
    <row r="39" spans="1:14" s="59" customFormat="1" ht="15.75" thickBot="1" x14ac:dyDescent="0.3">
      <c r="A39" s="55" t="s">
        <v>428</v>
      </c>
      <c r="B39" s="56"/>
      <c r="C39" s="56"/>
      <c r="D39" s="61"/>
      <c r="E39" s="62"/>
      <c r="F39" s="62"/>
      <c r="G39" s="129">
        <f>G15+E26-F26</f>
        <v>-405843.44469999993</v>
      </c>
      <c r="H39" s="54"/>
      <c r="I39" s="54"/>
    </row>
    <row r="40" spans="1:14" s="59" customFormat="1" ht="15" x14ac:dyDescent="0.25">
      <c r="A40" s="514" t="s">
        <v>134</v>
      </c>
      <c r="B40" s="515"/>
      <c r="C40" s="93"/>
      <c r="D40" s="93"/>
      <c r="E40" s="91"/>
      <c r="F40" s="91"/>
      <c r="G40" s="38"/>
      <c r="H40" s="54"/>
      <c r="I40" s="54"/>
    </row>
    <row r="41" spans="1:14" s="59" customFormat="1" ht="15" x14ac:dyDescent="0.25">
      <c r="A41" s="393" t="s">
        <v>91</v>
      </c>
      <c r="B41" s="394"/>
      <c r="C41" s="41" t="s">
        <v>92</v>
      </c>
      <c r="D41" s="41" t="s">
        <v>93</v>
      </c>
      <c r="E41" s="42" t="s">
        <v>94</v>
      </c>
      <c r="F41" s="40" t="s">
        <v>95</v>
      </c>
      <c r="G41" s="42" t="s">
        <v>96</v>
      </c>
      <c r="H41" s="54"/>
      <c r="I41" s="54">
        <f>253.95*3*H42</f>
        <v>20333.776499999996</v>
      </c>
    </row>
    <row r="42" spans="1:14" s="59" customFormat="1" ht="15" x14ac:dyDescent="0.25">
      <c r="A42" s="395"/>
      <c r="B42" s="396"/>
      <c r="C42" s="342">
        <f>253.95+253.95+6.75+6.75</f>
        <v>521.4</v>
      </c>
      <c r="D42" s="138">
        <f>E42/C42/12</f>
        <v>27.731261986958188</v>
      </c>
      <c r="E42" s="358">
        <f>86754.48+86754.48</f>
        <v>173508.96</v>
      </c>
      <c r="F42" s="360">
        <f>86214+86214</f>
        <v>172428</v>
      </c>
      <c r="G42" s="138">
        <f>E42-F42</f>
        <v>1080.9599999999919</v>
      </c>
      <c r="H42" s="91">
        <f>C18+C24+C26</f>
        <v>26.689999999999998</v>
      </c>
      <c r="I42" s="91"/>
      <c r="J42" s="91">
        <f>60262.32+60262.32</f>
        <v>120524.64</v>
      </c>
      <c r="K42" s="91">
        <f>49725.96+49725.96</f>
        <v>99451.92</v>
      </c>
    </row>
    <row r="43" spans="1:14" s="92" customFormat="1" ht="25.5" customHeight="1" x14ac:dyDescent="0.25">
      <c r="A43" s="371" t="s">
        <v>44</v>
      </c>
      <c r="B43" s="371"/>
      <c r="C43" s="371"/>
      <c r="D43" s="371"/>
      <c r="E43" s="371"/>
      <c r="F43" s="371"/>
      <c r="G43" s="371"/>
      <c r="H43" s="371"/>
      <c r="I43" s="371"/>
      <c r="J43" s="371"/>
      <c r="K43" s="371"/>
      <c r="L43" s="91"/>
      <c r="M43" s="91"/>
    </row>
    <row r="44" spans="1:14" ht="23.25" customHeight="1" x14ac:dyDescent="0.2"/>
    <row r="45" spans="1:14" ht="28.5" x14ac:dyDescent="0.2">
      <c r="A45" s="94" t="s">
        <v>11</v>
      </c>
      <c r="B45" s="416" t="s">
        <v>45</v>
      </c>
      <c r="C45" s="425"/>
      <c r="D45" s="94" t="s">
        <v>99</v>
      </c>
      <c r="E45" s="94" t="s">
        <v>98</v>
      </c>
      <c r="F45" s="416" t="s">
        <v>46</v>
      </c>
      <c r="G45" s="425"/>
      <c r="H45" s="207"/>
      <c r="I45" s="208"/>
      <c r="J45" s="66"/>
      <c r="K45" s="66"/>
    </row>
    <row r="46" spans="1:14" s="66" customFormat="1" ht="15" x14ac:dyDescent="0.25">
      <c r="A46" s="98" t="s">
        <v>47</v>
      </c>
      <c r="B46" s="418" t="s">
        <v>75</v>
      </c>
      <c r="C46" s="430"/>
      <c r="D46" s="99"/>
      <c r="E46" s="99"/>
      <c r="F46" s="436">
        <f>SUM(F47:G52)</f>
        <v>86747.3416</v>
      </c>
      <c r="G46" s="424"/>
      <c r="H46" s="209"/>
      <c r="I46" s="210"/>
      <c r="J46" s="103"/>
      <c r="K46" s="103"/>
      <c r="N46" s="97"/>
    </row>
    <row r="47" spans="1:14" s="66" customFormat="1" ht="15" x14ac:dyDescent="0.25">
      <c r="A47" s="34" t="s">
        <v>16</v>
      </c>
      <c r="B47" s="406" t="s">
        <v>518</v>
      </c>
      <c r="C47" s="407"/>
      <c r="D47" s="176" t="s">
        <v>137</v>
      </c>
      <c r="E47" s="176">
        <v>0.08</v>
      </c>
      <c r="F47" s="435">
        <v>16674.599999999999</v>
      </c>
      <c r="G47" s="435"/>
      <c r="H47" s="101"/>
      <c r="I47" s="102"/>
      <c r="J47" s="103"/>
      <c r="K47" s="103"/>
      <c r="N47" s="97"/>
    </row>
    <row r="48" spans="1:14" s="66" customFormat="1" ht="15" x14ac:dyDescent="0.25">
      <c r="A48" s="34" t="s">
        <v>18</v>
      </c>
      <c r="B48" s="406" t="s">
        <v>491</v>
      </c>
      <c r="C48" s="407"/>
      <c r="D48" s="176" t="s">
        <v>100</v>
      </c>
      <c r="E48" s="176">
        <v>4</v>
      </c>
      <c r="F48" s="435">
        <v>31760.95</v>
      </c>
      <c r="G48" s="435"/>
      <c r="H48" s="101"/>
      <c r="I48" s="102"/>
      <c r="J48" s="103"/>
      <c r="K48" s="103"/>
      <c r="N48" s="97"/>
    </row>
    <row r="49" spans="1:14" s="66" customFormat="1" ht="15" x14ac:dyDescent="0.25">
      <c r="A49" s="34" t="s">
        <v>20</v>
      </c>
      <c r="B49" s="406" t="s">
        <v>545</v>
      </c>
      <c r="C49" s="407"/>
      <c r="D49" s="176" t="s">
        <v>137</v>
      </c>
      <c r="E49" s="176">
        <v>0.08</v>
      </c>
      <c r="F49" s="435">
        <v>12839.13</v>
      </c>
      <c r="G49" s="435"/>
      <c r="H49" s="101"/>
      <c r="I49" s="102"/>
      <c r="J49" s="103"/>
      <c r="K49" s="103"/>
      <c r="N49" s="97"/>
    </row>
    <row r="50" spans="1:14" s="66" customFormat="1" ht="15" x14ac:dyDescent="0.25">
      <c r="A50" s="34" t="s">
        <v>22</v>
      </c>
      <c r="B50" s="406" t="s">
        <v>503</v>
      </c>
      <c r="C50" s="407"/>
      <c r="D50" s="176" t="s">
        <v>100</v>
      </c>
      <c r="E50" s="176">
        <v>2</v>
      </c>
      <c r="F50" s="435">
        <v>24493.81</v>
      </c>
      <c r="G50" s="435"/>
      <c r="H50" s="101"/>
      <c r="I50" s="102"/>
      <c r="J50" s="103"/>
      <c r="K50" s="103"/>
      <c r="N50" s="97"/>
    </row>
    <row r="51" spans="1:14" s="66" customFormat="1" ht="15" x14ac:dyDescent="0.25">
      <c r="A51" s="34" t="s">
        <v>24</v>
      </c>
      <c r="B51" s="406"/>
      <c r="C51" s="407"/>
      <c r="D51" s="176"/>
      <c r="E51" s="176"/>
      <c r="F51" s="435"/>
      <c r="G51" s="435"/>
      <c r="H51" s="101"/>
      <c r="I51" s="102"/>
      <c r="J51" s="103"/>
      <c r="K51" s="103"/>
      <c r="N51" s="97"/>
    </row>
    <row r="52" spans="1:14" s="51" customFormat="1" ht="15" x14ac:dyDescent="0.25">
      <c r="A52" s="34" t="s">
        <v>73</v>
      </c>
      <c r="B52" s="458" t="s">
        <v>108</v>
      </c>
      <c r="C52" s="459"/>
      <c r="D52" s="108"/>
      <c r="E52" s="108"/>
      <c r="F52" s="435">
        <f>E26*1%</f>
        <v>978.85160000000008</v>
      </c>
      <c r="G52" s="435"/>
    </row>
    <row r="53" spans="1:14" s="51" customFormat="1" x14ac:dyDescent="0.2"/>
    <row r="54" spans="1:14" s="59" customFormat="1" ht="15" x14ac:dyDescent="0.25">
      <c r="A54" s="51" t="s">
        <v>372</v>
      </c>
      <c r="C54" s="110" t="s">
        <v>49</v>
      </c>
      <c r="F54" s="59" t="s">
        <v>60</v>
      </c>
    </row>
    <row r="55" spans="1:14" s="51" customFormat="1" ht="15" x14ac:dyDescent="0.25">
      <c r="A55" s="59"/>
      <c r="B55" s="59"/>
      <c r="C55" s="110"/>
      <c r="D55" s="59"/>
      <c r="E55" s="59"/>
      <c r="F55" s="111" t="s">
        <v>438</v>
      </c>
      <c r="G55" s="59"/>
    </row>
    <row r="56" spans="1:14" s="51" customFormat="1" ht="15" x14ac:dyDescent="0.25">
      <c r="A56" s="59" t="s">
        <v>50</v>
      </c>
      <c r="B56" s="59"/>
      <c r="C56" s="110"/>
      <c r="D56" s="59"/>
      <c r="E56" s="59"/>
      <c r="F56" s="59"/>
      <c r="G56" s="59"/>
      <c r="H56" s="141"/>
      <c r="I56" s="141"/>
      <c r="J56" s="141"/>
    </row>
    <row r="57" spans="1:14" s="51" customFormat="1" ht="15" x14ac:dyDescent="0.25">
      <c r="A57" s="59"/>
      <c r="B57" s="59"/>
      <c r="C57" s="112" t="s">
        <v>51</v>
      </c>
      <c r="D57" s="59"/>
      <c r="E57" s="113"/>
      <c r="F57" s="113"/>
      <c r="G57" s="113"/>
    </row>
    <row r="58" spans="1:14" s="51" customFormat="1" x14ac:dyDescent="0.2"/>
  </sheetData>
  <mergeCells count="28">
    <mergeCell ref="A11:K11"/>
    <mergeCell ref="A1:K1"/>
    <mergeCell ref="A2:K2"/>
    <mergeCell ref="A3:K3"/>
    <mergeCell ref="A5:K5"/>
    <mergeCell ref="A10:K10"/>
    <mergeCell ref="B46:C46"/>
    <mergeCell ref="F46:G46"/>
    <mergeCell ref="A12:K12"/>
    <mergeCell ref="A36:C36"/>
    <mergeCell ref="A43:K43"/>
    <mergeCell ref="B45:C45"/>
    <mergeCell ref="F45:G45"/>
    <mergeCell ref="A35:F35"/>
    <mergeCell ref="A40:B40"/>
    <mergeCell ref="A41:B42"/>
    <mergeCell ref="B52:C52"/>
    <mergeCell ref="F52:G52"/>
    <mergeCell ref="B47:C47"/>
    <mergeCell ref="F47:G47"/>
    <mergeCell ref="B48:C48"/>
    <mergeCell ref="B49:C49"/>
    <mergeCell ref="B50:C50"/>
    <mergeCell ref="B51:C51"/>
    <mergeCell ref="F48:G48"/>
    <mergeCell ref="F49:G49"/>
    <mergeCell ref="F50:G50"/>
    <mergeCell ref="F51:G5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3BDD6E-0BA5-41D0-82FC-2B011FA74BCD}">
  <sheetPr>
    <tabColor rgb="FF7030A0"/>
  </sheetPr>
  <dimension ref="A1:P50"/>
  <sheetViews>
    <sheetView topLeftCell="A30" workbookViewId="0">
      <selection activeCell="A53" sqref="A53:IV54"/>
    </sheetView>
  </sheetViews>
  <sheetFormatPr defaultRowHeight="12.75" outlineLevelRow="1" outlineLevelCol="1" x14ac:dyDescent="0.2"/>
  <cols>
    <col min="1" max="1" width="5.85546875" style="49" customWidth="1"/>
    <col min="2" max="2" width="47" style="49" customWidth="1"/>
    <col min="3" max="4" width="14.85546875" style="49" customWidth="1"/>
    <col min="5" max="5" width="12.85546875" style="49" customWidth="1"/>
    <col min="6" max="6" width="13.28515625" style="49" customWidth="1"/>
    <col min="7" max="7" width="14.5703125" style="49" customWidth="1"/>
    <col min="8" max="9" width="11.5703125" style="49" hidden="1" customWidth="1" outlineLevel="1"/>
    <col min="10" max="10" width="10.140625" style="49" hidden="1" customWidth="1" outlineLevel="1"/>
    <col min="11" max="11" width="10.42578125" style="49" hidden="1" customWidth="1" outlineLevel="1"/>
    <col min="12" max="13" width="9.140625" style="49" hidden="1" customWidth="1" outlineLevel="1"/>
    <col min="14" max="14" width="9.140625" style="49" collapsed="1"/>
    <col min="15" max="15" width="10" style="49" bestFit="1" customWidth="1"/>
    <col min="16" max="16" width="15.85546875" style="49" customWidth="1"/>
    <col min="17" max="16384" width="9.140625" style="49"/>
  </cols>
  <sheetData>
    <row r="1" spans="1:16" x14ac:dyDescent="0.2">
      <c r="A1" s="370" t="s">
        <v>0</v>
      </c>
      <c r="B1" s="370"/>
      <c r="C1" s="370"/>
      <c r="D1" s="370"/>
      <c r="E1" s="370"/>
      <c r="F1" s="370"/>
      <c r="G1" s="370"/>
      <c r="H1" s="370"/>
      <c r="I1" s="370"/>
      <c r="J1" s="370"/>
      <c r="K1" s="370"/>
    </row>
    <row r="2" spans="1:16" ht="12.75" customHeight="1" x14ac:dyDescent="0.2">
      <c r="A2" s="370" t="s">
        <v>279</v>
      </c>
      <c r="B2" s="370"/>
      <c r="C2" s="370"/>
      <c r="D2" s="370"/>
      <c r="E2" s="370"/>
      <c r="F2" s="370"/>
      <c r="G2" s="370"/>
      <c r="H2" s="370"/>
      <c r="I2" s="370"/>
      <c r="J2" s="370"/>
      <c r="K2" s="370"/>
    </row>
    <row r="3" spans="1:16" ht="13.5" customHeight="1" x14ac:dyDescent="0.2">
      <c r="A3" s="370" t="s">
        <v>426</v>
      </c>
      <c r="B3" s="370"/>
      <c r="C3" s="370"/>
      <c r="D3" s="370"/>
      <c r="E3" s="370"/>
      <c r="F3" s="370"/>
      <c r="G3" s="370"/>
      <c r="H3" s="370"/>
      <c r="I3" s="370"/>
      <c r="J3" s="370"/>
      <c r="K3" s="370"/>
    </row>
    <row r="4" spans="1:16" ht="9" customHeight="1" x14ac:dyDescent="0.2">
      <c r="A4" s="48"/>
      <c r="B4" s="48"/>
      <c r="C4" s="48"/>
      <c r="D4" s="48"/>
      <c r="E4" s="48"/>
      <c r="F4" s="48"/>
      <c r="G4" s="48"/>
      <c r="H4" s="48"/>
      <c r="I4" s="48"/>
      <c r="J4" s="48"/>
      <c r="K4" s="48"/>
    </row>
    <row r="5" spans="1:16" ht="16.5" customHeight="1" x14ac:dyDescent="0.2">
      <c r="A5" s="371" t="s">
        <v>1</v>
      </c>
      <c r="B5" s="370"/>
      <c r="C5" s="370"/>
      <c r="D5" s="370"/>
      <c r="E5" s="370"/>
      <c r="F5" s="370"/>
      <c r="G5" s="370"/>
      <c r="H5" s="370"/>
      <c r="I5" s="370"/>
      <c r="J5" s="370"/>
      <c r="K5" s="370"/>
    </row>
    <row r="7" spans="1:16" s="51" customFormat="1" ht="16.5" customHeight="1" x14ac:dyDescent="0.2">
      <c r="A7" s="51" t="s">
        <v>2</v>
      </c>
      <c r="F7" s="52" t="s">
        <v>291</v>
      </c>
      <c r="H7" s="52"/>
      <c r="L7" s="214"/>
    </row>
    <row r="8" spans="1:16" s="51" customFormat="1" x14ac:dyDescent="0.2">
      <c r="A8" s="51" t="s">
        <v>3</v>
      </c>
      <c r="F8" s="242" t="s">
        <v>292</v>
      </c>
      <c r="H8" s="52"/>
    </row>
    <row r="9" spans="1:16" s="51" customFormat="1" x14ac:dyDescent="0.2">
      <c r="A9" s="372" t="s">
        <v>8</v>
      </c>
      <c r="B9" s="372"/>
      <c r="C9" s="372"/>
      <c r="D9" s="372"/>
      <c r="E9" s="372"/>
      <c r="F9" s="372"/>
      <c r="G9" s="372"/>
      <c r="H9" s="372"/>
      <c r="I9" s="372"/>
      <c r="J9" s="372"/>
      <c r="K9" s="372"/>
    </row>
    <row r="10" spans="1:16" s="51" customFormat="1" x14ac:dyDescent="0.2">
      <c r="A10" s="372" t="s">
        <v>9</v>
      </c>
      <c r="B10" s="372"/>
      <c r="C10" s="372"/>
      <c r="D10" s="372"/>
      <c r="E10" s="372"/>
      <c r="F10" s="372"/>
      <c r="G10" s="372"/>
      <c r="H10" s="372"/>
      <c r="I10" s="372"/>
      <c r="J10" s="372"/>
      <c r="K10" s="372"/>
    </row>
    <row r="11" spans="1:16" s="51" customFormat="1" x14ac:dyDescent="0.2">
      <c r="A11" s="372" t="s">
        <v>10</v>
      </c>
      <c r="B11" s="372"/>
      <c r="C11" s="372"/>
      <c r="D11" s="372"/>
      <c r="E11" s="372"/>
      <c r="F11" s="372"/>
      <c r="G11" s="372"/>
      <c r="H11" s="372"/>
      <c r="I11" s="372"/>
      <c r="J11" s="372"/>
      <c r="K11" s="372"/>
    </row>
    <row r="12" spans="1:16" s="59" customFormat="1" ht="6" customHeight="1" thickBot="1" x14ac:dyDescent="0.3">
      <c r="A12" s="60"/>
      <c r="B12" s="60"/>
      <c r="C12" s="60"/>
      <c r="D12" s="38"/>
      <c r="E12" s="58"/>
      <c r="F12" s="58"/>
      <c r="G12" s="58"/>
      <c r="H12" s="54"/>
      <c r="I12" s="54"/>
    </row>
    <row r="13" spans="1:16" s="59" customFormat="1" ht="15.75" thickBot="1" x14ac:dyDescent="0.3">
      <c r="A13" s="55" t="s">
        <v>381</v>
      </c>
      <c r="B13" s="56"/>
      <c r="C13" s="56"/>
      <c r="D13" s="61"/>
      <c r="E13" s="62"/>
      <c r="F13" s="62"/>
      <c r="G13" s="57">
        <f>'[1]Суворова 67'!$G$34</f>
        <v>-108228.8091</v>
      </c>
      <c r="H13" s="54"/>
      <c r="I13" s="54"/>
    </row>
    <row r="14" spans="1:16" s="51" customFormat="1" ht="6.75" customHeight="1" x14ac:dyDescent="0.2"/>
    <row r="15" spans="1:16" s="66" customFormat="1" ht="52.5" customHeight="1" x14ac:dyDescent="0.25">
      <c r="A15" s="64" t="s">
        <v>11</v>
      </c>
      <c r="B15" s="64" t="s">
        <v>12</v>
      </c>
      <c r="C15" s="64" t="s">
        <v>61</v>
      </c>
      <c r="D15" s="64" t="s">
        <v>432</v>
      </c>
      <c r="E15" s="64" t="s">
        <v>433</v>
      </c>
      <c r="F15" s="65" t="s">
        <v>434</v>
      </c>
      <c r="G15" s="64" t="s">
        <v>435</v>
      </c>
    </row>
    <row r="16" spans="1:16" s="51" customFormat="1" ht="14.25" x14ac:dyDescent="0.2">
      <c r="A16" s="67" t="s">
        <v>14</v>
      </c>
      <c r="B16" s="39" t="s">
        <v>379</v>
      </c>
      <c r="C16" s="120">
        <v>20.32</v>
      </c>
      <c r="D16" s="68">
        <v>645834.72</v>
      </c>
      <c r="E16" s="68">
        <v>613982.71999999997</v>
      </c>
      <c r="F16" s="68">
        <f t="shared" ref="F16:F22" si="0">D16</f>
        <v>645834.72</v>
      </c>
      <c r="G16" s="69">
        <f>D16-E16</f>
        <v>31852</v>
      </c>
      <c r="H16" s="70">
        <f>C16</f>
        <v>20.32</v>
      </c>
      <c r="I16" s="71"/>
      <c r="J16" s="71"/>
      <c r="K16" s="71"/>
      <c r="O16" s="70"/>
      <c r="P16" s="72"/>
    </row>
    <row r="17" spans="1:11" s="51" customFormat="1" ht="15" hidden="1" outlineLevel="1" x14ac:dyDescent="0.25">
      <c r="A17" s="73" t="s">
        <v>16</v>
      </c>
      <c r="B17" s="34" t="s">
        <v>17</v>
      </c>
      <c r="C17" s="89">
        <v>3.46</v>
      </c>
      <c r="D17" s="75">
        <f>D16*I17</f>
        <v>109969.88834645669</v>
      </c>
      <c r="E17" s="75">
        <f>E16*I17</f>
        <v>104546.27023622047</v>
      </c>
      <c r="F17" s="75">
        <f t="shared" si="0"/>
        <v>109969.88834645669</v>
      </c>
      <c r="G17" s="76">
        <f>D17-E17</f>
        <v>5423.618110236217</v>
      </c>
      <c r="H17" s="70">
        <f>C17</f>
        <v>3.46</v>
      </c>
      <c r="I17" s="51">
        <f>H17/H16</f>
        <v>0.17027559055118111</v>
      </c>
    </row>
    <row r="18" spans="1:11" s="51" customFormat="1" ht="15" hidden="1" outlineLevel="1" x14ac:dyDescent="0.25">
      <c r="A18" s="73" t="s">
        <v>18</v>
      </c>
      <c r="B18" s="34" t="s">
        <v>19</v>
      </c>
      <c r="C18" s="89">
        <v>1.69</v>
      </c>
      <c r="D18" s="75">
        <f>D16*I18</f>
        <v>53713.615984251963</v>
      </c>
      <c r="E18" s="75">
        <f>E16*I18</f>
        <v>51064.507716535423</v>
      </c>
      <c r="F18" s="75">
        <f t="shared" si="0"/>
        <v>53713.615984251963</v>
      </c>
      <c r="G18" s="76">
        <f>D18-E18</f>
        <v>2649.1082677165396</v>
      </c>
      <c r="H18" s="70">
        <f>C18</f>
        <v>1.69</v>
      </c>
      <c r="I18" s="51">
        <f>H18/H16</f>
        <v>8.3169291338582668E-2</v>
      </c>
    </row>
    <row r="19" spans="1:11" s="51" customFormat="1" ht="15" hidden="1" outlineLevel="1" x14ac:dyDescent="0.25">
      <c r="A19" s="73" t="s">
        <v>20</v>
      </c>
      <c r="B19" s="34" t="s">
        <v>21</v>
      </c>
      <c r="C19" s="89">
        <v>2.15</v>
      </c>
      <c r="D19" s="75">
        <f>D16*I19</f>
        <v>68333.890157480302</v>
      </c>
      <c r="E19" s="75">
        <f>E16*I19</f>
        <v>64963.722834645661</v>
      </c>
      <c r="F19" s="75">
        <f t="shared" si="0"/>
        <v>68333.890157480302</v>
      </c>
      <c r="G19" s="76">
        <f>D19-E19</f>
        <v>3370.1673228346408</v>
      </c>
      <c r="H19" s="70">
        <f>C19</f>
        <v>2.15</v>
      </c>
      <c r="I19" s="51">
        <f>H19/H16</f>
        <v>0.10580708661417322</v>
      </c>
    </row>
    <row r="20" spans="1:11" s="51" customFormat="1" ht="15" hidden="1" outlineLevel="1" x14ac:dyDescent="0.25">
      <c r="A20" s="73" t="s">
        <v>22</v>
      </c>
      <c r="B20" s="34" t="s">
        <v>23</v>
      </c>
      <c r="C20" s="89">
        <v>3.04</v>
      </c>
      <c r="D20" s="75">
        <f>D16*I20</f>
        <v>96620.942362204732</v>
      </c>
      <c r="E20" s="75">
        <f>E16*I20</f>
        <v>91855.68251968504</v>
      </c>
      <c r="F20" s="75">
        <f t="shared" si="0"/>
        <v>96620.942362204732</v>
      </c>
      <c r="G20" s="76">
        <f>D20-E20</f>
        <v>4765.259842519692</v>
      </c>
      <c r="H20" s="70">
        <f>C20</f>
        <v>3.04</v>
      </c>
      <c r="I20" s="51">
        <f>H20/H16</f>
        <v>0.14960629921259844</v>
      </c>
    </row>
    <row r="21" spans="1:11" s="81" customFormat="1" ht="14.25" collapsed="1" x14ac:dyDescent="0.2">
      <c r="A21" s="78" t="s">
        <v>25</v>
      </c>
      <c r="B21" s="78" t="s">
        <v>145</v>
      </c>
      <c r="C21" s="46">
        <v>135</v>
      </c>
      <c r="D21" s="79">
        <v>0</v>
      </c>
      <c r="E21" s="79">
        <v>2543.75</v>
      </c>
      <c r="F21" s="79">
        <f t="shared" si="0"/>
        <v>0</v>
      </c>
      <c r="G21" s="69">
        <f t="shared" ref="G21:G30" si="1">D21-E21</f>
        <v>-2543.75</v>
      </c>
      <c r="H21" s="80"/>
      <c r="I21" s="80"/>
      <c r="J21" s="80"/>
      <c r="K21" s="80"/>
    </row>
    <row r="22" spans="1:11" s="81" customFormat="1" ht="14.25" x14ac:dyDescent="0.2">
      <c r="A22" s="78" t="s">
        <v>27</v>
      </c>
      <c r="B22" s="78" t="s">
        <v>26</v>
      </c>
      <c r="C22" s="87">
        <v>4.3600000000000003</v>
      </c>
      <c r="D22" s="79">
        <v>138574.92000000001</v>
      </c>
      <c r="E22" s="79">
        <v>133583.60999999999</v>
      </c>
      <c r="F22" s="79">
        <f t="shared" si="0"/>
        <v>138574.92000000001</v>
      </c>
      <c r="G22" s="69">
        <f t="shared" si="1"/>
        <v>4991.3100000000268</v>
      </c>
      <c r="H22" s="80"/>
      <c r="I22" s="80"/>
      <c r="J22" s="80"/>
      <c r="K22" s="80"/>
    </row>
    <row r="23" spans="1:11" s="81" customFormat="1" ht="14.25" x14ac:dyDescent="0.2">
      <c r="A23" s="78" t="s">
        <v>29</v>
      </c>
      <c r="B23" s="78" t="s">
        <v>30</v>
      </c>
      <c r="C23" s="126">
        <v>0</v>
      </c>
      <c r="D23" s="79">
        <v>0</v>
      </c>
      <c r="E23" s="79">
        <v>0</v>
      </c>
      <c r="F23" s="79">
        <v>0</v>
      </c>
      <c r="G23" s="69">
        <f t="shared" si="1"/>
        <v>0</v>
      </c>
      <c r="H23" s="80"/>
      <c r="I23" s="80"/>
      <c r="J23" s="80"/>
      <c r="K23" s="80"/>
    </row>
    <row r="24" spans="1:11" s="81" customFormat="1" ht="14.25" x14ac:dyDescent="0.2">
      <c r="A24" s="78" t="s">
        <v>31</v>
      </c>
      <c r="B24" s="78" t="s">
        <v>80</v>
      </c>
      <c r="C24" s="79">
        <v>2.0099999999999998</v>
      </c>
      <c r="D24" s="79">
        <v>63884.52</v>
      </c>
      <c r="E24" s="79">
        <v>61900.77</v>
      </c>
      <c r="F24" s="79">
        <f>F39</f>
        <v>32619.007699999998</v>
      </c>
      <c r="G24" s="69">
        <f t="shared" si="1"/>
        <v>1983.75</v>
      </c>
      <c r="H24" s="80"/>
      <c r="I24" s="80"/>
      <c r="J24" s="80"/>
      <c r="K24" s="80"/>
    </row>
    <row r="25" spans="1:11" ht="14.25" x14ac:dyDescent="0.2">
      <c r="A25" s="39" t="s">
        <v>33</v>
      </c>
      <c r="B25" s="39" t="s">
        <v>97</v>
      </c>
      <c r="C25" s="82">
        <v>0</v>
      </c>
      <c r="D25" s="69">
        <v>0</v>
      </c>
      <c r="E25" s="69">
        <v>0</v>
      </c>
      <c r="F25" s="79">
        <v>0</v>
      </c>
      <c r="G25" s="69">
        <f t="shared" si="1"/>
        <v>0</v>
      </c>
      <c r="H25" s="88"/>
      <c r="I25" s="88"/>
      <c r="J25" s="88"/>
      <c r="K25" s="88"/>
    </row>
    <row r="26" spans="1:11" ht="14.25" x14ac:dyDescent="0.2">
      <c r="A26" s="39" t="s">
        <v>35</v>
      </c>
      <c r="B26" s="39" t="s">
        <v>36</v>
      </c>
      <c r="C26" s="69"/>
      <c r="D26" s="69">
        <f>SUM(D27:D30)</f>
        <v>2372497.91</v>
      </c>
      <c r="E26" s="69">
        <f>SUM(E27:E30)</f>
        <v>2292795.2199999997</v>
      </c>
      <c r="F26" s="69">
        <f>SUM(F27:F30)</f>
        <v>2372497.91</v>
      </c>
      <c r="G26" s="69">
        <f t="shared" si="1"/>
        <v>79702.69000000041</v>
      </c>
      <c r="H26" s="88"/>
      <c r="I26" s="88"/>
      <c r="J26" s="88"/>
      <c r="K26" s="88"/>
    </row>
    <row r="27" spans="1:11" ht="15" x14ac:dyDescent="0.25">
      <c r="A27" s="34" t="s">
        <v>37</v>
      </c>
      <c r="B27" s="34" t="s">
        <v>101</v>
      </c>
      <c r="C27" s="89">
        <v>7.36</v>
      </c>
      <c r="D27" s="76">
        <v>134553</v>
      </c>
      <c r="E27" s="76">
        <v>128999.67</v>
      </c>
      <c r="F27" s="76">
        <f>D27</f>
        <v>134553</v>
      </c>
      <c r="G27" s="76">
        <f t="shared" si="1"/>
        <v>5553.3300000000017</v>
      </c>
    </row>
    <row r="28" spans="1:11" ht="15" x14ac:dyDescent="0.25">
      <c r="A28" s="34" t="s">
        <v>39</v>
      </c>
      <c r="B28" s="34" t="s">
        <v>84</v>
      </c>
      <c r="C28" s="89">
        <v>88.38</v>
      </c>
      <c r="D28" s="76">
        <v>396109.84</v>
      </c>
      <c r="E28" s="76">
        <v>387932.45</v>
      </c>
      <c r="F28" s="76">
        <f>D28</f>
        <v>396109.84</v>
      </c>
      <c r="G28" s="76">
        <f t="shared" si="1"/>
        <v>8177.390000000014</v>
      </c>
    </row>
    <row r="29" spans="1:11" ht="15" x14ac:dyDescent="0.25">
      <c r="A29" s="34" t="s">
        <v>42</v>
      </c>
      <c r="B29" s="34" t="s">
        <v>135</v>
      </c>
      <c r="C29" s="128">
        <v>278.94</v>
      </c>
      <c r="D29" s="76">
        <v>464292.9</v>
      </c>
      <c r="E29" s="76">
        <v>461108.39</v>
      </c>
      <c r="F29" s="76">
        <f>D29</f>
        <v>464292.9</v>
      </c>
      <c r="G29" s="76">
        <f t="shared" si="1"/>
        <v>3184.5100000000093</v>
      </c>
    </row>
    <row r="30" spans="1:11" ht="15" x14ac:dyDescent="0.25">
      <c r="A30" s="34" t="s">
        <v>41</v>
      </c>
      <c r="B30" s="34" t="s">
        <v>43</v>
      </c>
      <c r="C30" s="89">
        <v>3352.42</v>
      </c>
      <c r="D30" s="76">
        <v>1377542.17</v>
      </c>
      <c r="E30" s="76">
        <v>1314754.71</v>
      </c>
      <c r="F30" s="76">
        <f>D30</f>
        <v>1377542.17</v>
      </c>
      <c r="G30" s="76">
        <f t="shared" si="1"/>
        <v>62787.459999999963</v>
      </c>
    </row>
    <row r="31" spans="1:11" s="92" customFormat="1" ht="17.25" customHeight="1" thickBot="1" x14ac:dyDescent="0.3">
      <c r="A31" s="373"/>
      <c r="B31" s="374"/>
      <c r="C31" s="374"/>
      <c r="D31" s="375"/>
      <c r="E31" s="375"/>
      <c r="F31" s="375"/>
      <c r="G31" s="91"/>
      <c r="H31" s="91"/>
      <c r="I31" s="91"/>
    </row>
    <row r="32" spans="1:11" s="59" customFormat="1" ht="15.75" thickBot="1" x14ac:dyDescent="0.3">
      <c r="A32" s="387" t="s">
        <v>427</v>
      </c>
      <c r="B32" s="388"/>
      <c r="C32" s="388"/>
      <c r="D32" s="57">
        <v>115986</v>
      </c>
      <c r="E32" s="58"/>
      <c r="F32" s="58"/>
      <c r="G32" s="58"/>
      <c r="H32" s="54"/>
      <c r="I32" s="54"/>
    </row>
    <row r="33" spans="1:14" s="59" customFormat="1" ht="6" customHeight="1" thickBot="1" x14ac:dyDescent="0.3">
      <c r="A33" s="60"/>
      <c r="B33" s="60"/>
      <c r="C33" s="60"/>
      <c r="D33" s="38"/>
      <c r="E33" s="58"/>
      <c r="F33" s="58"/>
      <c r="G33" s="58"/>
      <c r="H33" s="54"/>
      <c r="I33" s="54"/>
    </row>
    <row r="34" spans="1:14" s="59" customFormat="1" ht="15.75" thickBot="1" x14ac:dyDescent="0.3">
      <c r="A34" s="55" t="s">
        <v>546</v>
      </c>
      <c r="B34" s="56"/>
      <c r="C34" s="56"/>
      <c r="D34" s="61"/>
      <c r="E34" s="62"/>
      <c r="F34" s="62"/>
      <c r="G34" s="129">
        <f>G13+E24-F24</f>
        <v>-78947.046799999996</v>
      </c>
      <c r="H34" s="54"/>
      <c r="I34" s="54"/>
    </row>
    <row r="35" spans="1:14" s="59" customFormat="1" ht="15" x14ac:dyDescent="0.25">
      <c r="A35" s="93"/>
      <c r="B35" s="93"/>
      <c r="C35" s="93"/>
      <c r="D35" s="93"/>
      <c r="E35" s="91"/>
      <c r="F35" s="91"/>
      <c r="G35" s="91"/>
      <c r="H35" s="91"/>
      <c r="I35" s="91"/>
      <c r="J35" s="91"/>
      <c r="K35" s="91"/>
    </row>
    <row r="36" spans="1:14" s="92" customFormat="1" ht="25.5" customHeight="1" x14ac:dyDescent="0.25">
      <c r="A36" s="371" t="s">
        <v>44</v>
      </c>
      <c r="B36" s="371"/>
      <c r="C36" s="371"/>
      <c r="D36" s="371"/>
      <c r="E36" s="371"/>
      <c r="F36" s="371"/>
      <c r="G36" s="371"/>
      <c r="H36" s="371"/>
      <c r="I36" s="371"/>
      <c r="J36" s="371"/>
      <c r="K36" s="371"/>
      <c r="L36" s="91"/>
      <c r="M36" s="91"/>
    </row>
    <row r="37" spans="1:14" ht="23.25" customHeight="1" x14ac:dyDescent="0.2"/>
    <row r="38" spans="1:14" ht="28.5" x14ac:dyDescent="0.2">
      <c r="A38" s="94" t="s">
        <v>11</v>
      </c>
      <c r="B38" s="416" t="s">
        <v>45</v>
      </c>
      <c r="C38" s="425"/>
      <c r="D38" s="94" t="s">
        <v>99</v>
      </c>
      <c r="E38" s="94" t="s">
        <v>98</v>
      </c>
      <c r="F38" s="416" t="s">
        <v>46</v>
      </c>
      <c r="G38" s="425"/>
      <c r="H38" s="207"/>
      <c r="I38" s="208"/>
      <c r="J38" s="66"/>
      <c r="K38" s="66"/>
    </row>
    <row r="39" spans="1:14" s="66" customFormat="1" ht="15" x14ac:dyDescent="0.25">
      <c r="A39" s="98" t="s">
        <v>47</v>
      </c>
      <c r="B39" s="418" t="s">
        <v>75</v>
      </c>
      <c r="C39" s="430"/>
      <c r="D39" s="99"/>
      <c r="E39" s="99"/>
      <c r="F39" s="436">
        <f>SUM(F40:G44)</f>
        <v>32619.007699999998</v>
      </c>
      <c r="G39" s="424"/>
      <c r="H39" s="209"/>
      <c r="I39" s="210"/>
      <c r="J39" s="103"/>
      <c r="K39" s="103"/>
      <c r="N39" s="97"/>
    </row>
    <row r="40" spans="1:14" s="103" customFormat="1" ht="15" x14ac:dyDescent="0.25">
      <c r="A40" s="34" t="s">
        <v>16</v>
      </c>
      <c r="B40" s="406" t="s">
        <v>409</v>
      </c>
      <c r="C40" s="407"/>
      <c r="D40" s="176" t="s">
        <v>100</v>
      </c>
      <c r="E40" s="176">
        <v>1</v>
      </c>
      <c r="F40" s="435">
        <v>8000</v>
      </c>
      <c r="G40" s="435"/>
      <c r="H40" s="211"/>
      <c r="I40" s="212"/>
      <c r="J40" s="49"/>
      <c r="K40" s="49"/>
      <c r="N40" s="104"/>
    </row>
    <row r="41" spans="1:14" s="103" customFormat="1" ht="15" x14ac:dyDescent="0.25">
      <c r="A41" s="34" t="s">
        <v>18</v>
      </c>
      <c r="B41" s="406" t="s">
        <v>547</v>
      </c>
      <c r="C41" s="407"/>
      <c r="D41" s="176" t="s">
        <v>100</v>
      </c>
      <c r="E41" s="176">
        <v>1</v>
      </c>
      <c r="F41" s="435">
        <v>16000</v>
      </c>
      <c r="G41" s="435"/>
      <c r="H41" s="38"/>
      <c r="I41" s="38"/>
      <c r="J41" s="49"/>
      <c r="K41" s="49"/>
      <c r="N41" s="104"/>
    </row>
    <row r="42" spans="1:14" s="103" customFormat="1" ht="15" x14ac:dyDescent="0.25">
      <c r="A42" s="34" t="s">
        <v>20</v>
      </c>
      <c r="B42" s="406" t="s">
        <v>412</v>
      </c>
      <c r="C42" s="407"/>
      <c r="D42" s="176" t="s">
        <v>100</v>
      </c>
      <c r="E42" s="176">
        <v>1</v>
      </c>
      <c r="F42" s="435">
        <v>8000</v>
      </c>
      <c r="G42" s="435"/>
      <c r="H42" s="38"/>
      <c r="I42" s="38"/>
      <c r="J42" s="49"/>
      <c r="K42" s="49"/>
      <c r="N42" s="104"/>
    </row>
    <row r="43" spans="1:14" s="103" customFormat="1" ht="15" x14ac:dyDescent="0.25">
      <c r="A43" s="34" t="s">
        <v>22</v>
      </c>
      <c r="B43" s="412"/>
      <c r="C43" s="413"/>
      <c r="D43" s="260"/>
      <c r="E43" s="260"/>
      <c r="F43" s="463"/>
      <c r="G43" s="463"/>
      <c r="H43" s="38"/>
      <c r="I43" s="38"/>
      <c r="J43" s="49"/>
      <c r="K43" s="49"/>
      <c r="N43" s="104"/>
    </row>
    <row r="44" spans="1:14" s="51" customFormat="1" ht="15" x14ac:dyDescent="0.25">
      <c r="A44" s="34" t="s">
        <v>24</v>
      </c>
      <c r="B44" s="458" t="s">
        <v>108</v>
      </c>
      <c r="C44" s="459"/>
      <c r="D44" s="108"/>
      <c r="E44" s="108"/>
      <c r="F44" s="435">
        <f>E24*1%</f>
        <v>619.0077</v>
      </c>
      <c r="G44" s="435"/>
    </row>
    <row r="45" spans="1:14" s="51" customFormat="1" x14ac:dyDescent="0.2"/>
    <row r="46" spans="1:14" s="59" customFormat="1" ht="15" x14ac:dyDescent="0.25">
      <c r="A46" s="51" t="s">
        <v>372</v>
      </c>
      <c r="C46" s="110" t="s">
        <v>49</v>
      </c>
      <c r="F46" s="59" t="s">
        <v>60</v>
      </c>
    </row>
    <row r="47" spans="1:14" s="51" customFormat="1" ht="15" x14ac:dyDescent="0.25">
      <c r="A47" s="59"/>
      <c r="B47" s="59"/>
      <c r="C47" s="110"/>
      <c r="D47" s="59"/>
      <c r="E47" s="59"/>
      <c r="F47" s="111" t="s">
        <v>438</v>
      </c>
      <c r="G47" s="59"/>
    </row>
    <row r="48" spans="1:14" s="51" customFormat="1" ht="15" x14ac:dyDescent="0.25">
      <c r="A48" s="59" t="s">
        <v>50</v>
      </c>
      <c r="B48" s="59"/>
      <c r="C48" s="110"/>
      <c r="D48" s="59"/>
      <c r="E48" s="59"/>
      <c r="F48" s="59"/>
      <c r="G48" s="59"/>
      <c r="H48" s="141"/>
      <c r="I48" s="141"/>
      <c r="J48" s="141"/>
    </row>
    <row r="49" spans="1:7" s="51" customFormat="1" ht="15" x14ac:dyDescent="0.25">
      <c r="A49" s="59"/>
      <c r="B49" s="59"/>
      <c r="C49" s="112" t="s">
        <v>51</v>
      </c>
      <c r="D49" s="59"/>
      <c r="E49" s="113"/>
      <c r="F49" s="113"/>
      <c r="G49" s="113"/>
    </row>
    <row r="50" spans="1:7" s="51" customFormat="1" x14ac:dyDescent="0.2"/>
  </sheetData>
  <mergeCells count="24">
    <mergeCell ref="F41:G41"/>
    <mergeCell ref="F43:G43"/>
    <mergeCell ref="B41:C41"/>
    <mergeCell ref="B43:C43"/>
    <mergeCell ref="B42:C42"/>
    <mergeCell ref="F42:G42"/>
    <mergeCell ref="B44:C44"/>
    <mergeCell ref="F44:G44"/>
    <mergeCell ref="A1:K1"/>
    <mergeCell ref="A2:K2"/>
    <mergeCell ref="A3:K3"/>
    <mergeCell ref="A5:K5"/>
    <mergeCell ref="A9:K9"/>
    <mergeCell ref="A10:K10"/>
    <mergeCell ref="A11:K11"/>
    <mergeCell ref="B40:C40"/>
    <mergeCell ref="A31:F31"/>
    <mergeCell ref="F40:G40"/>
    <mergeCell ref="A32:C32"/>
    <mergeCell ref="A36:K36"/>
    <mergeCell ref="B38:C38"/>
    <mergeCell ref="F38:G38"/>
    <mergeCell ref="B39:C39"/>
    <mergeCell ref="F39:G39"/>
  </mergeCells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63465E-6784-4510-A69A-BF5C86D2503A}">
  <sheetPr>
    <tabColor rgb="FF7030A0"/>
  </sheetPr>
  <dimension ref="A1:P55"/>
  <sheetViews>
    <sheetView topLeftCell="A38" workbookViewId="0">
      <selection activeCell="A58" sqref="A58:IV59"/>
    </sheetView>
  </sheetViews>
  <sheetFormatPr defaultRowHeight="12.75" outlineLevelRow="1" outlineLevelCol="1" x14ac:dyDescent="0.2"/>
  <cols>
    <col min="1" max="1" width="5.85546875" style="49" customWidth="1"/>
    <col min="2" max="2" width="47" style="49" customWidth="1"/>
    <col min="3" max="4" width="14.85546875" style="49" customWidth="1"/>
    <col min="5" max="5" width="12.5703125" style="49" customWidth="1"/>
    <col min="6" max="6" width="12.42578125" style="49" customWidth="1"/>
    <col min="7" max="7" width="14.5703125" style="49" customWidth="1"/>
    <col min="8" max="9" width="11.5703125" style="49" hidden="1" customWidth="1" outlineLevel="1"/>
    <col min="10" max="10" width="10.140625" style="49" hidden="1" customWidth="1" outlineLevel="1"/>
    <col min="11" max="11" width="10.42578125" style="49" hidden="1" customWidth="1" outlineLevel="1"/>
    <col min="12" max="13" width="9.140625" style="49" hidden="1" customWidth="1" outlineLevel="1"/>
    <col min="14" max="14" width="9.140625" style="49" collapsed="1"/>
    <col min="15" max="15" width="10" style="49" bestFit="1" customWidth="1"/>
    <col min="16" max="16" width="15.85546875" style="49" customWidth="1"/>
    <col min="17" max="16384" width="9.140625" style="49"/>
  </cols>
  <sheetData>
    <row r="1" spans="1:12" x14ac:dyDescent="0.2">
      <c r="A1" s="370" t="s">
        <v>0</v>
      </c>
      <c r="B1" s="370"/>
      <c r="C1" s="370"/>
      <c r="D1" s="370"/>
      <c r="E1" s="370"/>
      <c r="F1" s="370"/>
      <c r="G1" s="370"/>
      <c r="H1" s="370"/>
      <c r="I1" s="370"/>
      <c r="J1" s="370"/>
      <c r="K1" s="370"/>
    </row>
    <row r="2" spans="1:12" ht="12.75" customHeight="1" x14ac:dyDescent="0.2">
      <c r="A2" s="370" t="s">
        <v>279</v>
      </c>
      <c r="B2" s="370"/>
      <c r="C2" s="370"/>
      <c r="D2" s="370"/>
      <c r="E2" s="370"/>
      <c r="F2" s="370"/>
      <c r="G2" s="370"/>
      <c r="H2" s="370"/>
      <c r="I2" s="370"/>
      <c r="J2" s="370"/>
      <c r="K2" s="370"/>
    </row>
    <row r="3" spans="1:12" ht="13.5" customHeight="1" x14ac:dyDescent="0.2">
      <c r="A3" s="370" t="s">
        <v>426</v>
      </c>
      <c r="B3" s="370"/>
      <c r="C3" s="370"/>
      <c r="D3" s="370"/>
      <c r="E3" s="370"/>
      <c r="F3" s="370"/>
      <c r="G3" s="370"/>
      <c r="H3" s="370"/>
      <c r="I3" s="370"/>
      <c r="J3" s="370"/>
      <c r="K3" s="370"/>
    </row>
    <row r="4" spans="1:12" ht="9" customHeight="1" x14ac:dyDescent="0.2">
      <c r="A4" s="48"/>
      <c r="B4" s="48"/>
      <c r="C4" s="48"/>
      <c r="D4" s="48"/>
      <c r="E4" s="48"/>
      <c r="F4" s="48"/>
      <c r="G4" s="48"/>
      <c r="H4" s="48"/>
      <c r="I4" s="48"/>
      <c r="J4" s="48"/>
      <c r="K4" s="48"/>
    </row>
    <row r="5" spans="1:12" ht="16.5" customHeight="1" x14ac:dyDescent="0.2">
      <c r="A5" s="371" t="s">
        <v>1</v>
      </c>
      <c r="B5" s="370"/>
      <c r="C5" s="370"/>
      <c r="D5" s="370"/>
      <c r="E5" s="370"/>
      <c r="F5" s="370"/>
      <c r="G5" s="370"/>
      <c r="H5" s="370"/>
      <c r="I5" s="370"/>
      <c r="J5" s="370"/>
      <c r="K5" s="370"/>
    </row>
    <row r="7" spans="1:12" s="51" customFormat="1" ht="16.5" customHeight="1" x14ac:dyDescent="0.2">
      <c r="A7" s="51" t="s">
        <v>2</v>
      </c>
      <c r="F7" s="52" t="s">
        <v>293</v>
      </c>
      <c r="H7" s="52"/>
      <c r="L7" s="214"/>
    </row>
    <row r="8" spans="1:12" s="51" customFormat="1" x14ac:dyDescent="0.2">
      <c r="A8" s="51" t="s">
        <v>3</v>
      </c>
      <c r="F8" s="242" t="s">
        <v>294</v>
      </c>
      <c r="H8" s="231">
        <f>30.8+117.7+41.3</f>
        <v>189.8</v>
      </c>
      <c r="I8" s="51">
        <f>J8-H8</f>
        <v>1063.6000000000001</v>
      </c>
      <c r="J8" s="276">
        <v>1253.4000000000001</v>
      </c>
    </row>
    <row r="9" spans="1:12" s="51" customFormat="1" x14ac:dyDescent="0.2">
      <c r="B9" s="51" t="s">
        <v>252</v>
      </c>
      <c r="F9" s="242" t="s">
        <v>295</v>
      </c>
      <c r="H9" s="52"/>
      <c r="J9" s="276"/>
    </row>
    <row r="10" spans="1:12" s="51" customFormat="1" x14ac:dyDescent="0.2">
      <c r="A10" s="372" t="s">
        <v>8</v>
      </c>
      <c r="B10" s="372"/>
      <c r="C10" s="372"/>
      <c r="D10" s="372"/>
      <c r="E10" s="372"/>
      <c r="F10" s="372"/>
      <c r="G10" s="372"/>
      <c r="H10" s="372"/>
      <c r="I10" s="372"/>
      <c r="J10" s="372"/>
      <c r="K10" s="372"/>
    </row>
    <row r="11" spans="1:12" s="51" customFormat="1" x14ac:dyDescent="0.2">
      <c r="A11" s="372" t="s">
        <v>9</v>
      </c>
      <c r="B11" s="372"/>
      <c r="C11" s="372"/>
      <c r="D11" s="372"/>
      <c r="E11" s="372"/>
      <c r="F11" s="372"/>
      <c r="G11" s="372"/>
      <c r="H11" s="372"/>
      <c r="I11" s="372"/>
      <c r="J11" s="372"/>
      <c r="K11" s="372"/>
    </row>
    <row r="12" spans="1:12" s="51" customFormat="1" x14ac:dyDescent="0.2">
      <c r="A12" s="372" t="s">
        <v>10</v>
      </c>
      <c r="B12" s="372"/>
      <c r="C12" s="372"/>
      <c r="D12" s="372"/>
      <c r="E12" s="372"/>
      <c r="F12" s="372"/>
      <c r="G12" s="372"/>
      <c r="H12" s="372"/>
      <c r="I12" s="372"/>
      <c r="J12" s="372"/>
      <c r="K12" s="372"/>
    </row>
    <row r="13" spans="1:12" s="59" customFormat="1" ht="6" customHeight="1" thickBot="1" x14ac:dyDescent="0.3">
      <c r="A13" s="60"/>
      <c r="B13" s="60"/>
      <c r="C13" s="60"/>
      <c r="D13" s="38"/>
      <c r="E13" s="58"/>
      <c r="F13" s="58"/>
      <c r="G13" s="58"/>
      <c r="H13" s="54"/>
      <c r="I13" s="54"/>
    </row>
    <row r="14" spans="1:12" s="59" customFormat="1" ht="15.75" thickBot="1" x14ac:dyDescent="0.3">
      <c r="A14" s="55" t="s">
        <v>548</v>
      </c>
      <c r="B14" s="56"/>
      <c r="C14" s="56"/>
      <c r="D14" s="61"/>
      <c r="E14" s="62"/>
      <c r="F14" s="62"/>
      <c r="G14" s="57">
        <f>'[1]Труда 3'!$G$38</f>
        <v>70227.919200000004</v>
      </c>
      <c r="H14" s="54"/>
      <c r="I14" s="54"/>
    </row>
    <row r="15" spans="1:12" s="51" customFormat="1" ht="6.75" customHeight="1" x14ac:dyDescent="0.2"/>
    <row r="16" spans="1:12" s="66" customFormat="1" ht="52.5" customHeight="1" x14ac:dyDescent="0.25">
      <c r="A16" s="64" t="s">
        <v>11</v>
      </c>
      <c r="B16" s="64" t="s">
        <v>12</v>
      </c>
      <c r="C16" s="64" t="s">
        <v>61</v>
      </c>
      <c r="D16" s="64" t="s">
        <v>432</v>
      </c>
      <c r="E16" s="64" t="s">
        <v>433</v>
      </c>
      <c r="F16" s="65" t="s">
        <v>434</v>
      </c>
      <c r="G16" s="64" t="s">
        <v>435</v>
      </c>
    </row>
    <row r="17" spans="1:16" s="51" customFormat="1" ht="14.25" x14ac:dyDescent="0.2">
      <c r="A17" s="67" t="s">
        <v>14</v>
      </c>
      <c r="B17" s="39" t="s">
        <v>379</v>
      </c>
      <c r="C17" s="120">
        <v>21.98</v>
      </c>
      <c r="D17" s="68">
        <v>280535.15999999997</v>
      </c>
      <c r="E17" s="68">
        <v>260320.79</v>
      </c>
      <c r="F17" s="68">
        <f t="shared" ref="F17:F23" si="0">D17</f>
        <v>280535.15999999997</v>
      </c>
      <c r="G17" s="69">
        <f>D17-E17</f>
        <v>20214.369999999966</v>
      </c>
      <c r="H17" s="70">
        <f>C17</f>
        <v>21.98</v>
      </c>
      <c r="I17" s="71"/>
      <c r="J17" s="71"/>
      <c r="K17" s="71"/>
      <c r="O17" s="70"/>
      <c r="P17" s="72"/>
    </row>
    <row r="18" spans="1:16" s="51" customFormat="1" ht="15" hidden="1" outlineLevel="1" x14ac:dyDescent="0.25">
      <c r="A18" s="73" t="s">
        <v>16</v>
      </c>
      <c r="B18" s="34" t="s">
        <v>17</v>
      </c>
      <c r="C18" s="89">
        <v>3.46</v>
      </c>
      <c r="D18" s="75">
        <f>D17*I18</f>
        <v>44160.675777979981</v>
      </c>
      <c r="E18" s="75">
        <f>E17*I18</f>
        <v>40978.613894449503</v>
      </c>
      <c r="F18" s="75">
        <f t="shared" si="0"/>
        <v>44160.675777979981</v>
      </c>
      <c r="G18" s="76">
        <f>D18-E18</f>
        <v>3182.0618835304776</v>
      </c>
      <c r="H18" s="70">
        <f>C18</f>
        <v>3.46</v>
      </c>
      <c r="I18" s="51">
        <f>H18/H17</f>
        <v>0.15741583257506825</v>
      </c>
    </row>
    <row r="19" spans="1:16" s="51" customFormat="1" ht="15" hidden="1" outlineLevel="1" x14ac:dyDescent="0.25">
      <c r="A19" s="73" t="s">
        <v>18</v>
      </c>
      <c r="B19" s="34" t="s">
        <v>19</v>
      </c>
      <c r="C19" s="89">
        <v>1.69</v>
      </c>
      <c r="D19" s="75">
        <f>D17*I19</f>
        <v>21569.809845313921</v>
      </c>
      <c r="E19" s="75">
        <f>E17*I19</f>
        <v>20015.565746132848</v>
      </c>
      <c r="F19" s="75">
        <f t="shared" si="0"/>
        <v>21569.809845313921</v>
      </c>
      <c r="G19" s="76">
        <f>D19-E19</f>
        <v>1554.2440991810727</v>
      </c>
      <c r="H19" s="70">
        <f>C19</f>
        <v>1.69</v>
      </c>
      <c r="I19" s="51">
        <f>H19/H17</f>
        <v>7.6888080072793449E-2</v>
      </c>
    </row>
    <row r="20" spans="1:16" s="51" customFormat="1" ht="15" hidden="1" outlineLevel="1" x14ac:dyDescent="0.25">
      <c r="A20" s="73" t="s">
        <v>20</v>
      </c>
      <c r="B20" s="34" t="s">
        <v>21</v>
      </c>
      <c r="C20" s="89">
        <v>1.69</v>
      </c>
      <c r="D20" s="75">
        <f>D17*I20</f>
        <v>21569.809845313921</v>
      </c>
      <c r="E20" s="75">
        <f>E17*I20</f>
        <v>20015.565746132848</v>
      </c>
      <c r="F20" s="75">
        <f t="shared" si="0"/>
        <v>21569.809845313921</v>
      </c>
      <c r="G20" s="76">
        <f>D20-E20</f>
        <v>1554.2440991810727</v>
      </c>
      <c r="H20" s="70">
        <f>C20</f>
        <v>1.69</v>
      </c>
      <c r="I20" s="51">
        <f>H20/H17</f>
        <v>7.6888080072793449E-2</v>
      </c>
    </row>
    <row r="21" spans="1:16" s="51" customFormat="1" ht="15" hidden="1" outlineLevel="1" x14ac:dyDescent="0.25">
      <c r="A21" s="73" t="s">
        <v>22</v>
      </c>
      <c r="B21" s="34" t="s">
        <v>23</v>
      </c>
      <c r="C21" s="89">
        <v>3.04</v>
      </c>
      <c r="D21" s="75">
        <f>D17*I21</f>
        <v>38800.131319381253</v>
      </c>
      <c r="E21" s="75">
        <f>E17*I21</f>
        <v>36004.331282984538</v>
      </c>
      <c r="F21" s="75">
        <f t="shared" si="0"/>
        <v>38800.131319381253</v>
      </c>
      <c r="G21" s="76">
        <f>D21-E21</f>
        <v>2795.8000363967149</v>
      </c>
      <c r="H21" s="70">
        <f>C21</f>
        <v>3.04</v>
      </c>
      <c r="I21" s="51">
        <f>H21/H17</f>
        <v>0.13830755232029118</v>
      </c>
    </row>
    <row r="22" spans="1:16" s="81" customFormat="1" ht="14.25" collapsed="1" x14ac:dyDescent="0.2">
      <c r="A22" s="78" t="s">
        <v>25</v>
      </c>
      <c r="B22" s="78" t="s">
        <v>145</v>
      </c>
      <c r="C22" s="46">
        <v>110</v>
      </c>
      <c r="D22" s="79">
        <v>0</v>
      </c>
      <c r="E22" s="79">
        <v>471.82</v>
      </c>
      <c r="F22" s="79">
        <f t="shared" si="0"/>
        <v>0</v>
      </c>
      <c r="G22" s="69">
        <f t="shared" ref="G22:G33" si="1">D22-E22</f>
        <v>-471.82</v>
      </c>
      <c r="H22" s="80"/>
      <c r="I22" s="80"/>
      <c r="J22" s="80"/>
      <c r="K22" s="80"/>
    </row>
    <row r="23" spans="1:16" s="81" customFormat="1" ht="14.25" x14ac:dyDescent="0.2">
      <c r="A23" s="78" t="s">
        <v>27</v>
      </c>
      <c r="B23" s="78" t="s">
        <v>28</v>
      </c>
      <c r="C23" s="87">
        <v>0</v>
      </c>
      <c r="D23" s="79">
        <v>0</v>
      </c>
      <c r="E23" s="79">
        <v>0</v>
      </c>
      <c r="F23" s="79">
        <f t="shared" si="0"/>
        <v>0</v>
      </c>
      <c r="G23" s="69">
        <f t="shared" si="1"/>
        <v>0</v>
      </c>
      <c r="H23" s="80"/>
      <c r="I23" s="80"/>
      <c r="J23" s="80"/>
      <c r="K23" s="80"/>
    </row>
    <row r="24" spans="1:16" s="81" customFormat="1" ht="14.25" x14ac:dyDescent="0.2">
      <c r="A24" s="78" t="s">
        <v>29</v>
      </c>
      <c r="B24" s="78" t="s">
        <v>30</v>
      </c>
      <c r="C24" s="126">
        <v>0</v>
      </c>
      <c r="D24" s="79">
        <v>0</v>
      </c>
      <c r="E24" s="79">
        <v>0</v>
      </c>
      <c r="F24" s="79">
        <v>0</v>
      </c>
      <c r="G24" s="69">
        <f t="shared" si="1"/>
        <v>0</v>
      </c>
      <c r="H24" s="80"/>
      <c r="I24" s="80"/>
      <c r="J24" s="80"/>
      <c r="K24" s="80"/>
    </row>
    <row r="25" spans="1:16" s="81" customFormat="1" ht="14.25" x14ac:dyDescent="0.2">
      <c r="A25" s="78" t="s">
        <v>31</v>
      </c>
      <c r="B25" s="78" t="s">
        <v>80</v>
      </c>
      <c r="C25" s="79">
        <v>2.17</v>
      </c>
      <c r="D25" s="79">
        <f>27696.36+D26</f>
        <v>32638.75</v>
      </c>
      <c r="E25" s="79">
        <f>26009.17+E26</f>
        <v>30951.559999999998</v>
      </c>
      <c r="F25" s="79">
        <f>F45</f>
        <v>10309.515600000001</v>
      </c>
      <c r="G25" s="69">
        <f t="shared" si="1"/>
        <v>1687.1900000000023</v>
      </c>
      <c r="H25" s="80"/>
      <c r="I25" s="80"/>
      <c r="J25" s="80"/>
      <c r="K25" s="80"/>
    </row>
    <row r="26" spans="1:16" s="81" customFormat="1" ht="14.25" x14ac:dyDescent="0.2">
      <c r="A26" s="78"/>
      <c r="B26" s="292" t="s">
        <v>244</v>
      </c>
      <c r="C26" s="293"/>
      <c r="D26" s="294">
        <f>802.03+3064.91+1075.45</f>
        <v>4942.3899999999994</v>
      </c>
      <c r="E26" s="294">
        <f>802.03+3064.91+1075.45</f>
        <v>4942.3899999999994</v>
      </c>
      <c r="F26" s="294"/>
      <c r="G26" s="248">
        <f>D26-E26</f>
        <v>0</v>
      </c>
      <c r="H26" s="80"/>
      <c r="I26" s="80"/>
      <c r="J26" s="80"/>
      <c r="K26" s="80"/>
    </row>
    <row r="27" spans="1:16" ht="14.25" x14ac:dyDescent="0.2">
      <c r="A27" s="39" t="s">
        <v>33</v>
      </c>
      <c r="B27" s="39" t="s">
        <v>97</v>
      </c>
      <c r="C27" s="82">
        <v>0</v>
      </c>
      <c r="D27" s="69">
        <v>0</v>
      </c>
      <c r="E27" s="69">
        <v>0</v>
      </c>
      <c r="F27" s="79">
        <f>D27</f>
        <v>0</v>
      </c>
      <c r="G27" s="69">
        <f t="shared" si="1"/>
        <v>0</v>
      </c>
      <c r="H27" s="88"/>
      <c r="I27" s="88"/>
      <c r="J27" s="88"/>
      <c r="K27" s="88"/>
    </row>
    <row r="28" spans="1:16" ht="14.25" x14ac:dyDescent="0.2">
      <c r="A28" s="39" t="s">
        <v>35</v>
      </c>
      <c r="B28" s="39" t="s">
        <v>36</v>
      </c>
      <c r="C28" s="69"/>
      <c r="D28" s="69">
        <f>SUM(D29:D32)</f>
        <v>897936.89999999991</v>
      </c>
      <c r="E28" s="69">
        <f>SUM(E29:E32)</f>
        <v>846308.44000000006</v>
      </c>
      <c r="F28" s="69">
        <f>SUM(F29:F32)</f>
        <v>897936.89999999991</v>
      </c>
      <c r="G28" s="69">
        <f t="shared" si="1"/>
        <v>51628.459999999846</v>
      </c>
      <c r="H28" s="88"/>
      <c r="I28" s="88"/>
      <c r="J28" s="88"/>
      <c r="K28" s="88"/>
    </row>
    <row r="29" spans="1:16" ht="15" x14ac:dyDescent="0.25">
      <c r="A29" s="34" t="s">
        <v>37</v>
      </c>
      <c r="B29" s="34" t="s">
        <v>101</v>
      </c>
      <c r="C29" s="89">
        <v>7.36</v>
      </c>
      <c r="D29" s="76">
        <v>9493.39</v>
      </c>
      <c r="E29" s="76">
        <v>7713.19</v>
      </c>
      <c r="F29" s="76">
        <f>D29</f>
        <v>9493.39</v>
      </c>
      <c r="G29" s="76">
        <f t="shared" si="1"/>
        <v>1780.1999999999998</v>
      </c>
    </row>
    <row r="30" spans="1:16" ht="15" x14ac:dyDescent="0.25">
      <c r="A30" s="34" t="s">
        <v>39</v>
      </c>
      <c r="B30" s="34" t="s">
        <v>84</v>
      </c>
      <c r="C30" s="89">
        <v>88.38</v>
      </c>
      <c r="D30" s="76">
        <v>232127.67</v>
      </c>
      <c r="E30" s="76">
        <v>212534.72</v>
      </c>
      <c r="F30" s="76">
        <f>D30</f>
        <v>232127.67</v>
      </c>
      <c r="G30" s="76">
        <f t="shared" si="1"/>
        <v>19592.950000000012</v>
      </c>
    </row>
    <row r="31" spans="1:16" ht="15" x14ac:dyDescent="0.25">
      <c r="A31" s="34" t="s">
        <v>42</v>
      </c>
      <c r="B31" s="34" t="s">
        <v>135</v>
      </c>
      <c r="C31" s="128">
        <v>0</v>
      </c>
      <c r="D31" s="76">
        <v>0</v>
      </c>
      <c r="E31" s="76">
        <v>0</v>
      </c>
      <c r="F31" s="76">
        <f>D31</f>
        <v>0</v>
      </c>
      <c r="G31" s="76">
        <f t="shared" si="1"/>
        <v>0</v>
      </c>
    </row>
    <row r="32" spans="1:16" ht="15" x14ac:dyDescent="0.25">
      <c r="A32" s="34" t="s">
        <v>41</v>
      </c>
      <c r="B32" s="34" t="s">
        <v>43</v>
      </c>
      <c r="C32" s="89">
        <v>3352.42</v>
      </c>
      <c r="D32" s="76">
        <v>656315.84</v>
      </c>
      <c r="E32" s="76">
        <v>626060.53</v>
      </c>
      <c r="F32" s="76">
        <f>D32</f>
        <v>656315.84</v>
      </c>
      <c r="G32" s="76">
        <f t="shared" si="1"/>
        <v>30255.309999999939</v>
      </c>
    </row>
    <row r="33" spans="1:14" ht="14.25" hidden="1" outlineLevel="1" x14ac:dyDescent="0.2">
      <c r="A33" s="39" t="s">
        <v>112</v>
      </c>
      <c r="B33" s="300" t="s">
        <v>140</v>
      </c>
      <c r="C33" s="298"/>
      <c r="D33" s="248">
        <v>1000</v>
      </c>
      <c r="E33" s="248">
        <v>0</v>
      </c>
      <c r="F33" s="248">
        <v>0</v>
      </c>
      <c r="G33" s="248">
        <f t="shared" si="1"/>
        <v>1000</v>
      </c>
    </row>
    <row r="34" spans="1:14" ht="15" hidden="1" outlineLevel="1" x14ac:dyDescent="0.25">
      <c r="A34" s="153"/>
      <c r="B34" s="301"/>
      <c r="C34" s="376" t="s">
        <v>246</v>
      </c>
      <c r="D34" s="377"/>
      <c r="E34" s="377"/>
      <c r="F34" s="377"/>
      <c r="G34" s="82">
        <f>E33-(E33*15%)</f>
        <v>0</v>
      </c>
    </row>
    <row r="35" spans="1:14" s="92" customFormat="1" ht="21" customHeight="1" collapsed="1" thickBot="1" x14ac:dyDescent="0.3">
      <c r="A35" s="373"/>
      <c r="B35" s="374"/>
      <c r="C35" s="374"/>
      <c r="D35" s="375"/>
      <c r="E35" s="375"/>
      <c r="F35" s="375"/>
      <c r="G35" s="91"/>
      <c r="H35" s="91"/>
      <c r="I35" s="91"/>
    </row>
    <row r="36" spans="1:14" s="59" customFormat="1" ht="15.75" thickBot="1" x14ac:dyDescent="0.3">
      <c r="A36" s="387" t="s">
        <v>427</v>
      </c>
      <c r="B36" s="388"/>
      <c r="C36" s="388"/>
      <c r="D36" s="57">
        <v>73058.2</v>
      </c>
      <c r="E36" s="58"/>
      <c r="F36" s="58"/>
      <c r="G36" s="58"/>
      <c r="H36" s="54"/>
      <c r="I36" s="54"/>
    </row>
    <row r="37" spans="1:14" s="59" customFormat="1" ht="6" customHeight="1" thickBot="1" x14ac:dyDescent="0.3">
      <c r="A37" s="60"/>
      <c r="B37" s="60"/>
      <c r="C37" s="60"/>
      <c r="D37" s="38"/>
      <c r="E37" s="58"/>
      <c r="F37" s="58"/>
      <c r="G37" s="58"/>
      <c r="H37" s="54"/>
      <c r="I37" s="54"/>
    </row>
    <row r="38" spans="1:14" s="59" customFormat="1" ht="15.75" thickBot="1" x14ac:dyDescent="0.3">
      <c r="A38" s="55" t="s">
        <v>428</v>
      </c>
      <c r="B38" s="56"/>
      <c r="C38" s="56"/>
      <c r="D38" s="61"/>
      <c r="E38" s="62"/>
      <c r="F38" s="62"/>
      <c r="G38" s="129">
        <f>G14+E25-F25</f>
        <v>90869.963600000003</v>
      </c>
      <c r="H38" s="54"/>
      <c r="I38" s="54"/>
      <c r="K38" s="59">
        <f>23926.53-3721.67</f>
        <v>20204.86</v>
      </c>
    </row>
    <row r="39" spans="1:14" s="59" customFormat="1" ht="15" x14ac:dyDescent="0.25">
      <c r="A39" s="514" t="s">
        <v>134</v>
      </c>
      <c r="B39" s="515"/>
      <c r="C39" s="93"/>
      <c r="D39" s="93"/>
      <c r="E39" s="91"/>
      <c r="F39" s="91"/>
      <c r="G39" s="38"/>
      <c r="H39" s="54"/>
      <c r="I39" s="339">
        <v>41.3</v>
      </c>
      <c r="J39" s="59">
        <f>I39*H41*3</f>
        <v>2992.1849999999995</v>
      </c>
      <c r="K39" s="59">
        <f>23163.42-2845.98</f>
        <v>20317.439999999999</v>
      </c>
    </row>
    <row r="40" spans="1:14" s="59" customFormat="1" ht="15" x14ac:dyDescent="0.25">
      <c r="A40" s="393" t="s">
        <v>91</v>
      </c>
      <c r="B40" s="394"/>
      <c r="C40" s="41" t="s">
        <v>92</v>
      </c>
      <c r="D40" s="41" t="s">
        <v>93</v>
      </c>
      <c r="E40" s="42" t="s">
        <v>94</v>
      </c>
      <c r="F40" s="40" t="s">
        <v>95</v>
      </c>
      <c r="G40" s="42" t="s">
        <v>96</v>
      </c>
      <c r="H40" s="54"/>
      <c r="I40" s="339">
        <v>117.7</v>
      </c>
      <c r="J40" s="59">
        <f>I40*H41*3</f>
        <v>8527.3649999999998</v>
      </c>
    </row>
    <row r="41" spans="1:14" s="59" customFormat="1" ht="15" x14ac:dyDescent="0.25">
      <c r="A41" s="395"/>
      <c r="B41" s="396"/>
      <c r="C41" s="342">
        <f>30.8+117.7+41.3</f>
        <v>189.8</v>
      </c>
      <c r="D41" s="138">
        <f>E41/C41/12</f>
        <v>24.150000000000002</v>
      </c>
      <c r="E41" s="358">
        <f>8925.84+34109.52+11968.68</f>
        <v>55004.04</v>
      </c>
      <c r="F41" s="358">
        <f>8925.84+36909.52+11968.68</f>
        <v>57804.04</v>
      </c>
      <c r="G41" s="138">
        <f>E41-F41</f>
        <v>-2800</v>
      </c>
      <c r="H41" s="91">
        <f>C17+C25</f>
        <v>24.15</v>
      </c>
      <c r="I41" s="91">
        <v>30.8</v>
      </c>
      <c r="J41" s="91">
        <f>I41*H41*3</f>
        <v>2231.46</v>
      </c>
      <c r="K41" s="91">
        <f>8050.98+6070.68+23163.42</f>
        <v>37285.08</v>
      </c>
      <c r="L41" s="59">
        <f>7125.45+4643.1+23926.53</f>
        <v>35695.08</v>
      </c>
    </row>
    <row r="42" spans="1:14" s="92" customFormat="1" ht="25.5" customHeight="1" x14ac:dyDescent="0.25">
      <c r="A42" s="371" t="s">
        <v>44</v>
      </c>
      <c r="B42" s="371"/>
      <c r="C42" s="371"/>
      <c r="D42" s="371"/>
      <c r="E42" s="371"/>
      <c r="F42" s="371"/>
      <c r="G42" s="371"/>
      <c r="H42" s="371"/>
      <c r="I42" s="371"/>
      <c r="J42" s="371"/>
      <c r="K42" s="371"/>
      <c r="L42" s="91"/>
      <c r="M42" s="91"/>
    </row>
    <row r="43" spans="1:14" ht="23.25" customHeight="1" x14ac:dyDescent="0.2"/>
    <row r="44" spans="1:14" ht="28.5" x14ac:dyDescent="0.2">
      <c r="A44" s="94" t="s">
        <v>11</v>
      </c>
      <c r="B44" s="416" t="s">
        <v>45</v>
      </c>
      <c r="C44" s="425"/>
      <c r="D44" s="94" t="s">
        <v>99</v>
      </c>
      <c r="E44" s="94" t="s">
        <v>98</v>
      </c>
      <c r="F44" s="550" t="s">
        <v>46</v>
      </c>
      <c r="G44" s="550"/>
      <c r="H44" s="95"/>
      <c r="I44" s="96"/>
      <c r="J44" s="66"/>
      <c r="K44" s="66"/>
    </row>
    <row r="45" spans="1:14" s="66" customFormat="1" ht="15" x14ac:dyDescent="0.25">
      <c r="A45" s="98" t="s">
        <v>47</v>
      </c>
      <c r="B45" s="418" t="s">
        <v>75</v>
      </c>
      <c r="C45" s="430"/>
      <c r="D45" s="99"/>
      <c r="E45" s="99"/>
      <c r="F45" s="548">
        <f>SUM(F46:G49)</f>
        <v>10309.515600000001</v>
      </c>
      <c r="G45" s="549"/>
      <c r="H45" s="101"/>
      <c r="I45" s="102"/>
      <c r="J45" s="103"/>
      <c r="K45" s="103"/>
      <c r="N45" s="97"/>
    </row>
    <row r="46" spans="1:14" s="103" customFormat="1" ht="15" x14ac:dyDescent="0.25">
      <c r="A46" s="34" t="s">
        <v>16</v>
      </c>
      <c r="B46" s="406" t="s">
        <v>549</v>
      </c>
      <c r="C46" s="407"/>
      <c r="D46" s="176" t="s">
        <v>550</v>
      </c>
      <c r="E46" s="176">
        <v>1</v>
      </c>
      <c r="F46" s="435">
        <v>10000</v>
      </c>
      <c r="G46" s="435"/>
      <c r="H46" s="38"/>
      <c r="I46" s="38"/>
      <c r="J46" s="49"/>
      <c r="K46" s="49"/>
      <c r="N46" s="104"/>
    </row>
    <row r="47" spans="1:14" s="103" customFormat="1" ht="15" x14ac:dyDescent="0.25">
      <c r="A47" s="34" t="s">
        <v>18</v>
      </c>
      <c r="B47" s="412"/>
      <c r="C47" s="517"/>
      <c r="D47" s="258"/>
      <c r="E47" s="263"/>
      <c r="F47" s="463"/>
      <c r="G47" s="463"/>
      <c r="H47" s="38"/>
      <c r="I47" s="38"/>
      <c r="J47" s="49"/>
      <c r="K47" s="49"/>
      <c r="N47" s="104"/>
    </row>
    <row r="48" spans="1:14" s="103" customFormat="1" ht="15" x14ac:dyDescent="0.25">
      <c r="A48" s="34" t="s">
        <v>20</v>
      </c>
      <c r="B48" s="406"/>
      <c r="C48" s="454"/>
      <c r="D48" s="105"/>
      <c r="E48" s="137"/>
      <c r="F48" s="435"/>
      <c r="G48" s="435"/>
      <c r="H48" s="38"/>
      <c r="I48" s="38"/>
      <c r="J48" s="49"/>
      <c r="K48" s="49"/>
      <c r="N48" s="104"/>
    </row>
    <row r="49" spans="1:10" s="51" customFormat="1" ht="15" x14ac:dyDescent="0.25">
      <c r="A49" s="34" t="s">
        <v>22</v>
      </c>
      <c r="B49" s="458" t="s">
        <v>108</v>
      </c>
      <c r="C49" s="459"/>
      <c r="D49" s="108"/>
      <c r="E49" s="108"/>
      <c r="F49" s="435">
        <f>E25*1%</f>
        <v>309.51560000000001</v>
      </c>
      <c r="G49" s="435"/>
    </row>
    <row r="50" spans="1:10" s="51" customFormat="1" x14ac:dyDescent="0.2"/>
    <row r="51" spans="1:10" s="59" customFormat="1" ht="15" x14ac:dyDescent="0.25">
      <c r="A51" s="51" t="s">
        <v>372</v>
      </c>
      <c r="C51" s="110" t="s">
        <v>49</v>
      </c>
      <c r="F51" s="59" t="s">
        <v>60</v>
      </c>
    </row>
    <row r="52" spans="1:10" s="51" customFormat="1" ht="15" x14ac:dyDescent="0.25">
      <c r="A52" s="59"/>
      <c r="B52" s="59"/>
      <c r="C52" s="110"/>
      <c r="D52" s="59"/>
      <c r="E52" s="59"/>
      <c r="F52" s="111" t="s">
        <v>438</v>
      </c>
      <c r="G52" s="59"/>
    </row>
    <row r="53" spans="1:10" s="51" customFormat="1" ht="15" x14ac:dyDescent="0.25">
      <c r="A53" s="59" t="s">
        <v>50</v>
      </c>
      <c r="B53" s="59"/>
      <c r="C53" s="110"/>
      <c r="D53" s="59"/>
      <c r="E53" s="59"/>
      <c r="F53" s="59"/>
      <c r="G53" s="59"/>
      <c r="H53" s="141"/>
      <c r="I53" s="141"/>
      <c r="J53" s="141"/>
    </row>
    <row r="54" spans="1:10" s="51" customFormat="1" ht="15" x14ac:dyDescent="0.25">
      <c r="A54" s="59"/>
      <c r="B54" s="59"/>
      <c r="C54" s="112" t="s">
        <v>51</v>
      </c>
      <c r="D54" s="59"/>
      <c r="E54" s="113"/>
      <c r="F54" s="113"/>
      <c r="G54" s="113"/>
    </row>
    <row r="55" spans="1:10" s="51" customFormat="1" x14ac:dyDescent="0.2"/>
  </sheetData>
  <mergeCells count="25">
    <mergeCell ref="B49:C49"/>
    <mergeCell ref="F49:G49"/>
    <mergeCell ref="B45:C45"/>
    <mergeCell ref="F45:G45"/>
    <mergeCell ref="B46:C46"/>
    <mergeCell ref="F46:G46"/>
    <mergeCell ref="F47:G47"/>
    <mergeCell ref="F48:G48"/>
    <mergeCell ref="B47:C47"/>
    <mergeCell ref="B48:C48"/>
    <mergeCell ref="A12:K12"/>
    <mergeCell ref="A36:C36"/>
    <mergeCell ref="A42:K42"/>
    <mergeCell ref="B44:C44"/>
    <mergeCell ref="F44:G44"/>
    <mergeCell ref="A35:F35"/>
    <mergeCell ref="C34:F34"/>
    <mergeCell ref="A39:B39"/>
    <mergeCell ref="A40:B41"/>
    <mergeCell ref="A1:K1"/>
    <mergeCell ref="A2:K2"/>
    <mergeCell ref="A3:K3"/>
    <mergeCell ref="A5:K5"/>
    <mergeCell ref="A10:K10"/>
    <mergeCell ref="A11:K11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1E00AA-6E5F-4573-B103-123C51D4D487}">
  <sheetPr>
    <tabColor rgb="FF7030A0"/>
  </sheetPr>
  <dimension ref="A1:P60"/>
  <sheetViews>
    <sheetView topLeftCell="A35" zoomScaleNormal="100" workbookViewId="0">
      <selection activeCell="A61" sqref="A61:IV62"/>
    </sheetView>
  </sheetViews>
  <sheetFormatPr defaultRowHeight="15" outlineLevelRow="1" outlineLevelCol="1" x14ac:dyDescent="0.25"/>
  <cols>
    <col min="1" max="1" width="5.7109375" style="35" customWidth="1"/>
    <col min="2" max="2" width="39.7109375" style="35" customWidth="1"/>
    <col min="3" max="3" width="14" style="35" customWidth="1"/>
    <col min="4" max="4" width="12.7109375" style="35" customWidth="1"/>
    <col min="5" max="5" width="13.140625" style="35" customWidth="1"/>
    <col min="6" max="6" width="14.5703125" style="35" customWidth="1"/>
    <col min="7" max="7" width="14.42578125" style="35" customWidth="1"/>
    <col min="8" max="8" width="10.140625" style="35" hidden="1" customWidth="1" outlineLevel="1"/>
    <col min="9" max="9" width="9.42578125" style="35" hidden="1" customWidth="1" outlineLevel="1"/>
    <col min="10" max="10" width="11.28515625" style="35" hidden="1" customWidth="1" outlineLevel="1"/>
    <col min="11" max="15" width="9.140625" style="35" hidden="1" customWidth="1" outlineLevel="1"/>
    <col min="16" max="16" width="10.7109375" style="35" bestFit="1" customWidth="1" collapsed="1"/>
    <col min="17" max="16384" width="9.140625" style="35"/>
  </cols>
  <sheetData>
    <row r="1" spans="1:15" x14ac:dyDescent="0.25">
      <c r="A1" s="397" t="s">
        <v>0</v>
      </c>
      <c r="B1" s="397"/>
      <c r="C1" s="397"/>
      <c r="D1" s="397"/>
      <c r="E1" s="397"/>
      <c r="F1" s="397"/>
      <c r="G1" s="397"/>
      <c r="H1" s="397"/>
      <c r="I1" s="397"/>
    </row>
    <row r="2" spans="1:15" ht="15" customHeight="1" x14ac:dyDescent="0.25">
      <c r="A2" s="370" t="s">
        <v>152</v>
      </c>
      <c r="B2" s="370"/>
      <c r="C2" s="370"/>
      <c r="D2" s="370"/>
      <c r="E2" s="370"/>
      <c r="F2" s="370"/>
      <c r="G2" s="370"/>
      <c r="H2" s="370"/>
      <c r="I2" s="370"/>
      <c r="J2" s="370"/>
      <c r="K2" s="370"/>
    </row>
    <row r="3" spans="1:15" ht="12" customHeight="1" x14ac:dyDescent="0.25">
      <c r="A3" s="370" t="s">
        <v>426</v>
      </c>
      <c r="B3" s="370"/>
      <c r="C3" s="370"/>
      <c r="D3" s="370"/>
      <c r="E3" s="370"/>
      <c r="F3" s="370"/>
      <c r="G3" s="370"/>
      <c r="H3" s="370"/>
      <c r="I3" s="370"/>
      <c r="J3" s="370"/>
      <c r="K3" s="370"/>
    </row>
    <row r="4" spans="1:15" ht="12" customHeight="1" x14ac:dyDescent="0.25">
      <c r="A4" s="398" t="s">
        <v>1</v>
      </c>
      <c r="B4" s="397"/>
      <c r="C4" s="397"/>
      <c r="D4" s="397"/>
      <c r="E4" s="397"/>
      <c r="F4" s="397"/>
      <c r="G4" s="397"/>
      <c r="H4" s="397"/>
      <c r="I4" s="397"/>
    </row>
    <row r="5" spans="1:15" ht="4.5" customHeight="1" x14ac:dyDescent="0.25"/>
    <row r="6" spans="1:15" s="59" customFormat="1" ht="16.5" customHeight="1" x14ac:dyDescent="0.25">
      <c r="A6" s="59" t="s">
        <v>2</v>
      </c>
      <c r="F6" s="111" t="s">
        <v>163</v>
      </c>
    </row>
    <row r="7" spans="1:15" s="59" customFormat="1" x14ac:dyDescent="0.25">
      <c r="A7" s="59" t="s">
        <v>3</v>
      </c>
      <c r="F7" s="239" t="s">
        <v>164</v>
      </c>
      <c r="H7" s="180">
        <v>857.1</v>
      </c>
      <c r="I7" s="59">
        <f>J7-H7</f>
        <v>5684.9</v>
      </c>
      <c r="J7" s="281">
        <v>6542</v>
      </c>
    </row>
    <row r="8" spans="1:15" s="59" customFormat="1" x14ac:dyDescent="0.25">
      <c r="B8" s="51" t="s">
        <v>244</v>
      </c>
      <c r="C8" s="115"/>
      <c r="D8" s="51"/>
      <c r="E8" s="51"/>
      <c r="F8" s="290" t="s">
        <v>248</v>
      </c>
    </row>
    <row r="9" spans="1:15" s="59" customFormat="1" x14ac:dyDescent="0.25">
      <c r="A9" s="372" t="s">
        <v>8</v>
      </c>
      <c r="B9" s="372"/>
      <c r="C9" s="372"/>
      <c r="D9" s="372"/>
      <c r="E9" s="372"/>
      <c r="F9" s="372"/>
      <c r="G9" s="372"/>
      <c r="H9" s="372"/>
      <c r="I9" s="372"/>
    </row>
    <row r="10" spans="1:15" s="59" customFormat="1" x14ac:dyDescent="0.25">
      <c r="A10" s="372" t="s">
        <v>9</v>
      </c>
      <c r="B10" s="372"/>
      <c r="C10" s="372"/>
      <c r="D10" s="372"/>
      <c r="E10" s="372"/>
      <c r="F10" s="372"/>
      <c r="G10" s="372"/>
      <c r="H10" s="372"/>
      <c r="I10" s="372"/>
    </row>
    <row r="11" spans="1:15" s="59" customFormat="1" ht="9" customHeight="1" x14ac:dyDescent="0.25">
      <c r="A11" s="372" t="s">
        <v>10</v>
      </c>
      <c r="B11" s="372"/>
      <c r="C11" s="372"/>
      <c r="D11" s="372"/>
      <c r="E11" s="372"/>
      <c r="F11" s="372"/>
      <c r="G11" s="372"/>
      <c r="H11" s="372"/>
      <c r="I11" s="372"/>
    </row>
    <row r="12" spans="1:15" s="59" customFormat="1" ht="6" customHeight="1" thickBot="1" x14ac:dyDescent="0.3">
      <c r="A12" s="60"/>
      <c r="B12" s="60"/>
      <c r="C12" s="60"/>
      <c r="D12" s="38"/>
      <c r="E12" s="58"/>
      <c r="F12" s="58"/>
      <c r="G12" s="58"/>
      <c r="H12" s="54"/>
      <c r="I12" s="54"/>
    </row>
    <row r="13" spans="1:15" s="59" customFormat="1" ht="15.75" thickBot="1" x14ac:dyDescent="0.3">
      <c r="A13" s="55" t="s">
        <v>381</v>
      </c>
      <c r="B13" s="56"/>
      <c r="C13" s="56"/>
      <c r="D13" s="61"/>
      <c r="E13" s="62"/>
      <c r="F13" s="62"/>
      <c r="G13" s="232">
        <f>'[1]Герцена 3'!$G$38</f>
        <v>368100.23739999998</v>
      </c>
      <c r="H13" s="321" t="s">
        <v>421</v>
      </c>
      <c r="I13" s="321"/>
      <c r="J13" s="180">
        <f>-19959.8*2</f>
        <v>-39919.599999999999</v>
      </c>
    </row>
    <row r="14" spans="1:15" s="59" customFormat="1" ht="6.75" customHeight="1" x14ac:dyDescent="0.25"/>
    <row r="15" spans="1:15" s="66" customFormat="1" ht="38.25" x14ac:dyDescent="0.25">
      <c r="A15" s="64" t="s">
        <v>11</v>
      </c>
      <c r="B15" s="64" t="s">
        <v>12</v>
      </c>
      <c r="C15" s="64" t="s">
        <v>61</v>
      </c>
      <c r="D15" s="64" t="s">
        <v>432</v>
      </c>
      <c r="E15" s="64" t="s">
        <v>433</v>
      </c>
      <c r="F15" s="65" t="s">
        <v>434</v>
      </c>
      <c r="G15" s="64" t="s">
        <v>435</v>
      </c>
      <c r="J15" s="66" t="s">
        <v>342</v>
      </c>
      <c r="L15" s="308"/>
      <c r="N15" s="308"/>
    </row>
    <row r="16" spans="1:15" s="152" customFormat="1" ht="14.25" customHeight="1" x14ac:dyDescent="0.25">
      <c r="A16" s="67" t="s">
        <v>14</v>
      </c>
      <c r="B16" s="39" t="s">
        <v>379</v>
      </c>
      <c r="C16" s="120">
        <v>20.32</v>
      </c>
      <c r="D16" s="68">
        <v>1583403.79</v>
      </c>
      <c r="E16" s="68">
        <v>1330305.8899999999</v>
      </c>
      <c r="F16" s="68">
        <f t="shared" ref="F16:F21" si="0">D16</f>
        <v>1583403.79</v>
      </c>
      <c r="G16" s="69">
        <f t="shared" ref="G16:G21" si="1">D16-E16</f>
        <v>253097.90000000014</v>
      </c>
      <c r="H16" s="130">
        <f t="shared" ref="H16:H21" si="2">C16</f>
        <v>20.32</v>
      </c>
      <c r="J16" s="309">
        <f t="shared" ref="J16:J21" si="3">O16/12</f>
        <v>10.923333333333334</v>
      </c>
      <c r="K16" s="152">
        <v>10.34</v>
      </c>
      <c r="L16" s="247">
        <f>K16*10</f>
        <v>103.4</v>
      </c>
      <c r="M16" s="152">
        <v>13.84</v>
      </c>
      <c r="N16" s="247">
        <f t="shared" ref="N16:N21" si="4">M16*2</f>
        <v>27.68</v>
      </c>
      <c r="O16" s="152">
        <f t="shared" ref="O16:O21" si="5">N16+L16</f>
        <v>131.08000000000001</v>
      </c>
    </row>
    <row r="17" spans="1:16" s="59" customFormat="1" ht="14.25" hidden="1" customHeight="1" outlineLevel="1" x14ac:dyDescent="0.25">
      <c r="A17" s="73" t="s">
        <v>16</v>
      </c>
      <c r="B17" s="34" t="s">
        <v>17</v>
      </c>
      <c r="C17" s="89">
        <v>3.46</v>
      </c>
      <c r="D17" s="75">
        <f>D16*I17</f>
        <v>269615.01542322838</v>
      </c>
      <c r="E17" s="75">
        <f>E16*I17</f>
        <v>226518.62103346456</v>
      </c>
      <c r="F17" s="75">
        <f t="shared" si="0"/>
        <v>269615.01542322838</v>
      </c>
      <c r="G17" s="76">
        <f t="shared" si="1"/>
        <v>43096.394389763824</v>
      </c>
      <c r="H17" s="130">
        <f t="shared" si="2"/>
        <v>3.46</v>
      </c>
      <c r="I17" s="59">
        <f>H17/H16</f>
        <v>0.17027559055118111</v>
      </c>
      <c r="J17" s="187">
        <f t="shared" si="3"/>
        <v>3.4600000000000004</v>
      </c>
      <c r="K17" s="130">
        <f>C17</f>
        <v>3.46</v>
      </c>
      <c r="L17" s="180">
        <f>K17*10</f>
        <v>34.6</v>
      </c>
      <c r="M17" s="130">
        <f>C17</f>
        <v>3.46</v>
      </c>
      <c r="N17" s="247">
        <f t="shared" si="4"/>
        <v>6.92</v>
      </c>
      <c r="O17" s="59">
        <f t="shared" si="5"/>
        <v>41.52</v>
      </c>
    </row>
    <row r="18" spans="1:16" s="59" customFormat="1" ht="14.25" hidden="1" customHeight="1" outlineLevel="1" x14ac:dyDescent="0.25">
      <c r="A18" s="73" t="s">
        <v>18</v>
      </c>
      <c r="B18" s="34" t="s">
        <v>19</v>
      </c>
      <c r="C18" s="89">
        <v>1.69</v>
      </c>
      <c r="D18" s="75">
        <f>D16*I18</f>
        <v>131690.57111712598</v>
      </c>
      <c r="E18" s="75">
        <f>E16*I18</f>
        <v>110640.5981348425</v>
      </c>
      <c r="F18" s="75">
        <f t="shared" si="0"/>
        <v>131690.57111712598</v>
      </c>
      <c r="G18" s="76">
        <f t="shared" si="1"/>
        <v>21049.972982283478</v>
      </c>
      <c r="H18" s="130">
        <f t="shared" si="2"/>
        <v>1.69</v>
      </c>
      <c r="I18" s="59">
        <f>H18/H16</f>
        <v>8.3169291338582668E-2</v>
      </c>
      <c r="J18" s="187">
        <f t="shared" si="3"/>
        <v>1.6899999999999997</v>
      </c>
      <c r="K18" s="130">
        <f>C18</f>
        <v>1.69</v>
      </c>
      <c r="L18" s="180">
        <f>K18*10</f>
        <v>16.899999999999999</v>
      </c>
      <c r="M18" s="130">
        <f>C18</f>
        <v>1.69</v>
      </c>
      <c r="N18" s="247">
        <f t="shared" si="4"/>
        <v>3.38</v>
      </c>
      <c r="O18" s="59">
        <f t="shared" si="5"/>
        <v>20.279999999999998</v>
      </c>
    </row>
    <row r="19" spans="1:16" s="59" customFormat="1" ht="14.25" hidden="1" customHeight="1" outlineLevel="1" x14ac:dyDescent="0.25">
      <c r="A19" s="73" t="s">
        <v>20</v>
      </c>
      <c r="B19" s="34" t="s">
        <v>21</v>
      </c>
      <c r="C19" s="89">
        <v>2.15</v>
      </c>
      <c r="D19" s="75">
        <f>D16*I19</f>
        <v>167535.34195374014</v>
      </c>
      <c r="E19" s="75">
        <f>E16*I19</f>
        <v>140755.79052657477</v>
      </c>
      <c r="F19" s="75">
        <f t="shared" si="0"/>
        <v>167535.34195374014</v>
      </c>
      <c r="G19" s="76">
        <f t="shared" si="1"/>
        <v>26779.551427165366</v>
      </c>
      <c r="H19" s="130">
        <f t="shared" si="2"/>
        <v>2.15</v>
      </c>
      <c r="I19" s="59">
        <f>H19/H16</f>
        <v>0.10580708661417322</v>
      </c>
      <c r="J19" s="187">
        <f t="shared" si="3"/>
        <v>2.15</v>
      </c>
      <c r="K19" s="130">
        <f>C19</f>
        <v>2.15</v>
      </c>
      <c r="L19" s="180">
        <f>K19*10</f>
        <v>21.5</v>
      </c>
      <c r="M19" s="130">
        <f>C19</f>
        <v>2.15</v>
      </c>
      <c r="N19" s="247">
        <f t="shared" si="4"/>
        <v>4.3</v>
      </c>
      <c r="O19" s="59">
        <f t="shared" si="5"/>
        <v>25.8</v>
      </c>
    </row>
    <row r="20" spans="1:16" s="59" customFormat="1" hidden="1" outlineLevel="1" x14ac:dyDescent="0.25">
      <c r="A20" s="73" t="s">
        <v>22</v>
      </c>
      <c r="B20" s="34" t="s">
        <v>23</v>
      </c>
      <c r="C20" s="89">
        <v>3.04</v>
      </c>
      <c r="D20" s="75">
        <f>D16*I20</f>
        <v>236887.18118110238</v>
      </c>
      <c r="E20" s="75">
        <f>E16*I20</f>
        <v>199022.14102362204</v>
      </c>
      <c r="F20" s="75">
        <f t="shared" si="0"/>
        <v>236887.18118110238</v>
      </c>
      <c r="G20" s="76">
        <f t="shared" si="1"/>
        <v>37865.04015748034</v>
      </c>
      <c r="H20" s="130">
        <f t="shared" si="2"/>
        <v>3.04</v>
      </c>
      <c r="I20" s="59">
        <f>H20/H16</f>
        <v>0.14960629921259844</v>
      </c>
      <c r="J20" s="187">
        <f t="shared" si="3"/>
        <v>3.0399999999999996</v>
      </c>
      <c r="K20" s="130">
        <f>C20</f>
        <v>3.04</v>
      </c>
      <c r="L20" s="180">
        <f>K20*10</f>
        <v>30.4</v>
      </c>
      <c r="M20" s="130">
        <f>C20</f>
        <v>3.04</v>
      </c>
      <c r="N20" s="247">
        <f t="shared" si="4"/>
        <v>6.08</v>
      </c>
      <c r="O20" s="59">
        <f t="shared" si="5"/>
        <v>36.479999999999997</v>
      </c>
    </row>
    <row r="21" spans="1:16" s="59" customFormat="1" hidden="1" outlineLevel="1" x14ac:dyDescent="0.25">
      <c r="A21" s="73" t="s">
        <v>24</v>
      </c>
      <c r="B21" s="34" t="s">
        <v>339</v>
      </c>
      <c r="C21" s="89">
        <v>0.57999999999999996</v>
      </c>
      <c r="D21" s="75">
        <f>I21*D16</f>
        <v>45195.580620078741</v>
      </c>
      <c r="E21" s="75">
        <f>I21*E16</f>
        <v>37971.329537401572</v>
      </c>
      <c r="F21" s="75">
        <f t="shared" si="0"/>
        <v>45195.580620078741</v>
      </c>
      <c r="G21" s="76">
        <f t="shared" si="1"/>
        <v>7224.2510826771686</v>
      </c>
      <c r="H21" s="130">
        <f t="shared" si="2"/>
        <v>0.57999999999999996</v>
      </c>
      <c r="I21" s="59">
        <f>H21/H16</f>
        <v>2.8543307086614171E-2</v>
      </c>
      <c r="J21" s="187">
        <f t="shared" si="3"/>
        <v>0.58333333333333337</v>
      </c>
      <c r="M21" s="59">
        <v>3.5</v>
      </c>
      <c r="N21" s="247">
        <f t="shared" si="4"/>
        <v>7</v>
      </c>
      <c r="O21" s="59">
        <f t="shared" si="5"/>
        <v>7</v>
      </c>
    </row>
    <row r="22" spans="1:16" s="37" customFormat="1" ht="14.25" customHeight="1" collapsed="1" x14ac:dyDescent="0.2">
      <c r="A22" s="67" t="s">
        <v>25</v>
      </c>
      <c r="B22" s="78" t="s">
        <v>145</v>
      </c>
      <c r="C22" s="126">
        <v>0</v>
      </c>
      <c r="D22" s="69">
        <v>0</v>
      </c>
      <c r="E22" s="69">
        <v>0.49</v>
      </c>
      <c r="F22" s="68">
        <f t="shared" ref="F22:F31" si="6">D22</f>
        <v>0</v>
      </c>
      <c r="G22" s="69">
        <f t="shared" ref="G22:G33" si="7">D22-E22</f>
        <v>-0.49</v>
      </c>
    </row>
    <row r="23" spans="1:16" s="37" customFormat="1" ht="14.25" customHeight="1" x14ac:dyDescent="0.2">
      <c r="A23" s="39" t="s">
        <v>27</v>
      </c>
      <c r="B23" s="125" t="s">
        <v>26</v>
      </c>
      <c r="C23" s="126">
        <v>4.3600000000000003</v>
      </c>
      <c r="D23" s="69">
        <v>297433.68</v>
      </c>
      <c r="E23" s="69">
        <v>287493.95</v>
      </c>
      <c r="F23" s="68">
        <f>D23</f>
        <v>297433.68</v>
      </c>
      <c r="G23" s="69">
        <f t="shared" si="7"/>
        <v>9939.7299999999814</v>
      </c>
    </row>
    <row r="24" spans="1:16" s="37" customFormat="1" ht="14.25" customHeight="1" x14ac:dyDescent="0.2">
      <c r="A24" s="39" t="s">
        <v>29</v>
      </c>
      <c r="B24" s="125" t="s">
        <v>97</v>
      </c>
      <c r="C24" s="357">
        <v>0</v>
      </c>
      <c r="D24" s="69">
        <v>0</v>
      </c>
      <c r="E24" s="69">
        <v>0</v>
      </c>
      <c r="F24" s="68">
        <f t="shared" si="6"/>
        <v>0</v>
      </c>
      <c r="G24" s="69">
        <f t="shared" si="7"/>
        <v>0</v>
      </c>
    </row>
    <row r="25" spans="1:16" s="37" customFormat="1" ht="14.25" customHeight="1" x14ac:dyDescent="0.2">
      <c r="A25" s="39" t="s">
        <v>31</v>
      </c>
      <c r="B25" s="125" t="s">
        <v>80</v>
      </c>
      <c r="C25" s="87">
        <v>2.0099999999999998</v>
      </c>
      <c r="D25" s="69">
        <v>157793.51999999999</v>
      </c>
      <c r="E25" s="69">
        <v>132540.6</v>
      </c>
      <c r="F25" s="68">
        <f>F45</f>
        <v>316797.79600000003</v>
      </c>
      <c r="G25" s="69">
        <f t="shared" si="7"/>
        <v>25252.919999999984</v>
      </c>
      <c r="J25" s="165"/>
    </row>
    <row r="26" spans="1:16" s="37" customFormat="1" ht="14.25" customHeight="1" x14ac:dyDescent="0.2">
      <c r="A26" s="39"/>
      <c r="B26" s="257" t="s">
        <v>244</v>
      </c>
      <c r="C26" s="291"/>
      <c r="D26" s="336">
        <v>0</v>
      </c>
      <c r="E26" s="336">
        <v>0</v>
      </c>
      <c r="F26" s="336"/>
      <c r="G26" s="336">
        <f>D26-E26</f>
        <v>0</v>
      </c>
      <c r="J26" s="165"/>
    </row>
    <row r="27" spans="1:16" s="37" customFormat="1" ht="14.25" customHeight="1" x14ac:dyDescent="0.2">
      <c r="A27" s="39" t="s">
        <v>33</v>
      </c>
      <c r="B27" s="119" t="s">
        <v>34</v>
      </c>
      <c r="C27" s="43">
        <v>0</v>
      </c>
      <c r="D27" s="69">
        <v>0</v>
      </c>
      <c r="E27" s="69">
        <v>0</v>
      </c>
      <c r="F27" s="68">
        <f>D27</f>
        <v>0</v>
      </c>
      <c r="G27" s="69">
        <f t="shared" si="7"/>
        <v>0</v>
      </c>
    </row>
    <row r="28" spans="1:16" s="37" customFormat="1" ht="14.25" customHeight="1" x14ac:dyDescent="0.2">
      <c r="A28" s="39" t="s">
        <v>35</v>
      </c>
      <c r="B28" s="119" t="s">
        <v>36</v>
      </c>
      <c r="C28" s="87"/>
      <c r="D28" s="69">
        <f>SUM(D29:D32)</f>
        <v>4258798.2100000009</v>
      </c>
      <c r="E28" s="69">
        <f>SUM(E29:E32)</f>
        <v>4111633.74</v>
      </c>
      <c r="F28" s="68">
        <f t="shared" si="6"/>
        <v>4258798.2100000009</v>
      </c>
      <c r="G28" s="69">
        <f t="shared" si="7"/>
        <v>147164.47000000067</v>
      </c>
      <c r="P28" s="272"/>
    </row>
    <row r="29" spans="1:16" ht="14.25" customHeight="1" x14ac:dyDescent="0.25">
      <c r="A29" s="34" t="s">
        <v>37</v>
      </c>
      <c r="B29" s="34" t="s">
        <v>101</v>
      </c>
      <c r="C29" s="89">
        <v>7.36</v>
      </c>
      <c r="D29" s="76">
        <v>138842.17000000001</v>
      </c>
      <c r="E29" s="76">
        <v>116536.59</v>
      </c>
      <c r="F29" s="75">
        <f>D29</f>
        <v>138842.17000000001</v>
      </c>
      <c r="G29" s="76">
        <f t="shared" si="7"/>
        <v>22305.580000000016</v>
      </c>
    </row>
    <row r="30" spans="1:16" ht="14.25" customHeight="1" x14ac:dyDescent="0.25">
      <c r="A30" s="34" t="s">
        <v>39</v>
      </c>
      <c r="B30" s="34" t="s">
        <v>84</v>
      </c>
      <c r="C30" s="89">
        <v>88.38</v>
      </c>
      <c r="D30" s="76">
        <v>706945.79</v>
      </c>
      <c r="E30" s="76">
        <v>687171.6</v>
      </c>
      <c r="F30" s="75">
        <f t="shared" si="6"/>
        <v>706945.79</v>
      </c>
      <c r="G30" s="76">
        <f t="shared" si="7"/>
        <v>19774.190000000061</v>
      </c>
    </row>
    <row r="31" spans="1:16" ht="14.25" customHeight="1" x14ac:dyDescent="0.25">
      <c r="A31" s="34" t="s">
        <v>42</v>
      </c>
      <c r="B31" s="124" t="s">
        <v>135</v>
      </c>
      <c r="C31" s="128">
        <v>278.94</v>
      </c>
      <c r="D31" s="76">
        <v>950273.78</v>
      </c>
      <c r="E31" s="76">
        <v>926967.31</v>
      </c>
      <c r="F31" s="75">
        <f t="shared" si="6"/>
        <v>950273.78</v>
      </c>
      <c r="G31" s="76">
        <f t="shared" si="7"/>
        <v>23306.469999999972</v>
      </c>
    </row>
    <row r="32" spans="1:16" ht="14.25" customHeight="1" x14ac:dyDescent="0.25">
      <c r="A32" s="34" t="s">
        <v>41</v>
      </c>
      <c r="B32" s="34" t="s">
        <v>43</v>
      </c>
      <c r="C32" s="89">
        <v>3352.42</v>
      </c>
      <c r="D32" s="76">
        <v>2462736.4700000002</v>
      </c>
      <c r="E32" s="76">
        <v>2380958.2400000002</v>
      </c>
      <c r="F32" s="75">
        <v>38329.97</v>
      </c>
      <c r="G32" s="76">
        <f t="shared" si="7"/>
        <v>81778.229999999981</v>
      </c>
    </row>
    <row r="33" spans="1:10" ht="30.75" hidden="1" customHeight="1" outlineLevel="1" x14ac:dyDescent="0.25">
      <c r="A33" s="39" t="s">
        <v>112</v>
      </c>
      <c r="B33" s="300" t="s">
        <v>140</v>
      </c>
      <c r="C33" s="291"/>
      <c r="D33" s="82">
        <f>1000+1800</f>
        <v>2800</v>
      </c>
      <c r="E33" s="82">
        <v>1800</v>
      </c>
      <c r="F33" s="205"/>
      <c r="G33" s="69">
        <f t="shared" si="7"/>
        <v>1000</v>
      </c>
    </row>
    <row r="34" spans="1:10" ht="14.25" hidden="1" customHeight="1" outlineLevel="1" x14ac:dyDescent="0.25">
      <c r="A34" s="286"/>
      <c r="B34" s="287"/>
      <c r="C34" s="376" t="s">
        <v>246</v>
      </c>
      <c r="D34" s="377"/>
      <c r="E34" s="377"/>
      <c r="F34" s="377"/>
      <c r="G34" s="82">
        <f>E33-(E33*15%)</f>
        <v>1530</v>
      </c>
    </row>
    <row r="35" spans="1:10" s="92" customFormat="1" ht="15" customHeight="1" collapsed="1" thickBot="1" x14ac:dyDescent="0.3">
      <c r="A35" s="373"/>
      <c r="B35" s="374"/>
      <c r="C35" s="374"/>
      <c r="D35" s="375"/>
      <c r="E35" s="375"/>
      <c r="F35" s="375"/>
      <c r="G35" s="91"/>
      <c r="H35" s="91"/>
      <c r="I35" s="91"/>
    </row>
    <row r="36" spans="1:10" s="59" customFormat="1" ht="15.75" thickBot="1" x14ac:dyDescent="0.3">
      <c r="A36" s="387" t="s">
        <v>445</v>
      </c>
      <c r="B36" s="388"/>
      <c r="C36" s="388"/>
      <c r="D36" s="129">
        <v>435454.53</v>
      </c>
      <c r="E36" s="58"/>
      <c r="F36" s="58"/>
      <c r="G36" s="58"/>
      <c r="H36" s="54"/>
      <c r="I36" s="54"/>
    </row>
    <row r="37" spans="1:10" s="59" customFormat="1" ht="6" customHeight="1" thickBot="1" x14ac:dyDescent="0.3">
      <c r="A37" s="60"/>
      <c r="B37" s="60"/>
      <c r="C37" s="60"/>
      <c r="D37" s="38"/>
      <c r="E37" s="58"/>
      <c r="F37" s="58"/>
      <c r="G37" s="58"/>
      <c r="H37" s="54"/>
      <c r="I37" s="54"/>
    </row>
    <row r="38" spans="1:10" s="59" customFormat="1" ht="15.75" thickBot="1" x14ac:dyDescent="0.3">
      <c r="A38" s="55" t="s">
        <v>428</v>
      </c>
      <c r="B38" s="56"/>
      <c r="C38" s="56"/>
      <c r="D38" s="61"/>
      <c r="E38" s="62"/>
      <c r="F38" s="62"/>
      <c r="G38" s="232">
        <f>G13+E25-F25</f>
        <v>183843.04139999993</v>
      </c>
      <c r="H38" s="321" t="s">
        <v>422</v>
      </c>
      <c r="I38" s="321"/>
      <c r="J38" s="180">
        <f>-46365.98*2</f>
        <v>-92731.96</v>
      </c>
    </row>
    <row r="39" spans="1:10" s="59" customFormat="1" x14ac:dyDescent="0.25">
      <c r="A39" s="392" t="s">
        <v>90</v>
      </c>
      <c r="B39" s="392"/>
      <c r="C39" s="60"/>
      <c r="D39" s="38"/>
      <c r="E39" s="58"/>
      <c r="F39" s="58"/>
      <c r="G39" s="38"/>
      <c r="H39" s="54"/>
      <c r="I39" s="54"/>
    </row>
    <row r="40" spans="1:10" s="59" customFormat="1" x14ac:dyDescent="0.25">
      <c r="A40" s="444" t="s">
        <v>91</v>
      </c>
      <c r="B40" s="445"/>
      <c r="C40" s="305" t="s">
        <v>92</v>
      </c>
      <c r="D40" s="305" t="s">
        <v>93</v>
      </c>
      <c r="E40" s="138" t="s">
        <v>94</v>
      </c>
      <c r="F40" s="306" t="s">
        <v>95</v>
      </c>
      <c r="G40" s="138" t="s">
        <v>96</v>
      </c>
      <c r="H40" s="54"/>
      <c r="I40" s="54"/>
    </row>
    <row r="41" spans="1:10" s="59" customFormat="1" x14ac:dyDescent="0.25">
      <c r="A41" s="446"/>
      <c r="B41" s="447"/>
      <c r="C41" s="305">
        <v>857.1</v>
      </c>
      <c r="D41" s="138">
        <f>E41/C41/12</f>
        <v>0</v>
      </c>
      <c r="E41" s="358">
        <v>0</v>
      </c>
      <c r="F41" s="359">
        <v>0</v>
      </c>
      <c r="G41" s="138">
        <f>E41-F41</f>
        <v>0</v>
      </c>
      <c r="H41" s="54"/>
      <c r="I41" s="54"/>
    </row>
    <row r="42" spans="1:10" ht="31.5" customHeight="1" x14ac:dyDescent="0.25">
      <c r="A42" s="371" t="s">
        <v>44</v>
      </c>
      <c r="B42" s="422"/>
      <c r="C42" s="422"/>
      <c r="D42" s="422"/>
      <c r="E42" s="422"/>
      <c r="F42" s="422"/>
      <c r="G42" s="422"/>
      <c r="H42" s="50"/>
      <c r="I42" s="50"/>
    </row>
    <row r="43" spans="1:10" ht="9" customHeight="1" x14ac:dyDescent="0.25"/>
    <row r="44" spans="1:10" s="156" customFormat="1" ht="28.5" customHeight="1" x14ac:dyDescent="0.25">
      <c r="A44" s="94" t="s">
        <v>11</v>
      </c>
      <c r="B44" s="160" t="s">
        <v>45</v>
      </c>
      <c r="C44" s="161"/>
      <c r="D44" s="94" t="s">
        <v>99</v>
      </c>
      <c r="E44" s="94" t="s">
        <v>98</v>
      </c>
      <c r="F44" s="416" t="s">
        <v>46</v>
      </c>
      <c r="G44" s="424"/>
    </row>
    <row r="45" spans="1:10" s="103" customFormat="1" ht="15" customHeight="1" x14ac:dyDescent="0.25">
      <c r="A45" s="98">
        <v>1</v>
      </c>
      <c r="B45" s="418" t="s">
        <v>75</v>
      </c>
      <c r="C45" s="430"/>
      <c r="D45" s="98"/>
      <c r="E45" s="98"/>
      <c r="F45" s="436">
        <f>SUM(F46:G50)</f>
        <v>316797.79600000003</v>
      </c>
      <c r="G45" s="424"/>
    </row>
    <row r="46" spans="1:10" ht="24" customHeight="1" x14ac:dyDescent="0.25">
      <c r="A46" s="34" t="s">
        <v>16</v>
      </c>
      <c r="B46" s="406" t="s">
        <v>446</v>
      </c>
      <c r="C46" s="431"/>
      <c r="D46" s="105" t="s">
        <v>137</v>
      </c>
      <c r="E46" s="343">
        <v>2.5000000000000001E-2</v>
      </c>
      <c r="F46" s="435">
        <v>10479.73</v>
      </c>
      <c r="G46" s="435"/>
    </row>
    <row r="47" spans="1:10" ht="15.75" customHeight="1" x14ac:dyDescent="0.25">
      <c r="A47" s="34" t="s">
        <v>18</v>
      </c>
      <c r="B47" s="378" t="s">
        <v>447</v>
      </c>
      <c r="C47" s="405"/>
      <c r="D47" s="109" t="s">
        <v>137</v>
      </c>
      <c r="E47" s="343">
        <v>7.0000000000000007E-2</v>
      </c>
      <c r="F47" s="435">
        <v>21683.64</v>
      </c>
      <c r="G47" s="435"/>
    </row>
    <row r="48" spans="1:10" ht="21" customHeight="1" x14ac:dyDescent="0.25">
      <c r="A48" s="34" t="s">
        <v>20</v>
      </c>
      <c r="B48" s="378" t="s">
        <v>448</v>
      </c>
      <c r="C48" s="405"/>
      <c r="D48" s="109" t="s">
        <v>100</v>
      </c>
      <c r="E48" s="343">
        <v>7</v>
      </c>
      <c r="F48" s="435">
        <v>32941.15</v>
      </c>
      <c r="G48" s="435"/>
    </row>
    <row r="49" spans="1:7" ht="21" customHeight="1" x14ac:dyDescent="0.25">
      <c r="A49" s="34" t="s">
        <v>22</v>
      </c>
      <c r="B49" s="378" t="s">
        <v>449</v>
      </c>
      <c r="C49" s="405"/>
      <c r="D49" s="109" t="s">
        <v>103</v>
      </c>
      <c r="E49" s="343">
        <v>2.1</v>
      </c>
      <c r="F49" s="435">
        <v>250367.87</v>
      </c>
      <c r="G49" s="435"/>
    </row>
    <row r="50" spans="1:7" ht="15.75" customHeight="1" x14ac:dyDescent="0.25">
      <c r="A50" s="34" t="s">
        <v>24</v>
      </c>
      <c r="B50" s="133" t="s">
        <v>108</v>
      </c>
      <c r="C50" s="134"/>
      <c r="D50" s="105"/>
      <c r="E50" s="105"/>
      <c r="F50" s="435">
        <f>E25*1%</f>
        <v>1325.4060000000002</v>
      </c>
      <c r="G50" s="435"/>
    </row>
    <row r="51" spans="1:7" ht="15.75" customHeight="1" x14ac:dyDescent="0.25">
      <c r="A51" s="153"/>
      <c r="B51" s="163"/>
      <c r="C51" s="163"/>
      <c r="D51" s="163"/>
      <c r="E51" s="163"/>
      <c r="F51" s="164"/>
      <c r="G51" s="164"/>
    </row>
    <row r="52" spans="1:7" ht="9" customHeight="1" x14ac:dyDescent="0.25">
      <c r="B52" s="139"/>
      <c r="C52" s="139"/>
      <c r="D52" s="139"/>
      <c r="E52" s="139"/>
    </row>
    <row r="53" spans="1:7" s="59" customFormat="1" x14ac:dyDescent="0.25">
      <c r="A53" s="51" t="s">
        <v>372</v>
      </c>
      <c r="C53" s="59" t="s">
        <v>49</v>
      </c>
      <c r="E53" s="59" t="s">
        <v>60</v>
      </c>
    </row>
    <row r="54" spans="1:7" s="59" customFormat="1" ht="7.5" customHeight="1" x14ac:dyDescent="0.25"/>
    <row r="55" spans="1:7" s="59" customFormat="1" ht="13.5" customHeight="1" x14ac:dyDescent="0.25">
      <c r="F55" s="111" t="s">
        <v>438</v>
      </c>
    </row>
    <row r="56" spans="1:7" s="59" customFormat="1" ht="7.5" customHeight="1" x14ac:dyDescent="0.25"/>
    <row r="57" spans="1:7" s="59" customFormat="1" x14ac:dyDescent="0.25">
      <c r="A57" s="59" t="s">
        <v>50</v>
      </c>
    </row>
    <row r="58" spans="1:7" s="59" customFormat="1" x14ac:dyDescent="0.25">
      <c r="C58" s="113" t="s">
        <v>51</v>
      </c>
      <c r="E58" s="113"/>
      <c r="F58" s="113"/>
      <c r="G58" s="113"/>
    </row>
    <row r="59" spans="1:7" s="59" customFormat="1" x14ac:dyDescent="0.25"/>
    <row r="60" spans="1:7" s="59" customFormat="1" x14ac:dyDescent="0.25"/>
  </sheetData>
  <mergeCells count="25">
    <mergeCell ref="A11:I11"/>
    <mergeCell ref="F44:G44"/>
    <mergeCell ref="A36:C36"/>
    <mergeCell ref="B45:C45"/>
    <mergeCell ref="A42:G42"/>
    <mergeCell ref="F48:G48"/>
    <mergeCell ref="A35:F35"/>
    <mergeCell ref="B48:C48"/>
    <mergeCell ref="A40:B41"/>
    <mergeCell ref="A39:B39"/>
    <mergeCell ref="F47:G47"/>
    <mergeCell ref="C34:F34"/>
    <mergeCell ref="F50:G50"/>
    <mergeCell ref="F46:G46"/>
    <mergeCell ref="F45:G45"/>
    <mergeCell ref="B46:C46"/>
    <mergeCell ref="B47:C47"/>
    <mergeCell ref="B49:C49"/>
    <mergeCell ref="F49:G49"/>
    <mergeCell ref="A10:I10"/>
    <mergeCell ref="A1:I1"/>
    <mergeCell ref="A4:I4"/>
    <mergeCell ref="A9:I9"/>
    <mergeCell ref="A2:K2"/>
    <mergeCell ref="A3:K3"/>
  </mergeCells>
  <phoneticPr fontId="14" type="noConversion"/>
  <pageMargins left="0.78740157480314965" right="0" top="0.59055118110236227" bottom="0.59055118110236227" header="0.31496062992125984" footer="0.31496062992125984"/>
  <pageSetup paperSize="9" orientation="landscape" verticalDpi="200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92E98-0854-4DDA-954D-55ABE539C67E}">
  <sheetPr>
    <tabColor rgb="FF7030A0"/>
  </sheetPr>
  <dimension ref="A1:P50"/>
  <sheetViews>
    <sheetView topLeftCell="A30" workbookViewId="0">
      <selection activeCell="A53" sqref="A53:IV54"/>
    </sheetView>
  </sheetViews>
  <sheetFormatPr defaultRowHeight="12.75" outlineLevelRow="1" outlineLevelCol="1" x14ac:dyDescent="0.2"/>
  <cols>
    <col min="1" max="1" width="5.85546875" style="49" customWidth="1"/>
    <col min="2" max="2" width="48.28515625" style="49" customWidth="1"/>
    <col min="3" max="4" width="14.85546875" style="49" customWidth="1"/>
    <col min="5" max="5" width="13.7109375" style="49" customWidth="1"/>
    <col min="6" max="6" width="14.7109375" style="49" customWidth="1"/>
    <col min="7" max="7" width="14.5703125" style="49" customWidth="1"/>
    <col min="8" max="9" width="11.5703125" style="49" hidden="1" customWidth="1" outlineLevel="1"/>
    <col min="10" max="10" width="10.140625" style="49" hidden="1" customWidth="1" outlineLevel="1"/>
    <col min="11" max="11" width="10.42578125" style="49" hidden="1" customWidth="1" outlineLevel="1"/>
    <col min="12" max="13" width="9.140625" style="49" hidden="1" customWidth="1" outlineLevel="1"/>
    <col min="14" max="14" width="9.140625" style="49" collapsed="1"/>
    <col min="15" max="15" width="10" style="49" bestFit="1" customWidth="1"/>
    <col min="16" max="16" width="15.85546875" style="49" customWidth="1"/>
    <col min="17" max="16384" width="9.140625" style="49"/>
  </cols>
  <sheetData>
    <row r="1" spans="1:16" x14ac:dyDescent="0.2">
      <c r="A1" s="370" t="s">
        <v>0</v>
      </c>
      <c r="B1" s="370"/>
      <c r="C1" s="370"/>
      <c r="D1" s="370"/>
      <c r="E1" s="370"/>
      <c r="F1" s="370"/>
      <c r="G1" s="370"/>
      <c r="H1" s="370"/>
      <c r="I1" s="370"/>
      <c r="J1" s="370"/>
      <c r="K1" s="370"/>
    </row>
    <row r="2" spans="1:16" ht="12.75" customHeight="1" x14ac:dyDescent="0.2">
      <c r="A2" s="370" t="s">
        <v>279</v>
      </c>
      <c r="B2" s="370"/>
      <c r="C2" s="370"/>
      <c r="D2" s="370"/>
      <c r="E2" s="370"/>
      <c r="F2" s="370"/>
      <c r="G2" s="370"/>
      <c r="H2" s="370"/>
      <c r="I2" s="370"/>
      <c r="J2" s="370"/>
      <c r="K2" s="370"/>
    </row>
    <row r="3" spans="1:16" ht="13.5" customHeight="1" x14ac:dyDescent="0.2">
      <c r="A3" s="370" t="s">
        <v>426</v>
      </c>
      <c r="B3" s="370"/>
      <c r="C3" s="370"/>
      <c r="D3" s="370"/>
      <c r="E3" s="370"/>
      <c r="F3" s="370"/>
      <c r="G3" s="370"/>
      <c r="H3" s="370"/>
      <c r="I3" s="370"/>
      <c r="J3" s="370"/>
      <c r="K3" s="370"/>
      <c r="L3" s="213"/>
    </row>
    <row r="4" spans="1:16" ht="9" customHeight="1" x14ac:dyDescent="0.2">
      <c r="A4" s="48"/>
      <c r="B4" s="48"/>
      <c r="C4" s="48"/>
      <c r="D4" s="48"/>
      <c r="E4" s="48"/>
      <c r="F4" s="48"/>
      <c r="G4" s="48"/>
      <c r="H4" s="48"/>
      <c r="I4" s="48"/>
      <c r="J4" s="48"/>
      <c r="K4" s="48"/>
    </row>
    <row r="5" spans="1:16" ht="16.5" customHeight="1" x14ac:dyDescent="0.2">
      <c r="A5" s="371" t="s">
        <v>1</v>
      </c>
      <c r="B5" s="370"/>
      <c r="C5" s="370"/>
      <c r="D5" s="370"/>
      <c r="E5" s="370"/>
      <c r="F5" s="370"/>
      <c r="G5" s="370"/>
      <c r="H5" s="370"/>
      <c r="I5" s="370"/>
      <c r="J5" s="370"/>
      <c r="K5" s="370"/>
    </row>
    <row r="7" spans="1:16" s="51" customFormat="1" ht="16.5" customHeight="1" x14ac:dyDescent="0.2">
      <c r="A7" s="51" t="s">
        <v>2</v>
      </c>
      <c r="F7" s="52" t="s">
        <v>296</v>
      </c>
      <c r="H7" s="52"/>
      <c r="L7" s="214"/>
      <c r="M7" s="214"/>
    </row>
    <row r="8" spans="1:16" s="51" customFormat="1" x14ac:dyDescent="0.2">
      <c r="A8" s="51" t="s">
        <v>3</v>
      </c>
      <c r="F8" s="242" t="s">
        <v>297</v>
      </c>
      <c r="H8" s="52"/>
      <c r="J8" s="53">
        <v>0</v>
      </c>
      <c r="K8" s="51">
        <v>8417.2999999999993</v>
      </c>
      <c r="L8" s="276">
        <f>J8+K8</f>
        <v>8417.2999999999993</v>
      </c>
    </row>
    <row r="9" spans="1:16" s="51" customFormat="1" x14ac:dyDescent="0.2">
      <c r="A9" s="372" t="s">
        <v>8</v>
      </c>
      <c r="B9" s="372"/>
      <c r="C9" s="372"/>
      <c r="D9" s="372"/>
      <c r="E9" s="372"/>
      <c r="F9" s="372"/>
      <c r="G9" s="372"/>
      <c r="H9" s="372"/>
      <c r="I9" s="372"/>
      <c r="J9" s="372"/>
      <c r="K9" s="372"/>
    </row>
    <row r="10" spans="1:16" s="51" customFormat="1" x14ac:dyDescent="0.2">
      <c r="A10" s="372" t="s">
        <v>9</v>
      </c>
      <c r="B10" s="372"/>
      <c r="C10" s="372"/>
      <c r="D10" s="372"/>
      <c r="E10" s="372"/>
      <c r="F10" s="372"/>
      <c r="G10" s="372"/>
      <c r="H10" s="372"/>
      <c r="I10" s="372"/>
      <c r="J10" s="372"/>
      <c r="K10" s="372"/>
    </row>
    <row r="11" spans="1:16" s="51" customFormat="1" x14ac:dyDescent="0.2">
      <c r="A11" s="372" t="s">
        <v>10</v>
      </c>
      <c r="B11" s="372"/>
      <c r="C11" s="372"/>
      <c r="D11" s="372"/>
      <c r="E11" s="372"/>
      <c r="F11" s="372"/>
      <c r="G11" s="372"/>
      <c r="H11" s="372"/>
      <c r="I11" s="372"/>
      <c r="J11" s="372"/>
      <c r="K11" s="372"/>
    </row>
    <row r="12" spans="1:16" s="59" customFormat="1" ht="6" customHeight="1" thickBot="1" x14ac:dyDescent="0.3">
      <c r="A12" s="60"/>
      <c r="B12" s="60"/>
      <c r="C12" s="60"/>
      <c r="D12" s="38"/>
      <c r="E12" s="58"/>
      <c r="F12" s="58"/>
      <c r="G12" s="58"/>
      <c r="H12" s="54"/>
      <c r="I12" s="54"/>
    </row>
    <row r="13" spans="1:16" s="59" customFormat="1" ht="15.75" thickBot="1" x14ac:dyDescent="0.3">
      <c r="A13" s="55" t="s">
        <v>381</v>
      </c>
      <c r="B13" s="56"/>
      <c r="C13" s="56"/>
      <c r="D13" s="61"/>
      <c r="E13" s="62"/>
      <c r="F13" s="62"/>
      <c r="G13" s="57">
        <f>'[1]Труда 30'!$G$35</f>
        <v>-97697.199199999974</v>
      </c>
      <c r="H13" s="54"/>
      <c r="I13" s="54"/>
    </row>
    <row r="14" spans="1:16" s="51" customFormat="1" ht="6.75" customHeight="1" x14ac:dyDescent="0.2"/>
    <row r="15" spans="1:16" s="66" customFormat="1" ht="38.25" x14ac:dyDescent="0.25">
      <c r="A15" s="64" t="s">
        <v>11</v>
      </c>
      <c r="B15" s="64" t="s">
        <v>12</v>
      </c>
      <c r="C15" s="64" t="s">
        <v>61</v>
      </c>
      <c r="D15" s="64" t="s">
        <v>432</v>
      </c>
      <c r="E15" s="64" t="s">
        <v>433</v>
      </c>
      <c r="F15" s="65" t="s">
        <v>434</v>
      </c>
      <c r="G15" s="64" t="s">
        <v>435</v>
      </c>
    </row>
    <row r="16" spans="1:16" s="51" customFormat="1" ht="14.25" x14ac:dyDescent="0.2">
      <c r="A16" s="67" t="s">
        <v>14</v>
      </c>
      <c r="B16" s="39" t="s">
        <v>379</v>
      </c>
      <c r="C16" s="120">
        <v>20.32</v>
      </c>
      <c r="D16" s="68">
        <v>2052422.37</v>
      </c>
      <c r="E16" s="68">
        <v>2028770.44</v>
      </c>
      <c r="F16" s="68">
        <f t="shared" ref="F16:F22" si="0">D16</f>
        <v>2052422.37</v>
      </c>
      <c r="G16" s="69">
        <f>D16-E16</f>
        <v>23651.930000000168</v>
      </c>
      <c r="H16" s="70">
        <f>C16</f>
        <v>20.32</v>
      </c>
      <c r="I16" s="71"/>
      <c r="J16" s="71"/>
      <c r="K16" s="71"/>
      <c r="O16" s="70"/>
      <c r="P16" s="72"/>
    </row>
    <row r="17" spans="1:11" s="51" customFormat="1" ht="15" hidden="1" outlineLevel="1" x14ac:dyDescent="0.25">
      <c r="A17" s="73" t="s">
        <v>16</v>
      </c>
      <c r="B17" s="34" t="s">
        <v>17</v>
      </c>
      <c r="C17" s="89">
        <v>3.46</v>
      </c>
      <c r="D17" s="75">
        <f>D16*I17</f>
        <v>349477.43111220474</v>
      </c>
      <c r="E17" s="75">
        <f>E16*I17</f>
        <v>345450.08476377954</v>
      </c>
      <c r="F17" s="75">
        <f t="shared" si="0"/>
        <v>349477.43111220474</v>
      </c>
      <c r="G17" s="76">
        <f>D17-E17</f>
        <v>4027.3463484251988</v>
      </c>
      <c r="H17" s="70">
        <f>C17</f>
        <v>3.46</v>
      </c>
      <c r="I17" s="51">
        <f>H17/H16</f>
        <v>0.17027559055118111</v>
      </c>
    </row>
    <row r="18" spans="1:11" s="51" customFormat="1" ht="15" hidden="1" outlineLevel="1" x14ac:dyDescent="0.25">
      <c r="A18" s="73" t="s">
        <v>18</v>
      </c>
      <c r="B18" s="34" t="s">
        <v>19</v>
      </c>
      <c r="C18" s="89">
        <v>1.69</v>
      </c>
      <c r="D18" s="75">
        <f>D16*I18</f>
        <v>170698.51404035432</v>
      </c>
      <c r="E18" s="75">
        <f>E16*I18</f>
        <v>168731.39978346456</v>
      </c>
      <c r="F18" s="75">
        <f t="shared" si="0"/>
        <v>170698.51404035432</v>
      </c>
      <c r="G18" s="76">
        <f>D18-E18</f>
        <v>1967.1142568897631</v>
      </c>
      <c r="H18" s="70">
        <f>C18</f>
        <v>1.69</v>
      </c>
      <c r="I18" s="51">
        <f>H18/H16</f>
        <v>8.3169291338582668E-2</v>
      </c>
    </row>
    <row r="19" spans="1:11" s="51" customFormat="1" ht="15" hidden="1" outlineLevel="1" x14ac:dyDescent="0.25">
      <c r="A19" s="73" t="s">
        <v>20</v>
      </c>
      <c r="B19" s="34" t="s">
        <v>21</v>
      </c>
      <c r="C19" s="89">
        <v>2.15</v>
      </c>
      <c r="D19" s="75">
        <f>D16*I19</f>
        <v>217160.83147145668</v>
      </c>
      <c r="E19" s="75">
        <f>E16*I19</f>
        <v>214658.2896653543</v>
      </c>
      <c r="F19" s="75">
        <f t="shared" si="0"/>
        <v>217160.83147145668</v>
      </c>
      <c r="G19" s="76">
        <f>D19-E19</f>
        <v>2502.5418061023811</v>
      </c>
      <c r="H19" s="70">
        <f>C19</f>
        <v>2.15</v>
      </c>
      <c r="I19" s="51">
        <f>H19/H16</f>
        <v>0.10580708661417322</v>
      </c>
    </row>
    <row r="20" spans="1:11" s="51" customFormat="1" ht="15" hidden="1" outlineLevel="1" x14ac:dyDescent="0.25">
      <c r="A20" s="73" t="s">
        <v>22</v>
      </c>
      <c r="B20" s="34" t="s">
        <v>23</v>
      </c>
      <c r="C20" s="89">
        <v>3.04</v>
      </c>
      <c r="D20" s="75">
        <f>D16*I20</f>
        <v>307055.31519685045</v>
      </c>
      <c r="E20" s="75">
        <f>E16*I20</f>
        <v>303516.83748031495</v>
      </c>
      <c r="F20" s="75">
        <f t="shared" si="0"/>
        <v>307055.31519685045</v>
      </c>
      <c r="G20" s="76">
        <f>D20-E20</f>
        <v>3538.4777165355044</v>
      </c>
      <c r="H20" s="70">
        <f>C20</f>
        <v>3.04</v>
      </c>
      <c r="I20" s="51">
        <f>H20/H16</f>
        <v>0.14960629921259844</v>
      </c>
    </row>
    <row r="21" spans="1:11" s="81" customFormat="1" ht="14.25" collapsed="1" x14ac:dyDescent="0.2">
      <c r="A21" s="78" t="s">
        <v>25</v>
      </c>
      <c r="B21" s="78" t="s">
        <v>145</v>
      </c>
      <c r="C21" s="46">
        <v>110</v>
      </c>
      <c r="D21" s="79">
        <v>0</v>
      </c>
      <c r="E21" s="79">
        <v>2159.8000000000002</v>
      </c>
      <c r="F21" s="79">
        <f t="shared" si="0"/>
        <v>0</v>
      </c>
      <c r="G21" s="69">
        <f t="shared" ref="G21:G31" si="1">D21-E21</f>
        <v>-2159.8000000000002</v>
      </c>
      <c r="H21" s="80"/>
      <c r="I21" s="80"/>
      <c r="J21" s="80"/>
      <c r="K21" s="80"/>
    </row>
    <row r="22" spans="1:11" s="81" customFormat="1" ht="14.25" x14ac:dyDescent="0.2">
      <c r="A22" s="78" t="s">
        <v>27</v>
      </c>
      <c r="B22" s="78" t="s">
        <v>26</v>
      </c>
      <c r="C22" s="87">
        <v>4.3600000000000003</v>
      </c>
      <c r="D22" s="79">
        <v>440381.71</v>
      </c>
      <c r="E22" s="79">
        <v>437802.75</v>
      </c>
      <c r="F22" s="79">
        <f t="shared" si="0"/>
        <v>440381.71</v>
      </c>
      <c r="G22" s="69">
        <f t="shared" si="1"/>
        <v>2578.960000000021</v>
      </c>
      <c r="H22" s="80"/>
      <c r="I22" s="80"/>
      <c r="J22" s="80"/>
      <c r="K22" s="80"/>
    </row>
    <row r="23" spans="1:11" s="81" customFormat="1" ht="14.25" x14ac:dyDescent="0.2">
      <c r="A23" s="78" t="s">
        <v>29</v>
      </c>
      <c r="B23" s="78" t="s">
        <v>30</v>
      </c>
      <c r="C23" s="126">
        <v>0</v>
      </c>
      <c r="D23" s="79">
        <v>0</v>
      </c>
      <c r="E23" s="79">
        <v>11.64</v>
      </c>
      <c r="F23" s="79">
        <v>0</v>
      </c>
      <c r="G23" s="69">
        <f t="shared" si="1"/>
        <v>-11.64</v>
      </c>
      <c r="H23" s="80"/>
      <c r="I23" s="80"/>
      <c r="J23" s="80"/>
      <c r="K23" s="80"/>
    </row>
    <row r="24" spans="1:11" s="81" customFormat="1" ht="14.25" x14ac:dyDescent="0.2">
      <c r="A24" s="78" t="s">
        <v>31</v>
      </c>
      <c r="B24" s="78" t="s">
        <v>80</v>
      </c>
      <c r="C24" s="79">
        <v>2.0099999999999998</v>
      </c>
      <c r="D24" s="79">
        <v>203020.98</v>
      </c>
      <c r="E24" s="79">
        <v>202387.14</v>
      </c>
      <c r="F24" s="79">
        <f>F40</f>
        <v>95506.8514</v>
      </c>
      <c r="G24" s="69">
        <f t="shared" si="1"/>
        <v>633.83999999999651</v>
      </c>
      <c r="H24" s="80"/>
      <c r="I24" s="80"/>
      <c r="J24" s="80"/>
      <c r="K24" s="80"/>
    </row>
    <row r="25" spans="1:11" ht="14.25" x14ac:dyDescent="0.2">
      <c r="A25" s="39" t="s">
        <v>33</v>
      </c>
      <c r="B25" s="39" t="s">
        <v>97</v>
      </c>
      <c r="C25" s="82"/>
      <c r="D25" s="69">
        <v>0</v>
      </c>
      <c r="E25" s="69">
        <v>0</v>
      </c>
      <c r="F25" s="79">
        <v>0</v>
      </c>
      <c r="G25" s="69">
        <f t="shared" si="1"/>
        <v>0</v>
      </c>
      <c r="H25" s="88"/>
      <c r="I25" s="88"/>
      <c r="J25" s="88"/>
      <c r="K25" s="88"/>
    </row>
    <row r="26" spans="1:11" ht="14.25" x14ac:dyDescent="0.2">
      <c r="A26" s="39" t="s">
        <v>35</v>
      </c>
      <c r="B26" s="39" t="s">
        <v>36</v>
      </c>
      <c r="C26" s="69"/>
      <c r="D26" s="69">
        <f>SUM(D27:D30)</f>
        <v>5877783.8200000003</v>
      </c>
      <c r="E26" s="69">
        <f>SUM(E27:E30)</f>
        <v>5826917.75</v>
      </c>
      <c r="F26" s="69">
        <f>SUM(F27:F30)</f>
        <v>5877783.8200000003</v>
      </c>
      <c r="G26" s="69">
        <f t="shared" si="1"/>
        <v>50866.070000000298</v>
      </c>
      <c r="H26" s="88"/>
      <c r="I26" s="88"/>
      <c r="J26" s="88"/>
      <c r="K26" s="88"/>
    </row>
    <row r="27" spans="1:11" ht="15" x14ac:dyDescent="0.25">
      <c r="A27" s="34" t="s">
        <v>37</v>
      </c>
      <c r="B27" s="34" t="s">
        <v>101</v>
      </c>
      <c r="C27" s="89">
        <v>7.36</v>
      </c>
      <c r="D27" s="76">
        <v>87148.76</v>
      </c>
      <c r="E27" s="76">
        <v>87158.68</v>
      </c>
      <c r="F27" s="76">
        <f>D27</f>
        <v>87148.76</v>
      </c>
      <c r="G27" s="76">
        <f t="shared" si="1"/>
        <v>-9.9199999999982538</v>
      </c>
    </row>
    <row r="28" spans="1:11" ht="15" x14ac:dyDescent="0.25">
      <c r="A28" s="34" t="s">
        <v>39</v>
      </c>
      <c r="B28" s="34" t="s">
        <v>84</v>
      </c>
      <c r="C28" s="89">
        <v>88.38</v>
      </c>
      <c r="D28" s="76">
        <v>949751.8</v>
      </c>
      <c r="E28" s="76">
        <v>955921.47</v>
      </c>
      <c r="F28" s="76">
        <f>D28</f>
        <v>949751.8</v>
      </c>
      <c r="G28" s="76">
        <f t="shared" si="1"/>
        <v>-6169.6699999999255</v>
      </c>
    </row>
    <row r="29" spans="1:11" ht="15" x14ac:dyDescent="0.25">
      <c r="A29" s="34" t="s">
        <v>42</v>
      </c>
      <c r="B29" s="34" t="s">
        <v>135</v>
      </c>
      <c r="C29" s="128">
        <v>278.94</v>
      </c>
      <c r="D29" s="76">
        <v>1335123.56</v>
      </c>
      <c r="E29" s="76">
        <v>1312504.49</v>
      </c>
      <c r="F29" s="76">
        <f>D29</f>
        <v>1335123.56</v>
      </c>
      <c r="G29" s="76">
        <f t="shared" si="1"/>
        <v>22619.070000000065</v>
      </c>
    </row>
    <row r="30" spans="1:11" ht="15" x14ac:dyDescent="0.25">
      <c r="A30" s="34" t="s">
        <v>41</v>
      </c>
      <c r="B30" s="34" t="s">
        <v>43</v>
      </c>
      <c r="C30" s="89">
        <v>3352.42</v>
      </c>
      <c r="D30" s="76">
        <v>3505759.7</v>
      </c>
      <c r="E30" s="76">
        <v>3471333.11</v>
      </c>
      <c r="F30" s="76">
        <f>D30</f>
        <v>3505759.7</v>
      </c>
      <c r="G30" s="76">
        <f t="shared" si="1"/>
        <v>34426.590000000317</v>
      </c>
    </row>
    <row r="31" spans="1:11" ht="14.25" hidden="1" outlineLevel="1" x14ac:dyDescent="0.2">
      <c r="A31" s="39" t="s">
        <v>112</v>
      </c>
      <c r="B31" s="300" t="s">
        <v>140</v>
      </c>
      <c r="C31" s="298"/>
      <c r="D31" s="248">
        <v>1800</v>
      </c>
      <c r="E31" s="248">
        <v>1800</v>
      </c>
      <c r="F31" s="248">
        <v>0</v>
      </c>
      <c r="G31" s="248">
        <f t="shared" si="1"/>
        <v>0</v>
      </c>
    </row>
    <row r="32" spans="1:11" ht="15" hidden="1" outlineLevel="1" x14ac:dyDescent="0.25">
      <c r="A32" s="153"/>
      <c r="B32" s="301"/>
      <c r="C32" s="376" t="s">
        <v>246</v>
      </c>
      <c r="D32" s="377"/>
      <c r="E32" s="377"/>
      <c r="F32" s="377"/>
      <c r="G32" s="82">
        <f>E31-(E31*15%)</f>
        <v>1530</v>
      </c>
    </row>
    <row r="33" spans="1:14" s="92" customFormat="1" ht="19.5" customHeight="1" collapsed="1" thickBot="1" x14ac:dyDescent="0.3">
      <c r="A33" s="373"/>
      <c r="B33" s="374"/>
      <c r="C33" s="374"/>
      <c r="D33" s="375"/>
      <c r="E33" s="375"/>
      <c r="F33" s="375"/>
      <c r="G33" s="91"/>
      <c r="H33" s="91"/>
      <c r="I33" s="91"/>
    </row>
    <row r="34" spans="1:14" s="59" customFormat="1" ht="15.75" thickBot="1" x14ac:dyDescent="0.3">
      <c r="A34" s="387" t="s">
        <v>427</v>
      </c>
      <c r="B34" s="388"/>
      <c r="C34" s="388"/>
      <c r="D34" s="57">
        <v>75559.360000000001</v>
      </c>
      <c r="E34" s="58"/>
      <c r="F34" s="58"/>
      <c r="G34" s="58"/>
      <c r="H34" s="54"/>
      <c r="I34" s="54"/>
    </row>
    <row r="35" spans="1:14" s="59" customFormat="1" ht="15.75" thickBot="1" x14ac:dyDescent="0.3">
      <c r="A35" s="55" t="s">
        <v>428</v>
      </c>
      <c r="B35" s="56"/>
      <c r="C35" s="56"/>
      <c r="D35" s="61"/>
      <c r="E35" s="62"/>
      <c r="F35" s="62"/>
      <c r="G35" s="129">
        <f>G13+E24-F24</f>
        <v>9183.0894000000408</v>
      </c>
      <c r="H35" s="54"/>
      <c r="I35" s="54"/>
    </row>
    <row r="36" spans="1:14" s="59" customFormat="1" ht="15" x14ac:dyDescent="0.25">
      <c r="A36" s="93"/>
      <c r="B36" s="93"/>
      <c r="C36" s="93"/>
      <c r="D36" s="93"/>
      <c r="E36" s="91"/>
      <c r="F36" s="91"/>
      <c r="G36" s="91"/>
      <c r="H36" s="91"/>
      <c r="I36" s="91"/>
      <c r="J36" s="91"/>
      <c r="K36" s="91"/>
    </row>
    <row r="37" spans="1:14" s="92" customFormat="1" ht="25.5" customHeight="1" x14ac:dyDescent="0.25">
      <c r="A37" s="551" t="s">
        <v>44</v>
      </c>
      <c r="B37" s="551"/>
      <c r="C37" s="551"/>
      <c r="D37" s="551"/>
      <c r="E37" s="551"/>
      <c r="F37" s="551"/>
      <c r="G37" s="551"/>
      <c r="H37" s="551"/>
      <c r="I37" s="551"/>
      <c r="J37" s="551"/>
      <c r="K37" s="551"/>
      <c r="L37" s="91"/>
      <c r="M37" s="91"/>
    </row>
    <row r="39" spans="1:14" ht="28.5" x14ac:dyDescent="0.2">
      <c r="A39" s="94" t="s">
        <v>11</v>
      </c>
      <c r="B39" s="416" t="s">
        <v>45</v>
      </c>
      <c r="C39" s="425"/>
      <c r="D39" s="94" t="s">
        <v>99</v>
      </c>
      <c r="E39" s="94" t="s">
        <v>98</v>
      </c>
      <c r="F39" s="416" t="s">
        <v>46</v>
      </c>
      <c r="G39" s="425"/>
      <c r="H39" s="95"/>
      <c r="I39" s="96"/>
      <c r="J39" s="66"/>
      <c r="K39" s="66"/>
    </row>
    <row r="40" spans="1:14" s="66" customFormat="1" ht="15" x14ac:dyDescent="0.25">
      <c r="A40" s="98" t="s">
        <v>47</v>
      </c>
      <c r="B40" s="418" t="s">
        <v>75</v>
      </c>
      <c r="C40" s="430"/>
      <c r="D40" s="99"/>
      <c r="E40" s="99"/>
      <c r="F40" s="436">
        <f>SUM(F41:G45)</f>
        <v>95506.8514</v>
      </c>
      <c r="G40" s="424"/>
      <c r="H40" s="101"/>
      <c r="I40" s="102"/>
      <c r="J40" s="103"/>
      <c r="K40" s="103"/>
      <c r="N40" s="97"/>
    </row>
    <row r="41" spans="1:14" s="51" customFormat="1" ht="15" x14ac:dyDescent="0.25">
      <c r="A41" s="34" t="s">
        <v>16</v>
      </c>
      <c r="B41" s="406" t="s">
        <v>551</v>
      </c>
      <c r="C41" s="407"/>
      <c r="D41" s="176" t="s">
        <v>137</v>
      </c>
      <c r="E41" s="176">
        <v>0.03</v>
      </c>
      <c r="F41" s="435">
        <v>5963.04</v>
      </c>
      <c r="G41" s="435"/>
    </row>
    <row r="42" spans="1:14" s="51" customFormat="1" ht="15" x14ac:dyDescent="0.25">
      <c r="A42" s="34" t="s">
        <v>18</v>
      </c>
      <c r="B42" s="406" t="s">
        <v>552</v>
      </c>
      <c r="C42" s="431"/>
      <c r="D42" s="105" t="s">
        <v>102</v>
      </c>
      <c r="E42" s="107">
        <v>0.35199999999999998</v>
      </c>
      <c r="F42" s="466">
        <v>75595.81</v>
      </c>
      <c r="G42" s="467"/>
    </row>
    <row r="43" spans="1:14" s="51" customFormat="1" ht="15" x14ac:dyDescent="0.25">
      <c r="A43" s="34" t="s">
        <v>20</v>
      </c>
      <c r="B43" s="458" t="s">
        <v>553</v>
      </c>
      <c r="C43" s="459"/>
      <c r="D43" s="105" t="s">
        <v>137</v>
      </c>
      <c r="E43" s="105">
        <v>0.15</v>
      </c>
      <c r="F43" s="466">
        <v>11924.13</v>
      </c>
      <c r="G43" s="467"/>
    </row>
    <row r="44" spans="1:14" s="51" customFormat="1" ht="15" x14ac:dyDescent="0.25">
      <c r="A44" s="34" t="s">
        <v>22</v>
      </c>
      <c r="B44" s="433"/>
      <c r="C44" s="434"/>
      <c r="D44" s="258"/>
      <c r="E44" s="258"/>
      <c r="F44" s="468"/>
      <c r="G44" s="469"/>
    </row>
    <row r="45" spans="1:14" s="59" customFormat="1" ht="15" x14ac:dyDescent="0.25">
      <c r="A45" s="34" t="s">
        <v>24</v>
      </c>
      <c r="B45" s="458" t="s">
        <v>108</v>
      </c>
      <c r="C45" s="459"/>
      <c r="D45" s="108"/>
      <c r="E45" s="108"/>
      <c r="F45" s="435">
        <f>E24*1%</f>
        <v>2023.8714000000002</v>
      </c>
      <c r="G45" s="435"/>
    </row>
    <row r="46" spans="1:14" s="51" customFormat="1" x14ac:dyDescent="0.2"/>
    <row r="47" spans="1:14" s="51" customFormat="1" ht="15" x14ac:dyDescent="0.25">
      <c r="A47" s="51" t="s">
        <v>372</v>
      </c>
      <c r="B47" s="59"/>
      <c r="C47" s="110" t="s">
        <v>49</v>
      </c>
      <c r="D47" s="59"/>
      <c r="E47" s="59"/>
      <c r="F47" s="59" t="s">
        <v>60</v>
      </c>
      <c r="G47" s="59"/>
      <c r="H47" s="141"/>
      <c r="I47" s="141"/>
      <c r="J47" s="141"/>
    </row>
    <row r="48" spans="1:14" s="51" customFormat="1" ht="15" x14ac:dyDescent="0.25">
      <c r="A48" s="59"/>
      <c r="B48" s="59"/>
      <c r="C48" s="110"/>
      <c r="D48" s="59"/>
      <c r="E48" s="59"/>
      <c r="F48" s="111" t="s">
        <v>438</v>
      </c>
      <c r="G48" s="59"/>
    </row>
    <row r="49" spans="1:7" s="51" customFormat="1" ht="15" x14ac:dyDescent="0.25">
      <c r="A49" s="59" t="s">
        <v>50</v>
      </c>
      <c r="B49" s="59"/>
      <c r="C49" s="110"/>
      <c r="D49" s="59"/>
      <c r="E49" s="59"/>
      <c r="F49" s="59"/>
      <c r="G49" s="59"/>
    </row>
    <row r="50" spans="1:7" ht="15" x14ac:dyDescent="0.25">
      <c r="A50" s="59"/>
      <c r="B50" s="59"/>
      <c r="C50" s="112" t="s">
        <v>51</v>
      </c>
      <c r="D50" s="59"/>
      <c r="E50" s="113"/>
      <c r="F50" s="113"/>
      <c r="G50" s="113"/>
    </row>
  </sheetData>
  <mergeCells count="25">
    <mergeCell ref="C32:F32"/>
    <mergeCell ref="A10:K10"/>
    <mergeCell ref="A1:K1"/>
    <mergeCell ref="A2:K2"/>
    <mergeCell ref="A3:K3"/>
    <mergeCell ref="A5:K5"/>
    <mergeCell ref="A9:K9"/>
    <mergeCell ref="A11:K11"/>
    <mergeCell ref="A37:K37"/>
    <mergeCell ref="B39:C39"/>
    <mergeCell ref="F39:G39"/>
    <mergeCell ref="B40:C40"/>
    <mergeCell ref="F40:G40"/>
    <mergeCell ref="A33:F33"/>
    <mergeCell ref="A34:C34"/>
    <mergeCell ref="B45:C45"/>
    <mergeCell ref="F45:G45"/>
    <mergeCell ref="B41:C41"/>
    <mergeCell ref="F41:G41"/>
    <mergeCell ref="B42:C42"/>
    <mergeCell ref="F42:G42"/>
    <mergeCell ref="B43:C43"/>
    <mergeCell ref="F43:G43"/>
    <mergeCell ref="B44:C44"/>
    <mergeCell ref="F44:G44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  <drawing r:id="rId2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3D1B93-7B30-4C47-A8F7-A306BA365F97}">
  <sheetPr>
    <tabColor rgb="FF7030A0"/>
  </sheetPr>
  <dimension ref="A1:P54"/>
  <sheetViews>
    <sheetView topLeftCell="A34" workbookViewId="0">
      <selection activeCell="A57" sqref="A57:IV58"/>
    </sheetView>
  </sheetViews>
  <sheetFormatPr defaultRowHeight="12.75" outlineLevelRow="1" outlineLevelCol="1" x14ac:dyDescent="0.2"/>
  <cols>
    <col min="1" max="1" width="5.5703125" style="49" customWidth="1"/>
    <col min="2" max="2" width="47.7109375" style="49" customWidth="1"/>
    <col min="3" max="3" width="15.85546875" style="49" customWidth="1"/>
    <col min="4" max="4" width="14.85546875" style="49" customWidth="1"/>
    <col min="5" max="5" width="12.85546875" style="49" customWidth="1"/>
    <col min="6" max="6" width="13" style="49" customWidth="1"/>
    <col min="7" max="7" width="14.5703125" style="49" customWidth="1"/>
    <col min="8" max="9" width="11.5703125" style="49" hidden="1" customWidth="1" outlineLevel="1"/>
    <col min="10" max="10" width="10.140625" style="49" hidden="1" customWidth="1" outlineLevel="1"/>
    <col min="11" max="11" width="10.42578125" style="49" hidden="1" customWidth="1" outlineLevel="1"/>
    <col min="12" max="13" width="9.140625" style="49" hidden="1" customWidth="1" outlineLevel="1"/>
    <col min="14" max="14" width="9.42578125" style="49" bestFit="1" customWidth="1" collapsed="1"/>
    <col min="15" max="15" width="10" style="49" bestFit="1" customWidth="1"/>
    <col min="16" max="16" width="15.85546875" style="49" customWidth="1"/>
    <col min="17" max="16384" width="9.140625" style="49"/>
  </cols>
  <sheetData>
    <row r="1" spans="1:16" x14ac:dyDescent="0.2">
      <c r="A1" s="370" t="s">
        <v>0</v>
      </c>
      <c r="B1" s="370"/>
      <c r="C1" s="370"/>
      <c r="D1" s="370"/>
      <c r="E1" s="370"/>
      <c r="F1" s="370"/>
      <c r="G1" s="370"/>
      <c r="H1" s="370"/>
      <c r="I1" s="370"/>
      <c r="J1" s="370"/>
      <c r="K1" s="370"/>
    </row>
    <row r="2" spans="1:16" ht="12.75" customHeight="1" x14ac:dyDescent="0.2">
      <c r="A2" s="370" t="s">
        <v>279</v>
      </c>
      <c r="B2" s="370"/>
      <c r="C2" s="370"/>
      <c r="D2" s="370"/>
      <c r="E2" s="370"/>
      <c r="F2" s="370"/>
      <c r="G2" s="370"/>
      <c r="H2" s="370"/>
      <c r="I2" s="370"/>
      <c r="J2" s="370"/>
      <c r="K2" s="370"/>
    </row>
    <row r="3" spans="1:16" ht="13.5" customHeight="1" x14ac:dyDescent="0.2">
      <c r="A3" s="370" t="s">
        <v>426</v>
      </c>
      <c r="B3" s="370"/>
      <c r="C3" s="370"/>
      <c r="D3" s="370"/>
      <c r="E3" s="370"/>
      <c r="F3" s="370"/>
      <c r="G3" s="370"/>
      <c r="H3" s="370"/>
      <c r="I3" s="370"/>
      <c r="J3" s="370"/>
      <c r="K3" s="370"/>
    </row>
    <row r="4" spans="1:16" ht="9" customHeight="1" x14ac:dyDescent="0.2">
      <c r="A4" s="48"/>
      <c r="B4" s="48"/>
      <c r="C4" s="48"/>
      <c r="D4" s="48"/>
      <c r="E4" s="48"/>
      <c r="F4" s="48"/>
      <c r="G4" s="48"/>
      <c r="H4" s="48"/>
      <c r="I4" s="48"/>
      <c r="J4" s="48"/>
      <c r="K4" s="48"/>
    </row>
    <row r="5" spans="1:16" ht="16.5" customHeight="1" x14ac:dyDescent="0.2">
      <c r="A5" s="371" t="s">
        <v>1</v>
      </c>
      <c r="B5" s="370"/>
      <c r="C5" s="370"/>
      <c r="D5" s="370"/>
      <c r="E5" s="370"/>
      <c r="F5" s="370"/>
      <c r="G5" s="370"/>
      <c r="H5" s="370"/>
      <c r="I5" s="370"/>
      <c r="J5" s="370"/>
      <c r="K5" s="370"/>
    </row>
    <row r="7" spans="1:16" s="51" customFormat="1" ht="16.5" customHeight="1" x14ac:dyDescent="0.2">
      <c r="A7" s="51" t="s">
        <v>2</v>
      </c>
      <c r="F7" s="52" t="s">
        <v>298</v>
      </c>
      <c r="H7" s="52"/>
      <c r="L7" s="214"/>
    </row>
    <row r="8" spans="1:16" s="51" customFormat="1" x14ac:dyDescent="0.2">
      <c r="A8" s="51" t="s">
        <v>3</v>
      </c>
      <c r="F8" s="242" t="s">
        <v>299</v>
      </c>
      <c r="H8" s="52"/>
    </row>
    <row r="9" spans="1:16" s="51" customFormat="1" x14ac:dyDescent="0.2">
      <c r="A9" s="372" t="s">
        <v>8</v>
      </c>
      <c r="B9" s="372"/>
      <c r="C9" s="372"/>
      <c r="D9" s="372"/>
      <c r="E9" s="372"/>
      <c r="F9" s="372"/>
      <c r="G9" s="372"/>
      <c r="H9" s="372"/>
      <c r="I9" s="372"/>
      <c r="J9" s="372"/>
      <c r="K9" s="372"/>
    </row>
    <row r="10" spans="1:16" s="51" customFormat="1" x14ac:dyDescent="0.2">
      <c r="A10" s="372" t="s">
        <v>9</v>
      </c>
      <c r="B10" s="372"/>
      <c r="C10" s="372"/>
      <c r="D10" s="372"/>
      <c r="E10" s="372"/>
      <c r="F10" s="372"/>
      <c r="G10" s="372"/>
      <c r="H10" s="372"/>
      <c r="I10" s="372"/>
      <c r="J10" s="372"/>
      <c r="K10" s="372"/>
    </row>
    <row r="11" spans="1:16" s="51" customFormat="1" x14ac:dyDescent="0.2">
      <c r="A11" s="372" t="s">
        <v>10</v>
      </c>
      <c r="B11" s="372"/>
      <c r="C11" s="372"/>
      <c r="D11" s="372"/>
      <c r="E11" s="372"/>
      <c r="F11" s="372"/>
      <c r="G11" s="372"/>
      <c r="H11" s="372"/>
      <c r="I11" s="372"/>
      <c r="J11" s="372"/>
      <c r="K11" s="372"/>
    </row>
    <row r="12" spans="1:16" s="59" customFormat="1" ht="6" customHeight="1" thickBot="1" x14ac:dyDescent="0.3">
      <c r="A12" s="60"/>
      <c r="B12" s="60"/>
      <c r="C12" s="60"/>
      <c r="D12" s="38"/>
      <c r="E12" s="58"/>
      <c r="F12" s="58"/>
      <c r="G12" s="58"/>
      <c r="H12" s="54"/>
      <c r="I12" s="54"/>
    </row>
    <row r="13" spans="1:16" s="59" customFormat="1" ht="15.75" thickBot="1" x14ac:dyDescent="0.3">
      <c r="A13" s="55" t="s">
        <v>381</v>
      </c>
      <c r="B13" s="56"/>
      <c r="C13" s="56"/>
      <c r="D13" s="61"/>
      <c r="E13" s="62"/>
      <c r="F13" s="62"/>
      <c r="G13" s="57">
        <f>'[1]Труда 32'!$G$37</f>
        <v>-305331.26139999996</v>
      </c>
      <c r="H13" s="54"/>
      <c r="I13" s="54"/>
    </row>
    <row r="14" spans="1:16" s="51" customFormat="1" ht="6.75" customHeight="1" x14ac:dyDescent="0.2"/>
    <row r="15" spans="1:16" s="66" customFormat="1" ht="38.25" x14ac:dyDescent="0.25">
      <c r="A15" s="64" t="s">
        <v>11</v>
      </c>
      <c r="B15" s="64" t="s">
        <v>12</v>
      </c>
      <c r="C15" s="64" t="s">
        <v>61</v>
      </c>
      <c r="D15" s="64" t="s">
        <v>432</v>
      </c>
      <c r="E15" s="64" t="s">
        <v>433</v>
      </c>
      <c r="F15" s="65" t="s">
        <v>434</v>
      </c>
      <c r="G15" s="64" t="s">
        <v>435</v>
      </c>
    </row>
    <row r="16" spans="1:16" s="51" customFormat="1" ht="14.25" x14ac:dyDescent="0.2">
      <c r="A16" s="67" t="s">
        <v>14</v>
      </c>
      <c r="B16" s="39" t="s">
        <v>379</v>
      </c>
      <c r="C16" s="120">
        <v>20.32</v>
      </c>
      <c r="D16" s="68">
        <v>1867351.8</v>
      </c>
      <c r="E16" s="68">
        <v>1815840.34</v>
      </c>
      <c r="F16" s="68">
        <f t="shared" ref="F16:F22" si="0">D16</f>
        <v>1867351.8</v>
      </c>
      <c r="G16" s="69">
        <f>D16-E16</f>
        <v>51511.459999999963</v>
      </c>
      <c r="H16" s="70">
        <f>C16</f>
        <v>20.32</v>
      </c>
      <c r="I16" s="71"/>
      <c r="J16" s="71"/>
      <c r="K16" s="71"/>
      <c r="O16" s="70"/>
      <c r="P16" s="72"/>
    </row>
    <row r="17" spans="1:14" s="51" customFormat="1" ht="15" hidden="1" outlineLevel="1" x14ac:dyDescent="0.25">
      <c r="A17" s="73" t="s">
        <v>16</v>
      </c>
      <c r="B17" s="34" t="s">
        <v>17</v>
      </c>
      <c r="C17" s="89">
        <v>3.46</v>
      </c>
      <c r="D17" s="75">
        <f>D16*I17</f>
        <v>317964.43051181105</v>
      </c>
      <c r="E17" s="75">
        <f>E16*I17</f>
        <v>309193.2862401575</v>
      </c>
      <c r="F17" s="75">
        <f t="shared" si="0"/>
        <v>317964.43051181105</v>
      </c>
      <c r="G17" s="76">
        <f>D17-E17</f>
        <v>8771.144271653553</v>
      </c>
      <c r="H17" s="70">
        <f>C17</f>
        <v>3.46</v>
      </c>
      <c r="I17" s="51">
        <f>H17/H16</f>
        <v>0.17027559055118111</v>
      </c>
    </row>
    <row r="18" spans="1:14" s="51" customFormat="1" ht="15" hidden="1" outlineLevel="1" x14ac:dyDescent="0.25">
      <c r="A18" s="73" t="s">
        <v>18</v>
      </c>
      <c r="B18" s="34" t="s">
        <v>19</v>
      </c>
      <c r="C18" s="89">
        <v>1.69</v>
      </c>
      <c r="D18" s="75">
        <f>D16*I18</f>
        <v>155306.32588582675</v>
      </c>
      <c r="E18" s="75">
        <f>E16*I18</f>
        <v>151022.15426181103</v>
      </c>
      <c r="F18" s="75">
        <f t="shared" si="0"/>
        <v>155306.32588582675</v>
      </c>
      <c r="G18" s="76">
        <f>D18-E18</f>
        <v>4284.1716240157257</v>
      </c>
      <c r="H18" s="70">
        <f>C18</f>
        <v>1.69</v>
      </c>
      <c r="I18" s="51">
        <f>H18/H16</f>
        <v>8.3169291338582668E-2</v>
      </c>
    </row>
    <row r="19" spans="1:14" s="51" customFormat="1" ht="15" hidden="1" outlineLevel="1" x14ac:dyDescent="0.25">
      <c r="A19" s="73" t="s">
        <v>20</v>
      </c>
      <c r="B19" s="34" t="s">
        <v>21</v>
      </c>
      <c r="C19" s="89">
        <v>2.15</v>
      </c>
      <c r="D19" s="75">
        <f>D16*I19</f>
        <v>197579.05364173229</v>
      </c>
      <c r="E19" s="75">
        <f>E16*I19</f>
        <v>192128.77613188975</v>
      </c>
      <c r="F19" s="75">
        <f t="shared" si="0"/>
        <v>197579.05364173229</v>
      </c>
      <c r="G19" s="76">
        <f>D19-E19</f>
        <v>5450.2775098425336</v>
      </c>
      <c r="H19" s="70">
        <f>C19</f>
        <v>2.15</v>
      </c>
      <c r="I19" s="51">
        <f>H19/H16</f>
        <v>0.10580708661417322</v>
      </c>
    </row>
    <row r="20" spans="1:14" s="51" customFormat="1" ht="15" hidden="1" outlineLevel="1" x14ac:dyDescent="0.25">
      <c r="A20" s="73" t="s">
        <v>22</v>
      </c>
      <c r="B20" s="34" t="s">
        <v>23</v>
      </c>
      <c r="C20" s="89">
        <v>3.04</v>
      </c>
      <c r="D20" s="75">
        <f>D16*I20</f>
        <v>279367.59212598426</v>
      </c>
      <c r="E20" s="75">
        <f>E16*I20</f>
        <v>271661.15322834649</v>
      </c>
      <c r="F20" s="75">
        <f t="shared" si="0"/>
        <v>279367.59212598426</v>
      </c>
      <c r="G20" s="76">
        <f>D20-E20</f>
        <v>7706.4388976377668</v>
      </c>
      <c r="H20" s="70">
        <f>C20</f>
        <v>3.04</v>
      </c>
      <c r="I20" s="51">
        <f>H20/H16</f>
        <v>0.14960629921259844</v>
      </c>
    </row>
    <row r="21" spans="1:14" s="81" customFormat="1" ht="14.25" collapsed="1" x14ac:dyDescent="0.2">
      <c r="A21" s="78" t="s">
        <v>25</v>
      </c>
      <c r="B21" s="78" t="s">
        <v>26</v>
      </c>
      <c r="C21" s="87">
        <v>4.3600000000000003</v>
      </c>
      <c r="D21" s="79">
        <v>400672.32</v>
      </c>
      <c r="E21" s="79">
        <v>395782.32</v>
      </c>
      <c r="F21" s="79">
        <f t="shared" si="0"/>
        <v>400672.32</v>
      </c>
      <c r="G21" s="69">
        <f t="shared" ref="G21:G32" si="1">D21-E21</f>
        <v>4890</v>
      </c>
      <c r="H21" s="80"/>
      <c r="I21" s="80"/>
      <c r="J21" s="80"/>
      <c r="K21" s="80"/>
    </row>
    <row r="22" spans="1:14" s="81" customFormat="1" ht="14.25" x14ac:dyDescent="0.2">
      <c r="A22" s="78" t="s">
        <v>27</v>
      </c>
      <c r="B22" s="39" t="s">
        <v>128</v>
      </c>
      <c r="C22" s="46">
        <v>120</v>
      </c>
      <c r="D22" s="79">
        <v>0</v>
      </c>
      <c r="E22" s="79">
        <v>4926.58</v>
      </c>
      <c r="F22" s="79">
        <f t="shared" si="0"/>
        <v>0</v>
      </c>
      <c r="G22" s="69">
        <f t="shared" si="1"/>
        <v>-4926.58</v>
      </c>
      <c r="H22" s="80"/>
      <c r="I22" s="80"/>
      <c r="J22" s="80"/>
      <c r="K22" s="80"/>
    </row>
    <row r="23" spans="1:14" s="81" customFormat="1" ht="14.25" x14ac:dyDescent="0.2">
      <c r="A23" s="78" t="s">
        <v>29</v>
      </c>
      <c r="B23" s="78" t="s">
        <v>30</v>
      </c>
      <c r="C23" s="126">
        <v>0</v>
      </c>
      <c r="D23" s="79">
        <v>0</v>
      </c>
      <c r="E23" s="79">
        <v>1.24</v>
      </c>
      <c r="F23" s="79">
        <v>0</v>
      </c>
      <c r="G23" s="69">
        <f t="shared" si="1"/>
        <v>-1.24</v>
      </c>
      <c r="H23" s="80"/>
      <c r="I23" s="80"/>
      <c r="J23" s="80"/>
      <c r="K23" s="80"/>
    </row>
    <row r="24" spans="1:14" s="81" customFormat="1" ht="14.25" x14ac:dyDescent="0.2">
      <c r="A24" s="78" t="s">
        <v>31</v>
      </c>
      <c r="B24" s="78" t="s">
        <v>80</v>
      </c>
      <c r="C24" s="79">
        <v>2.0099999999999998</v>
      </c>
      <c r="D24" s="79">
        <v>184715.04</v>
      </c>
      <c r="E24" s="79">
        <v>183373.82</v>
      </c>
      <c r="F24" s="79">
        <f>F42</f>
        <v>90407.718200000003</v>
      </c>
      <c r="G24" s="69">
        <f t="shared" si="1"/>
        <v>1341.2200000000012</v>
      </c>
      <c r="H24" s="80"/>
      <c r="I24" s="80"/>
      <c r="J24" s="80"/>
      <c r="K24" s="80"/>
    </row>
    <row r="25" spans="1:14" ht="14.25" x14ac:dyDescent="0.2">
      <c r="A25" s="39" t="s">
        <v>33</v>
      </c>
      <c r="B25" s="39" t="s">
        <v>97</v>
      </c>
      <c r="C25" s="82">
        <v>0</v>
      </c>
      <c r="D25" s="69">
        <v>0</v>
      </c>
      <c r="E25" s="69">
        <v>0</v>
      </c>
      <c r="F25" s="79">
        <f>D25</f>
        <v>0</v>
      </c>
      <c r="G25" s="69">
        <f t="shared" si="1"/>
        <v>0</v>
      </c>
      <c r="H25" s="88"/>
      <c r="I25" s="88"/>
      <c r="J25" s="88"/>
      <c r="K25" s="88"/>
    </row>
    <row r="26" spans="1:14" ht="14.25" x14ac:dyDescent="0.2">
      <c r="A26" s="39" t="s">
        <v>35</v>
      </c>
      <c r="B26" s="39" t="s">
        <v>62</v>
      </c>
      <c r="C26" s="69">
        <v>0</v>
      </c>
      <c r="D26" s="69">
        <v>0</v>
      </c>
      <c r="E26" s="69">
        <v>71.7</v>
      </c>
      <c r="F26" s="79">
        <v>0</v>
      </c>
      <c r="G26" s="69">
        <f t="shared" si="1"/>
        <v>-71.7</v>
      </c>
      <c r="H26" s="88"/>
      <c r="I26" s="88"/>
      <c r="J26" s="88"/>
      <c r="K26" s="88"/>
    </row>
    <row r="27" spans="1:14" ht="14.25" x14ac:dyDescent="0.2">
      <c r="A27" s="39" t="s">
        <v>112</v>
      </c>
      <c r="B27" s="39" t="s">
        <v>36</v>
      </c>
      <c r="C27" s="69"/>
      <c r="D27" s="69">
        <f>SUM(D28:D31)</f>
        <v>6667647.3799999999</v>
      </c>
      <c r="E27" s="69">
        <f>SUM(E28:E31)</f>
        <v>6604537.5600000005</v>
      </c>
      <c r="F27" s="69">
        <f>SUM(F28:F31)</f>
        <v>6667647.3799999999</v>
      </c>
      <c r="G27" s="69">
        <f t="shared" si="1"/>
        <v>63109.819999999367</v>
      </c>
      <c r="H27" s="88"/>
      <c r="I27" s="88"/>
      <c r="J27" s="88"/>
      <c r="K27" s="88"/>
      <c r="N27" s="324"/>
    </row>
    <row r="28" spans="1:14" ht="15" x14ac:dyDescent="0.25">
      <c r="A28" s="34" t="s">
        <v>114</v>
      </c>
      <c r="B28" s="34" t="s">
        <v>101</v>
      </c>
      <c r="C28" s="89">
        <v>7.36</v>
      </c>
      <c r="D28" s="76">
        <v>216706.98</v>
      </c>
      <c r="E28" s="76">
        <v>213054.74</v>
      </c>
      <c r="F28" s="76">
        <f>D28</f>
        <v>216706.98</v>
      </c>
      <c r="G28" s="76">
        <f t="shared" si="1"/>
        <v>3652.2400000000198</v>
      </c>
    </row>
    <row r="29" spans="1:14" ht="15" x14ac:dyDescent="0.25">
      <c r="A29" s="34" t="s">
        <v>115</v>
      </c>
      <c r="B29" s="34" t="s">
        <v>84</v>
      </c>
      <c r="C29" s="89">
        <v>88.38</v>
      </c>
      <c r="D29" s="76">
        <v>1095740.01</v>
      </c>
      <c r="E29" s="76">
        <v>1072380.1399999999</v>
      </c>
      <c r="F29" s="76">
        <f>D29</f>
        <v>1095740.01</v>
      </c>
      <c r="G29" s="76">
        <f t="shared" si="1"/>
        <v>23359.870000000112</v>
      </c>
    </row>
    <row r="30" spans="1:14" ht="15" x14ac:dyDescent="0.25">
      <c r="A30" s="34" t="s">
        <v>116</v>
      </c>
      <c r="B30" s="34" t="s">
        <v>135</v>
      </c>
      <c r="C30" s="128">
        <v>278.94</v>
      </c>
      <c r="D30" s="76">
        <v>1366196.31</v>
      </c>
      <c r="E30" s="76">
        <v>1388737.11</v>
      </c>
      <c r="F30" s="76">
        <f>D30</f>
        <v>1366196.31</v>
      </c>
      <c r="G30" s="76">
        <f t="shared" si="1"/>
        <v>-22540.800000000047</v>
      </c>
    </row>
    <row r="31" spans="1:14" ht="15" x14ac:dyDescent="0.25">
      <c r="A31" s="34" t="s">
        <v>117</v>
      </c>
      <c r="B31" s="34" t="s">
        <v>43</v>
      </c>
      <c r="C31" s="89">
        <v>3352.42</v>
      </c>
      <c r="D31" s="76">
        <v>3989004.08</v>
      </c>
      <c r="E31" s="76">
        <v>3930365.57</v>
      </c>
      <c r="F31" s="76">
        <f>D31</f>
        <v>3989004.08</v>
      </c>
      <c r="G31" s="76">
        <f t="shared" si="1"/>
        <v>58638.510000000242</v>
      </c>
    </row>
    <row r="32" spans="1:14" ht="14.25" hidden="1" outlineLevel="1" x14ac:dyDescent="0.2">
      <c r="A32" s="39" t="s">
        <v>132</v>
      </c>
      <c r="B32" s="300" t="s">
        <v>140</v>
      </c>
      <c r="C32" s="298"/>
      <c r="D32" s="248">
        <f>1000+1800</f>
        <v>2800</v>
      </c>
      <c r="E32" s="248">
        <v>1800</v>
      </c>
      <c r="F32" s="248">
        <v>0</v>
      </c>
      <c r="G32" s="248">
        <f t="shared" si="1"/>
        <v>1000</v>
      </c>
    </row>
    <row r="33" spans="1:14" ht="15" hidden="1" outlineLevel="1" x14ac:dyDescent="0.25">
      <c r="A33" s="153"/>
      <c r="B33" s="301"/>
      <c r="C33" s="376" t="s">
        <v>246</v>
      </c>
      <c r="D33" s="377"/>
      <c r="E33" s="377"/>
      <c r="F33" s="377"/>
      <c r="G33" s="82">
        <f>E32-(E32*15%)</f>
        <v>1530</v>
      </c>
    </row>
    <row r="34" spans="1:14" s="92" customFormat="1" ht="18" customHeight="1" collapsed="1" thickBot="1" x14ac:dyDescent="0.3">
      <c r="A34" s="373"/>
      <c r="B34" s="374"/>
      <c r="C34" s="374"/>
      <c r="D34" s="375"/>
      <c r="E34" s="375"/>
      <c r="F34" s="375"/>
      <c r="G34" s="91"/>
      <c r="H34" s="91"/>
      <c r="I34" s="91"/>
    </row>
    <row r="35" spans="1:14" s="59" customFormat="1" ht="15.75" thickBot="1" x14ac:dyDescent="0.3">
      <c r="A35" s="387" t="s">
        <v>427</v>
      </c>
      <c r="B35" s="388"/>
      <c r="C35" s="388"/>
      <c r="D35" s="57">
        <v>115852.98</v>
      </c>
      <c r="E35" s="58"/>
      <c r="F35" s="58"/>
      <c r="G35" s="58"/>
      <c r="H35" s="54"/>
      <c r="I35" s="54"/>
    </row>
    <row r="36" spans="1:14" s="59" customFormat="1" ht="6" customHeight="1" thickBot="1" x14ac:dyDescent="0.3">
      <c r="A36" s="60"/>
      <c r="B36" s="60"/>
      <c r="C36" s="60"/>
      <c r="D36" s="38"/>
      <c r="E36" s="58"/>
      <c r="F36" s="58"/>
      <c r="G36" s="58"/>
      <c r="H36" s="54"/>
      <c r="I36" s="54"/>
    </row>
    <row r="37" spans="1:14" s="59" customFormat="1" ht="15.75" thickBot="1" x14ac:dyDescent="0.3">
      <c r="A37" s="55" t="s">
        <v>428</v>
      </c>
      <c r="B37" s="56"/>
      <c r="C37" s="56"/>
      <c r="D37" s="61"/>
      <c r="E37" s="62"/>
      <c r="F37" s="62"/>
      <c r="G37" s="129">
        <f>G13+E24-F24</f>
        <v>-212365.15959999996</v>
      </c>
      <c r="H37" s="54"/>
      <c r="I37" s="54"/>
    </row>
    <row r="38" spans="1:14" s="59" customFormat="1" ht="15" x14ac:dyDescent="0.25">
      <c r="A38" s="93"/>
      <c r="B38" s="93"/>
      <c r="C38" s="93"/>
      <c r="D38" s="93"/>
      <c r="E38" s="91"/>
      <c r="F38" s="91"/>
      <c r="G38" s="91"/>
      <c r="H38" s="91"/>
      <c r="I38" s="91"/>
      <c r="J38" s="91"/>
      <c r="K38" s="91"/>
    </row>
    <row r="39" spans="1:14" s="59" customFormat="1" ht="24.75" customHeight="1" x14ac:dyDescent="0.25">
      <c r="A39" s="371" t="s">
        <v>44</v>
      </c>
      <c r="B39" s="371"/>
      <c r="C39" s="371"/>
      <c r="D39" s="371"/>
      <c r="E39" s="371"/>
      <c r="F39" s="371"/>
      <c r="G39" s="371"/>
      <c r="H39" s="371"/>
      <c r="I39" s="371"/>
      <c r="J39" s="371"/>
      <c r="K39" s="371"/>
    </row>
    <row r="40" spans="1:14" s="92" customFormat="1" ht="9.75" customHeight="1" x14ac:dyDescent="0.25">
      <c r="A40" s="49"/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91"/>
      <c r="M40" s="91"/>
    </row>
    <row r="41" spans="1:14" ht="28.5" customHeight="1" x14ac:dyDescent="0.2">
      <c r="A41" s="94" t="s">
        <v>11</v>
      </c>
      <c r="B41" s="416" t="s">
        <v>45</v>
      </c>
      <c r="C41" s="425"/>
      <c r="D41" s="94" t="s">
        <v>99</v>
      </c>
      <c r="E41" s="94" t="s">
        <v>98</v>
      </c>
      <c r="F41" s="416" t="s">
        <v>46</v>
      </c>
      <c r="G41" s="425"/>
      <c r="H41" s="207"/>
      <c r="I41" s="208"/>
      <c r="J41" s="66"/>
      <c r="K41" s="66"/>
    </row>
    <row r="42" spans="1:14" ht="15" x14ac:dyDescent="0.25">
      <c r="A42" s="98" t="s">
        <v>47</v>
      </c>
      <c r="B42" s="418" t="s">
        <v>75</v>
      </c>
      <c r="C42" s="430"/>
      <c r="D42" s="99"/>
      <c r="E42" s="99"/>
      <c r="F42" s="436">
        <f>SUM(F43:G48)</f>
        <v>90407.718200000003</v>
      </c>
      <c r="G42" s="424"/>
      <c r="H42" s="209"/>
      <c r="I42" s="210"/>
      <c r="J42" s="103"/>
      <c r="K42" s="103"/>
    </row>
    <row r="43" spans="1:14" ht="15" x14ac:dyDescent="0.25">
      <c r="A43" s="34" t="s">
        <v>16</v>
      </c>
      <c r="B43" s="406" t="s">
        <v>554</v>
      </c>
      <c r="C43" s="407"/>
      <c r="D43" s="176" t="s">
        <v>100</v>
      </c>
      <c r="E43" s="176">
        <v>1</v>
      </c>
      <c r="F43" s="435">
        <v>9593.81</v>
      </c>
      <c r="G43" s="435"/>
      <c r="H43" s="101"/>
      <c r="I43" s="102"/>
      <c r="J43" s="103"/>
      <c r="K43" s="103"/>
    </row>
    <row r="44" spans="1:14" ht="15" x14ac:dyDescent="0.25">
      <c r="A44" s="34" t="s">
        <v>18</v>
      </c>
      <c r="B44" s="406" t="s">
        <v>555</v>
      </c>
      <c r="C44" s="407"/>
      <c r="D44" s="176" t="s">
        <v>137</v>
      </c>
      <c r="E44" s="176">
        <v>1.4999999999999999E-2</v>
      </c>
      <c r="F44" s="435">
        <v>36053.24</v>
      </c>
      <c r="G44" s="435"/>
      <c r="H44" s="101"/>
      <c r="I44" s="102"/>
      <c r="J44" s="103"/>
      <c r="K44" s="103"/>
    </row>
    <row r="45" spans="1:14" ht="15" x14ac:dyDescent="0.25">
      <c r="A45" s="34" t="s">
        <v>20</v>
      </c>
      <c r="B45" s="406" t="s">
        <v>556</v>
      </c>
      <c r="C45" s="407"/>
      <c r="D45" s="176" t="s">
        <v>137</v>
      </c>
      <c r="E45" s="176">
        <v>0.54</v>
      </c>
      <c r="F45" s="435">
        <v>42926.93</v>
      </c>
      <c r="G45" s="435"/>
      <c r="H45" s="101"/>
      <c r="I45" s="102"/>
      <c r="J45" s="103"/>
      <c r="K45" s="103"/>
    </row>
    <row r="46" spans="1:14" ht="15" x14ac:dyDescent="0.25">
      <c r="A46" s="34" t="s">
        <v>22</v>
      </c>
      <c r="B46" s="412"/>
      <c r="C46" s="413"/>
      <c r="D46" s="260"/>
      <c r="E46" s="260"/>
      <c r="F46" s="463"/>
      <c r="G46" s="463"/>
      <c r="H46" s="101"/>
      <c r="I46" s="102"/>
      <c r="J46" s="103"/>
      <c r="K46" s="103"/>
    </row>
    <row r="47" spans="1:14" ht="15" x14ac:dyDescent="0.25">
      <c r="A47" s="34" t="s">
        <v>24</v>
      </c>
      <c r="B47" s="412"/>
      <c r="C47" s="413"/>
      <c r="D47" s="260"/>
      <c r="E47" s="260"/>
      <c r="F47" s="463"/>
      <c r="G47" s="463"/>
      <c r="H47" s="101"/>
      <c r="I47" s="102"/>
      <c r="J47" s="103"/>
      <c r="K47" s="103"/>
    </row>
    <row r="48" spans="1:14" s="103" customFormat="1" ht="15" x14ac:dyDescent="0.25">
      <c r="A48" s="34" t="s">
        <v>73</v>
      </c>
      <c r="B48" s="552" t="s">
        <v>108</v>
      </c>
      <c r="C48" s="553"/>
      <c r="D48" s="319"/>
      <c r="E48" s="319"/>
      <c r="F48" s="496">
        <f>E24*1%</f>
        <v>1833.7382</v>
      </c>
      <c r="G48" s="496"/>
      <c r="H48" s="59"/>
      <c r="I48" s="59"/>
      <c r="J48" s="59"/>
      <c r="K48" s="59"/>
      <c r="N48" s="104"/>
    </row>
    <row r="49" spans="1:14" ht="15.75" customHeight="1" x14ac:dyDescent="0.25">
      <c r="A49" s="51"/>
      <c r="B49" s="51"/>
      <c r="C49" s="51"/>
      <c r="D49" s="51"/>
      <c r="E49" s="51"/>
      <c r="F49" s="51"/>
      <c r="G49" s="51"/>
      <c r="H49" s="59"/>
      <c r="I49" s="59"/>
      <c r="J49" s="59"/>
      <c r="K49" s="59"/>
      <c r="N49" s="106"/>
    </row>
    <row r="50" spans="1:14" ht="15" x14ac:dyDescent="0.25">
      <c r="A50" s="51" t="s">
        <v>372</v>
      </c>
      <c r="B50" s="59"/>
      <c r="C50" s="110" t="s">
        <v>49</v>
      </c>
      <c r="D50" s="59"/>
      <c r="E50" s="59"/>
      <c r="F50" s="59" t="s">
        <v>60</v>
      </c>
      <c r="G50" s="59"/>
      <c r="H50" s="51"/>
      <c r="I50" s="51"/>
      <c r="J50" s="51"/>
      <c r="K50" s="51"/>
    </row>
    <row r="51" spans="1:14" s="51" customFormat="1" ht="15" x14ac:dyDescent="0.25">
      <c r="A51" s="59"/>
      <c r="B51" s="59"/>
      <c r="C51" s="110"/>
      <c r="D51" s="59"/>
      <c r="E51" s="59"/>
      <c r="F51" s="111" t="s">
        <v>438</v>
      </c>
      <c r="G51" s="59"/>
      <c r="H51" s="141"/>
      <c r="I51" s="141"/>
      <c r="J51" s="141"/>
    </row>
    <row r="52" spans="1:14" s="51" customFormat="1" ht="15" x14ac:dyDescent="0.25">
      <c r="A52" s="59" t="s">
        <v>50</v>
      </c>
      <c r="B52" s="59"/>
      <c r="C52" s="110"/>
      <c r="D52" s="59"/>
      <c r="E52" s="59"/>
      <c r="F52" s="59"/>
      <c r="G52" s="59"/>
    </row>
    <row r="53" spans="1:14" s="51" customFormat="1" ht="15" x14ac:dyDescent="0.25">
      <c r="A53" s="59"/>
      <c r="B53" s="59"/>
      <c r="C53" s="112" t="s">
        <v>51</v>
      </c>
      <c r="D53" s="59"/>
      <c r="E53" s="113"/>
      <c r="F53" s="113"/>
      <c r="G53" s="113"/>
    </row>
    <row r="54" spans="1:14" s="51" customFormat="1" x14ac:dyDescent="0.2"/>
  </sheetData>
  <mergeCells count="27">
    <mergeCell ref="B44:C44"/>
    <mergeCell ref="B45:C45"/>
    <mergeCell ref="B47:C47"/>
    <mergeCell ref="F44:G44"/>
    <mergeCell ref="F45:G45"/>
    <mergeCell ref="F47:G47"/>
    <mergeCell ref="B46:C46"/>
    <mergeCell ref="F46:G46"/>
    <mergeCell ref="B42:C42"/>
    <mergeCell ref="F42:G42"/>
    <mergeCell ref="A10:K10"/>
    <mergeCell ref="A1:K1"/>
    <mergeCell ref="A2:K2"/>
    <mergeCell ref="A3:K3"/>
    <mergeCell ref="A5:K5"/>
    <mergeCell ref="A9:K9"/>
    <mergeCell ref="C33:F33"/>
    <mergeCell ref="B48:C48"/>
    <mergeCell ref="F48:G48"/>
    <mergeCell ref="A11:K11"/>
    <mergeCell ref="A34:F34"/>
    <mergeCell ref="B43:C43"/>
    <mergeCell ref="F43:G43"/>
    <mergeCell ref="A35:C35"/>
    <mergeCell ref="A39:K39"/>
    <mergeCell ref="B41:C41"/>
    <mergeCell ref="F41:G4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D84C09-B064-40B3-96CC-E6C9A5E299DD}">
  <sheetPr>
    <tabColor rgb="FF7030A0"/>
  </sheetPr>
  <dimension ref="A1:P54"/>
  <sheetViews>
    <sheetView topLeftCell="A41" workbookViewId="0">
      <selection activeCell="A58" sqref="A58:IV60"/>
    </sheetView>
  </sheetViews>
  <sheetFormatPr defaultRowHeight="12.75" outlineLevelRow="1" outlineLevelCol="1" x14ac:dyDescent="0.2"/>
  <cols>
    <col min="1" max="1" width="5.85546875" style="49" customWidth="1"/>
    <col min="2" max="2" width="49.140625" style="49" customWidth="1"/>
    <col min="3" max="4" width="14.85546875" style="49" customWidth="1"/>
    <col min="5" max="5" width="13.42578125" style="49" customWidth="1"/>
    <col min="6" max="6" width="13.7109375" style="49" customWidth="1"/>
    <col min="7" max="7" width="14.5703125" style="49" customWidth="1"/>
    <col min="8" max="9" width="11.5703125" style="49" hidden="1" customWidth="1" outlineLevel="1"/>
    <col min="10" max="10" width="10.140625" style="49" hidden="1" customWidth="1" outlineLevel="1"/>
    <col min="11" max="11" width="10.42578125" style="49" hidden="1" customWidth="1" outlineLevel="1"/>
    <col min="12" max="13" width="9.140625" style="49" hidden="1" customWidth="1" outlineLevel="1"/>
    <col min="14" max="14" width="11.7109375" style="49" bestFit="1" customWidth="1" collapsed="1"/>
    <col min="15" max="15" width="10" style="49" bestFit="1" customWidth="1"/>
    <col min="16" max="16" width="15.85546875" style="49" customWidth="1"/>
    <col min="17" max="16384" width="9.140625" style="49"/>
  </cols>
  <sheetData>
    <row r="1" spans="1:12" x14ac:dyDescent="0.2">
      <c r="A1" s="370" t="s">
        <v>0</v>
      </c>
      <c r="B1" s="370"/>
      <c r="C1" s="370"/>
      <c r="D1" s="370"/>
      <c r="E1" s="370"/>
      <c r="F1" s="370"/>
      <c r="G1" s="370"/>
      <c r="H1" s="370"/>
      <c r="I1" s="370"/>
      <c r="J1" s="370"/>
      <c r="K1" s="370"/>
    </row>
    <row r="2" spans="1:12" ht="12.75" customHeight="1" x14ac:dyDescent="0.2">
      <c r="A2" s="370" t="s">
        <v>279</v>
      </c>
      <c r="B2" s="370"/>
      <c r="C2" s="370"/>
      <c r="D2" s="370"/>
      <c r="E2" s="370"/>
      <c r="F2" s="370"/>
      <c r="G2" s="370"/>
      <c r="H2" s="370"/>
      <c r="I2" s="370"/>
      <c r="J2" s="370"/>
      <c r="K2" s="370"/>
    </row>
    <row r="3" spans="1:12" ht="13.5" customHeight="1" x14ac:dyDescent="0.2">
      <c r="A3" s="370" t="s">
        <v>426</v>
      </c>
      <c r="B3" s="370"/>
      <c r="C3" s="370"/>
      <c r="D3" s="370"/>
      <c r="E3" s="370"/>
      <c r="F3" s="370"/>
      <c r="G3" s="370"/>
      <c r="H3" s="370"/>
      <c r="I3" s="370"/>
      <c r="J3" s="370"/>
      <c r="K3" s="370"/>
    </row>
    <row r="4" spans="1:12" ht="9" customHeight="1" x14ac:dyDescent="0.2">
      <c r="A4" s="48"/>
      <c r="B4" s="48"/>
      <c r="C4" s="48"/>
      <c r="D4" s="48"/>
      <c r="E4" s="48"/>
      <c r="F4" s="48"/>
      <c r="G4" s="48"/>
      <c r="H4" s="48"/>
      <c r="I4" s="48"/>
      <c r="J4" s="48"/>
      <c r="K4" s="48"/>
    </row>
    <row r="5" spans="1:12" ht="16.5" customHeight="1" x14ac:dyDescent="0.2">
      <c r="A5" s="371" t="s">
        <v>1</v>
      </c>
      <c r="B5" s="370"/>
      <c r="C5" s="370"/>
      <c r="D5" s="370"/>
      <c r="E5" s="370"/>
      <c r="F5" s="370"/>
      <c r="G5" s="370"/>
      <c r="H5" s="370"/>
      <c r="I5" s="370"/>
      <c r="J5" s="370"/>
      <c r="K5" s="370"/>
    </row>
    <row r="7" spans="1:12" s="51" customFormat="1" ht="16.5" customHeight="1" x14ac:dyDescent="0.2">
      <c r="A7" s="51" t="s">
        <v>2</v>
      </c>
      <c r="F7" s="52" t="s">
        <v>300</v>
      </c>
      <c r="H7" s="52"/>
      <c r="L7" s="214"/>
    </row>
    <row r="8" spans="1:12" s="51" customFormat="1" x14ac:dyDescent="0.2">
      <c r="A8" s="51" t="s">
        <v>3</v>
      </c>
      <c r="F8" s="242" t="s">
        <v>557</v>
      </c>
      <c r="H8" s="52"/>
    </row>
    <row r="9" spans="1:12" s="51" customFormat="1" x14ac:dyDescent="0.2">
      <c r="B9" s="51" t="s">
        <v>252</v>
      </c>
      <c r="F9" s="242" t="s">
        <v>386</v>
      </c>
      <c r="H9" s="53">
        <v>1438</v>
      </c>
      <c r="I9" s="51">
        <f>J9-H9</f>
        <v>2729</v>
      </c>
      <c r="J9" s="276">
        <v>4167</v>
      </c>
    </row>
    <row r="10" spans="1:12" s="51" customFormat="1" x14ac:dyDescent="0.2">
      <c r="A10" s="372" t="s">
        <v>8</v>
      </c>
      <c r="B10" s="372"/>
      <c r="C10" s="372"/>
      <c r="D10" s="372"/>
      <c r="E10" s="372"/>
      <c r="F10" s="372"/>
      <c r="G10" s="372"/>
      <c r="H10" s="372"/>
      <c r="I10" s="372"/>
      <c r="J10" s="372"/>
      <c r="K10" s="372"/>
    </row>
    <row r="11" spans="1:12" s="51" customFormat="1" x14ac:dyDescent="0.2">
      <c r="A11" s="372" t="s">
        <v>9</v>
      </c>
      <c r="B11" s="372"/>
      <c r="C11" s="372"/>
      <c r="D11" s="372"/>
      <c r="E11" s="372"/>
      <c r="F11" s="372"/>
      <c r="G11" s="372"/>
      <c r="H11" s="372"/>
      <c r="I11" s="372"/>
      <c r="J11" s="372"/>
      <c r="K11" s="372"/>
    </row>
    <row r="12" spans="1:12" s="51" customFormat="1" x14ac:dyDescent="0.2">
      <c r="A12" s="372" t="s">
        <v>10</v>
      </c>
      <c r="B12" s="372"/>
      <c r="C12" s="372"/>
      <c r="D12" s="372"/>
      <c r="E12" s="372"/>
      <c r="F12" s="372"/>
      <c r="G12" s="372"/>
      <c r="H12" s="372"/>
      <c r="I12" s="372"/>
      <c r="J12" s="372"/>
      <c r="K12" s="372"/>
    </row>
    <row r="13" spans="1:12" s="59" customFormat="1" ht="6" customHeight="1" thickBot="1" x14ac:dyDescent="0.3">
      <c r="A13" s="60"/>
      <c r="B13" s="60"/>
      <c r="C13" s="60"/>
      <c r="D13" s="38"/>
      <c r="E13" s="58"/>
      <c r="F13" s="58"/>
      <c r="G13" s="58"/>
      <c r="H13" s="54"/>
      <c r="I13" s="54"/>
    </row>
    <row r="14" spans="1:12" s="59" customFormat="1" ht="15.75" thickBot="1" x14ac:dyDescent="0.3">
      <c r="A14" s="55" t="s">
        <v>381</v>
      </c>
      <c r="B14" s="56"/>
      <c r="C14" s="56"/>
      <c r="D14" s="61"/>
      <c r="E14" s="62"/>
      <c r="F14" s="62"/>
      <c r="G14" s="57">
        <f>'[1]Плеханова 3'!$G$38</f>
        <v>374955.58809999999</v>
      </c>
      <c r="H14" s="54"/>
      <c r="I14" s="54"/>
    </row>
    <row r="15" spans="1:12" s="51" customFormat="1" ht="6.75" customHeight="1" x14ac:dyDescent="0.2"/>
    <row r="16" spans="1:12" s="66" customFormat="1" ht="38.25" x14ac:dyDescent="0.25">
      <c r="A16" s="64" t="s">
        <v>11</v>
      </c>
      <c r="B16" s="64" t="s">
        <v>12</v>
      </c>
      <c r="C16" s="64" t="s">
        <v>61</v>
      </c>
      <c r="D16" s="64" t="s">
        <v>432</v>
      </c>
      <c r="E16" s="64" t="s">
        <v>433</v>
      </c>
      <c r="F16" s="65" t="s">
        <v>434</v>
      </c>
      <c r="G16" s="64" t="s">
        <v>435</v>
      </c>
    </row>
    <row r="17" spans="1:16" s="51" customFormat="1" ht="14.25" x14ac:dyDescent="0.2">
      <c r="A17" s="67" t="s">
        <v>14</v>
      </c>
      <c r="B17" s="39" t="s">
        <v>379</v>
      </c>
      <c r="C17" s="120">
        <v>23.85</v>
      </c>
      <c r="D17" s="68">
        <v>781041.6</v>
      </c>
      <c r="E17" s="68">
        <v>785743.35</v>
      </c>
      <c r="F17" s="68">
        <f t="shared" ref="F17:F23" si="0">D17</f>
        <v>781041.6</v>
      </c>
      <c r="G17" s="69">
        <f>D17-E17</f>
        <v>-4701.75</v>
      </c>
      <c r="H17" s="70">
        <f>C17</f>
        <v>23.85</v>
      </c>
      <c r="I17" s="71"/>
      <c r="J17" s="71"/>
      <c r="K17" s="71"/>
      <c r="O17" s="70"/>
      <c r="P17" s="72"/>
    </row>
    <row r="18" spans="1:16" s="51" customFormat="1" ht="15" hidden="1" outlineLevel="1" x14ac:dyDescent="0.25">
      <c r="A18" s="73" t="s">
        <v>16</v>
      </c>
      <c r="B18" s="34" t="s">
        <v>17</v>
      </c>
      <c r="C18" s="89">
        <v>3.46</v>
      </c>
      <c r="D18" s="75">
        <f>D17*I18</f>
        <v>113308.34113207545</v>
      </c>
      <c r="E18" s="75">
        <f>E17*I18</f>
        <v>113990.43987421383</v>
      </c>
      <c r="F18" s="75">
        <f t="shared" si="0"/>
        <v>113308.34113207545</v>
      </c>
      <c r="G18" s="76">
        <f>D18-E18</f>
        <v>-682.09874213837611</v>
      </c>
      <c r="H18" s="70">
        <f>C18</f>
        <v>3.46</v>
      </c>
      <c r="I18" s="51">
        <f>H18/H17</f>
        <v>0.14507337526205449</v>
      </c>
    </row>
    <row r="19" spans="1:16" s="51" customFormat="1" ht="15" hidden="1" outlineLevel="1" x14ac:dyDescent="0.25">
      <c r="A19" s="73" t="s">
        <v>18</v>
      </c>
      <c r="B19" s="34" t="s">
        <v>19</v>
      </c>
      <c r="C19" s="89">
        <v>1.69</v>
      </c>
      <c r="D19" s="75">
        <f>D17*I19</f>
        <v>55344.247547169798</v>
      </c>
      <c r="E19" s="75">
        <f>E17*I19</f>
        <v>55677.411383647792</v>
      </c>
      <c r="F19" s="75">
        <f t="shared" si="0"/>
        <v>55344.247547169798</v>
      </c>
      <c r="G19" s="76">
        <f>D19-E19</f>
        <v>-333.16383647799375</v>
      </c>
      <c r="H19" s="70">
        <f>C19</f>
        <v>1.69</v>
      </c>
      <c r="I19" s="51">
        <f>H19/H17</f>
        <v>7.0859538784067075E-2</v>
      </c>
    </row>
    <row r="20" spans="1:16" s="51" customFormat="1" ht="15" hidden="1" outlineLevel="1" x14ac:dyDescent="0.25">
      <c r="A20" s="73" t="s">
        <v>20</v>
      </c>
      <c r="B20" s="34" t="s">
        <v>21</v>
      </c>
      <c r="C20" s="89">
        <v>2.15</v>
      </c>
      <c r="D20" s="75">
        <f>D17*I20</f>
        <v>70408.362264150928</v>
      </c>
      <c r="E20" s="75">
        <f>E17*I20</f>
        <v>70832.20974842766</v>
      </c>
      <c r="F20" s="75">
        <f t="shared" si="0"/>
        <v>70408.362264150928</v>
      </c>
      <c r="G20" s="76">
        <f>D20-E20</f>
        <v>-423.84748427673185</v>
      </c>
      <c r="H20" s="70">
        <f>C20</f>
        <v>2.15</v>
      </c>
      <c r="I20" s="51">
        <f>H20/H17</f>
        <v>9.0146750524109004E-2</v>
      </c>
    </row>
    <row r="21" spans="1:16" s="51" customFormat="1" ht="15" hidden="1" outlineLevel="1" x14ac:dyDescent="0.25">
      <c r="A21" s="73" t="s">
        <v>22</v>
      </c>
      <c r="B21" s="34" t="s">
        <v>23</v>
      </c>
      <c r="C21" s="89">
        <v>3.04</v>
      </c>
      <c r="D21" s="75">
        <f>D17*I21</f>
        <v>99554.149433962259</v>
      </c>
      <c r="E21" s="75">
        <f>E17*I21</f>
        <v>100153.45006289307</v>
      </c>
      <c r="F21" s="75">
        <f t="shared" si="0"/>
        <v>99554.149433962259</v>
      </c>
      <c r="G21" s="76">
        <f>D21-E21</f>
        <v>-599.30062893081049</v>
      </c>
      <c r="H21" s="70">
        <f>C21</f>
        <v>3.04</v>
      </c>
      <c r="I21" s="51">
        <f>H21/H17</f>
        <v>0.12746331236897274</v>
      </c>
    </row>
    <row r="22" spans="1:16" s="81" customFormat="1" ht="14.25" collapsed="1" x14ac:dyDescent="0.2">
      <c r="A22" s="78" t="s">
        <v>25</v>
      </c>
      <c r="B22" s="78" t="s">
        <v>128</v>
      </c>
      <c r="C22" s="46">
        <v>120</v>
      </c>
      <c r="D22" s="79">
        <v>0</v>
      </c>
      <c r="E22" s="79">
        <v>1239.5</v>
      </c>
      <c r="F22" s="79">
        <f t="shared" si="0"/>
        <v>0</v>
      </c>
      <c r="G22" s="69">
        <f t="shared" ref="G22:G33" si="1">D22-E22</f>
        <v>-1239.5</v>
      </c>
      <c r="H22" s="80"/>
      <c r="I22" s="80"/>
      <c r="J22" s="80"/>
      <c r="K22" s="80"/>
    </row>
    <row r="23" spans="1:16" s="81" customFormat="1" ht="14.25" x14ac:dyDescent="0.2">
      <c r="A23" s="78" t="s">
        <v>27</v>
      </c>
      <c r="B23" s="78" t="s">
        <v>28</v>
      </c>
      <c r="C23" s="87">
        <v>0</v>
      </c>
      <c r="D23" s="79">
        <v>0</v>
      </c>
      <c r="E23" s="79">
        <v>0</v>
      </c>
      <c r="F23" s="79">
        <f t="shared" si="0"/>
        <v>0</v>
      </c>
      <c r="G23" s="69">
        <f t="shared" si="1"/>
        <v>0</v>
      </c>
      <c r="H23" s="80"/>
      <c r="I23" s="80"/>
      <c r="J23" s="80"/>
      <c r="K23" s="80"/>
    </row>
    <row r="24" spans="1:16" s="81" customFormat="1" ht="14.25" x14ac:dyDescent="0.2">
      <c r="A24" s="78" t="s">
        <v>29</v>
      </c>
      <c r="B24" s="78" t="s">
        <v>30</v>
      </c>
      <c r="C24" s="126">
        <v>0</v>
      </c>
      <c r="D24" s="79">
        <v>0</v>
      </c>
      <c r="E24" s="79">
        <v>0</v>
      </c>
      <c r="F24" s="79">
        <v>0</v>
      </c>
      <c r="G24" s="69">
        <f t="shared" si="1"/>
        <v>0</v>
      </c>
      <c r="H24" s="80"/>
      <c r="I24" s="80"/>
      <c r="J24" s="80"/>
      <c r="K24" s="80"/>
    </row>
    <row r="25" spans="1:16" s="81" customFormat="1" ht="14.25" x14ac:dyDescent="0.2">
      <c r="A25" s="78" t="s">
        <v>31</v>
      </c>
      <c r="B25" s="78" t="s">
        <v>80</v>
      </c>
      <c r="C25" s="79">
        <v>2.36</v>
      </c>
      <c r="D25" s="79">
        <f>77284.8+D26</f>
        <v>118008.8</v>
      </c>
      <c r="E25" s="79">
        <f>78948.6+E26</f>
        <v>126460.12</v>
      </c>
      <c r="F25" s="79">
        <f>F45</f>
        <v>17882.8112</v>
      </c>
      <c r="G25" s="69">
        <f t="shared" si="1"/>
        <v>-8451.3199999999924</v>
      </c>
      <c r="H25" s="80"/>
      <c r="I25" s="80"/>
      <c r="J25" s="80"/>
      <c r="K25" s="80"/>
    </row>
    <row r="26" spans="1:16" s="81" customFormat="1" ht="14.25" x14ac:dyDescent="0.2">
      <c r="A26" s="78"/>
      <c r="B26" s="292" t="s">
        <v>244</v>
      </c>
      <c r="C26" s="293"/>
      <c r="D26" s="294">
        <v>40724</v>
      </c>
      <c r="E26" s="294">
        <v>47511.519999999997</v>
      </c>
      <c r="F26" s="294"/>
      <c r="G26" s="248"/>
      <c r="H26" s="80"/>
      <c r="I26" s="80"/>
      <c r="J26" s="80"/>
      <c r="K26" s="80"/>
    </row>
    <row r="27" spans="1:16" ht="14.25" x14ac:dyDescent="0.2">
      <c r="A27" s="39" t="s">
        <v>33</v>
      </c>
      <c r="B27" s="39" t="s">
        <v>97</v>
      </c>
      <c r="C27" s="82"/>
      <c r="D27" s="69">
        <v>0</v>
      </c>
      <c r="E27" s="69">
        <v>0</v>
      </c>
      <c r="F27" s="79">
        <v>0</v>
      </c>
      <c r="G27" s="69">
        <f t="shared" si="1"/>
        <v>0</v>
      </c>
      <c r="H27" s="88"/>
      <c r="I27" s="88"/>
      <c r="J27" s="88"/>
      <c r="K27" s="88"/>
    </row>
    <row r="28" spans="1:16" ht="14.25" x14ac:dyDescent="0.2">
      <c r="A28" s="39" t="s">
        <v>35</v>
      </c>
      <c r="B28" s="39" t="s">
        <v>36</v>
      </c>
      <c r="C28" s="69"/>
      <c r="D28" s="69">
        <f>SUM(D29:D32)</f>
        <v>2386821.75</v>
      </c>
      <c r="E28" s="69">
        <f>SUM(E29:E32)</f>
        <v>2430246.62</v>
      </c>
      <c r="F28" s="69">
        <f>SUM(F29:F32)</f>
        <v>2386821.75</v>
      </c>
      <c r="G28" s="69">
        <f t="shared" si="1"/>
        <v>-43424.870000000112</v>
      </c>
      <c r="H28" s="88"/>
      <c r="I28" s="88"/>
      <c r="J28" s="88"/>
      <c r="K28" s="88"/>
      <c r="N28" s="325"/>
    </row>
    <row r="29" spans="1:16" ht="15" x14ac:dyDescent="0.25">
      <c r="A29" s="34" t="s">
        <v>37</v>
      </c>
      <c r="B29" s="34" t="s">
        <v>101</v>
      </c>
      <c r="C29" s="89">
        <v>7.36</v>
      </c>
      <c r="D29" s="76">
        <v>46410.239999999998</v>
      </c>
      <c r="E29" s="76">
        <v>46970.15</v>
      </c>
      <c r="F29" s="76">
        <f>D29</f>
        <v>46410.239999999998</v>
      </c>
      <c r="G29" s="76">
        <f t="shared" si="1"/>
        <v>-559.91000000000349</v>
      </c>
    </row>
    <row r="30" spans="1:16" ht="15" x14ac:dyDescent="0.25">
      <c r="A30" s="34" t="s">
        <v>39</v>
      </c>
      <c r="B30" s="34" t="s">
        <v>84</v>
      </c>
      <c r="C30" s="89">
        <v>88.38</v>
      </c>
      <c r="D30" s="76">
        <v>346424.54</v>
      </c>
      <c r="E30" s="76">
        <v>351719.29</v>
      </c>
      <c r="F30" s="76">
        <f>D30</f>
        <v>346424.54</v>
      </c>
      <c r="G30" s="76">
        <f t="shared" si="1"/>
        <v>-5294.75</v>
      </c>
    </row>
    <row r="31" spans="1:16" ht="15" x14ac:dyDescent="0.25">
      <c r="A31" s="34" t="s">
        <v>42</v>
      </c>
      <c r="B31" s="34" t="s">
        <v>135</v>
      </c>
      <c r="C31" s="128">
        <v>278.94</v>
      </c>
      <c r="D31" s="76">
        <v>415055.13</v>
      </c>
      <c r="E31" s="76">
        <v>422895.51</v>
      </c>
      <c r="F31" s="76">
        <f>D31</f>
        <v>415055.13</v>
      </c>
      <c r="G31" s="76">
        <f t="shared" si="1"/>
        <v>-7840.3800000000047</v>
      </c>
    </row>
    <row r="32" spans="1:16" ht="15" x14ac:dyDescent="0.25">
      <c r="A32" s="34" t="s">
        <v>41</v>
      </c>
      <c r="B32" s="34" t="s">
        <v>43</v>
      </c>
      <c r="C32" s="89">
        <v>3352.42</v>
      </c>
      <c r="D32" s="76">
        <v>1578931.84</v>
      </c>
      <c r="E32" s="76">
        <v>1608661.67</v>
      </c>
      <c r="F32" s="76">
        <f>D32</f>
        <v>1578931.84</v>
      </c>
      <c r="G32" s="76">
        <f t="shared" si="1"/>
        <v>-29729.829999999842</v>
      </c>
    </row>
    <row r="33" spans="1:14" ht="14.25" hidden="1" outlineLevel="1" x14ac:dyDescent="0.2">
      <c r="A33" s="39" t="s">
        <v>112</v>
      </c>
      <c r="B33" s="300" t="s">
        <v>140</v>
      </c>
      <c r="C33" s="298"/>
      <c r="D33" s="248">
        <f>1000+1800</f>
        <v>2800</v>
      </c>
      <c r="E33" s="248">
        <v>1800</v>
      </c>
      <c r="F33" s="248">
        <v>0</v>
      </c>
      <c r="G33" s="248">
        <f t="shared" si="1"/>
        <v>1000</v>
      </c>
    </row>
    <row r="34" spans="1:14" ht="15" hidden="1" outlineLevel="1" x14ac:dyDescent="0.25">
      <c r="A34" s="153"/>
      <c r="B34" s="301"/>
      <c r="C34" s="376" t="s">
        <v>246</v>
      </c>
      <c r="D34" s="377"/>
      <c r="E34" s="377"/>
      <c r="F34" s="377"/>
      <c r="G34" s="82">
        <f>E33-(E33*15%)</f>
        <v>1530</v>
      </c>
    </row>
    <row r="35" spans="1:14" s="92" customFormat="1" ht="15.75" customHeight="1" collapsed="1" thickBot="1" x14ac:dyDescent="0.3">
      <c r="A35" s="373"/>
      <c r="B35" s="374"/>
      <c r="C35" s="374"/>
      <c r="D35" s="375"/>
      <c r="E35" s="375"/>
      <c r="F35" s="375"/>
      <c r="G35" s="91"/>
      <c r="H35" s="91"/>
      <c r="I35" s="91"/>
    </row>
    <row r="36" spans="1:14" s="59" customFormat="1" ht="15.75" thickBot="1" x14ac:dyDescent="0.3">
      <c r="A36" s="387" t="s">
        <v>427</v>
      </c>
      <c r="B36" s="388"/>
      <c r="C36" s="388"/>
      <c r="D36" s="57">
        <v>-57817.440000000002</v>
      </c>
      <c r="E36" s="58"/>
      <c r="F36" s="58"/>
      <c r="G36" s="58"/>
      <c r="H36" s="54"/>
      <c r="I36" s="54"/>
    </row>
    <row r="37" spans="1:14" s="59" customFormat="1" ht="6" customHeight="1" thickBot="1" x14ac:dyDescent="0.3">
      <c r="A37" s="60"/>
      <c r="B37" s="60"/>
      <c r="C37" s="60"/>
      <c r="D37" s="38"/>
      <c r="E37" s="58"/>
      <c r="F37" s="58"/>
      <c r="G37" s="58"/>
      <c r="H37" s="54"/>
      <c r="I37" s="54"/>
    </row>
    <row r="38" spans="1:14" s="59" customFormat="1" ht="15.75" thickBot="1" x14ac:dyDescent="0.3">
      <c r="A38" s="55" t="s">
        <v>428</v>
      </c>
      <c r="B38" s="56"/>
      <c r="C38" s="56"/>
      <c r="D38" s="61"/>
      <c r="E38" s="62"/>
      <c r="F38" s="62"/>
      <c r="G38" s="129">
        <f>G14+E25-F25</f>
        <v>483532.89689999999</v>
      </c>
      <c r="H38" s="54"/>
      <c r="I38" s="54"/>
    </row>
    <row r="39" spans="1:14" s="59" customFormat="1" ht="15" x14ac:dyDescent="0.25">
      <c r="A39" s="514" t="s">
        <v>134</v>
      </c>
      <c r="B39" s="515"/>
      <c r="C39" s="93"/>
      <c r="D39" s="93"/>
      <c r="E39" s="91"/>
      <c r="F39" s="91"/>
      <c r="G39" s="38"/>
      <c r="H39" s="54"/>
      <c r="I39" s="54"/>
    </row>
    <row r="40" spans="1:14" s="59" customFormat="1" ht="15" x14ac:dyDescent="0.25">
      <c r="A40" s="393" t="s">
        <v>91</v>
      </c>
      <c r="B40" s="394"/>
      <c r="C40" s="41" t="s">
        <v>92</v>
      </c>
      <c r="D40" s="41" t="s">
        <v>93</v>
      </c>
      <c r="E40" s="42" t="s">
        <v>94</v>
      </c>
      <c r="F40" s="40" t="s">
        <v>95</v>
      </c>
      <c r="G40" s="42" t="s">
        <v>96</v>
      </c>
      <c r="H40" s="54"/>
      <c r="I40" s="54"/>
    </row>
    <row r="41" spans="1:14" s="59" customFormat="1" ht="15" x14ac:dyDescent="0.25">
      <c r="A41" s="395"/>
      <c r="B41" s="396"/>
      <c r="C41" s="342">
        <v>1438</v>
      </c>
      <c r="D41" s="138">
        <f>E41/C41/12</f>
        <v>26.209986091794161</v>
      </c>
      <c r="E41" s="358">
        <v>452279.52</v>
      </c>
      <c r="F41" s="358">
        <v>527659.43999999994</v>
      </c>
      <c r="G41" s="138">
        <f>E41-F41</f>
        <v>-75379.919999999925</v>
      </c>
      <c r="H41" s="91">
        <f>C17+C25</f>
        <v>26.21</v>
      </c>
      <c r="I41" s="91">
        <f>H41*C41*3</f>
        <v>113069.94</v>
      </c>
      <c r="J41" s="91">
        <f>306897.9</f>
        <v>306897.90000000002</v>
      </c>
      <c r="K41" s="91">
        <f>234207.06</f>
        <v>234207.06</v>
      </c>
    </row>
    <row r="42" spans="1:14" s="92" customFormat="1" ht="25.5" customHeight="1" x14ac:dyDescent="0.25">
      <c r="A42" s="371" t="s">
        <v>44</v>
      </c>
      <c r="B42" s="371"/>
      <c r="C42" s="371"/>
      <c r="D42" s="371"/>
      <c r="E42" s="371"/>
      <c r="F42" s="371"/>
      <c r="G42" s="371"/>
      <c r="H42" s="371"/>
      <c r="I42" s="371"/>
      <c r="J42" s="371"/>
      <c r="K42" s="371"/>
      <c r="L42" s="91"/>
      <c r="M42" s="91"/>
    </row>
    <row r="44" spans="1:14" ht="28.5" x14ac:dyDescent="0.2">
      <c r="A44" s="94" t="s">
        <v>11</v>
      </c>
      <c r="B44" s="416" t="s">
        <v>45</v>
      </c>
      <c r="C44" s="425"/>
      <c r="D44" s="94" t="s">
        <v>99</v>
      </c>
      <c r="E44" s="94" t="s">
        <v>98</v>
      </c>
      <c r="F44" s="550" t="s">
        <v>46</v>
      </c>
      <c r="G44" s="550"/>
      <c r="H44" s="95"/>
      <c r="I44" s="96"/>
      <c r="J44" s="66"/>
      <c r="K44" s="66"/>
    </row>
    <row r="45" spans="1:14" s="66" customFormat="1" ht="15" x14ac:dyDescent="0.25">
      <c r="A45" s="98" t="s">
        <v>47</v>
      </c>
      <c r="B45" s="418" t="s">
        <v>75</v>
      </c>
      <c r="C45" s="430"/>
      <c r="D45" s="99"/>
      <c r="E45" s="99"/>
      <c r="F45" s="548">
        <f>SUM(F46:G49)</f>
        <v>17882.8112</v>
      </c>
      <c r="G45" s="549"/>
      <c r="H45" s="101"/>
      <c r="I45" s="102"/>
      <c r="J45" s="103"/>
      <c r="K45" s="103"/>
      <c r="N45" s="97"/>
    </row>
    <row r="46" spans="1:14" s="103" customFormat="1" ht="15" x14ac:dyDescent="0.25">
      <c r="A46" s="34" t="s">
        <v>16</v>
      </c>
      <c r="B46" s="406" t="s">
        <v>415</v>
      </c>
      <c r="C46" s="407"/>
      <c r="D46" s="176" t="s">
        <v>100</v>
      </c>
      <c r="E46" s="176">
        <v>4</v>
      </c>
      <c r="F46" s="435">
        <v>10966.21</v>
      </c>
      <c r="G46" s="435"/>
      <c r="H46" s="38"/>
      <c r="I46" s="38"/>
      <c r="J46" s="49"/>
      <c r="K46" s="49"/>
      <c r="N46" s="104"/>
    </row>
    <row r="47" spans="1:14" s="51" customFormat="1" ht="19.5" customHeight="1" x14ac:dyDescent="0.25">
      <c r="A47" s="34" t="s">
        <v>18</v>
      </c>
      <c r="B47" s="406" t="s">
        <v>408</v>
      </c>
      <c r="C47" s="431"/>
      <c r="D47" s="105" t="s">
        <v>100</v>
      </c>
      <c r="E47" s="105">
        <v>1</v>
      </c>
      <c r="F47" s="466">
        <v>5652</v>
      </c>
      <c r="G47" s="467"/>
    </row>
    <row r="48" spans="1:14" s="51" customFormat="1" ht="20.25" customHeight="1" x14ac:dyDescent="0.25">
      <c r="A48" s="34" t="s">
        <v>20</v>
      </c>
      <c r="B48" s="412"/>
      <c r="C48" s="428"/>
      <c r="D48" s="258"/>
      <c r="E48" s="258"/>
      <c r="F48" s="468"/>
      <c r="G48" s="469"/>
    </row>
    <row r="49" spans="1:10" s="51" customFormat="1" ht="15" x14ac:dyDescent="0.25">
      <c r="A49" s="34" t="s">
        <v>22</v>
      </c>
      <c r="B49" s="458" t="s">
        <v>108</v>
      </c>
      <c r="C49" s="459"/>
      <c r="D49" s="108"/>
      <c r="E49" s="108"/>
      <c r="F49" s="435">
        <f>E25*1%</f>
        <v>1264.6012000000001</v>
      </c>
      <c r="G49" s="435"/>
      <c r="H49" s="141"/>
      <c r="I49" s="141"/>
      <c r="J49" s="141"/>
    </row>
    <row r="50" spans="1:10" s="51" customFormat="1" x14ac:dyDescent="0.2"/>
    <row r="51" spans="1:10" s="51" customFormat="1" ht="15" x14ac:dyDescent="0.25">
      <c r="A51" s="51" t="s">
        <v>372</v>
      </c>
      <c r="B51" s="59"/>
      <c r="C51" s="110" t="s">
        <v>49</v>
      </c>
      <c r="D51" s="59"/>
      <c r="E51" s="59"/>
      <c r="F51" s="59" t="s">
        <v>60</v>
      </c>
      <c r="G51" s="59"/>
    </row>
    <row r="52" spans="1:10" ht="15" x14ac:dyDescent="0.25">
      <c r="A52" s="59"/>
      <c r="B52" s="59"/>
      <c r="C52" s="110"/>
      <c r="D52" s="59"/>
      <c r="E52" s="59"/>
      <c r="F52" s="111" t="s">
        <v>438</v>
      </c>
      <c r="G52" s="59"/>
    </row>
    <row r="53" spans="1:10" ht="15" x14ac:dyDescent="0.25">
      <c r="A53" s="59" t="s">
        <v>50</v>
      </c>
      <c r="B53" s="59"/>
      <c r="C53" s="110"/>
      <c r="D53" s="59"/>
      <c r="E53" s="59"/>
      <c r="F53" s="59"/>
      <c r="G53" s="59"/>
    </row>
    <row r="54" spans="1:10" ht="15" x14ac:dyDescent="0.25">
      <c r="A54" s="59"/>
      <c r="B54" s="59"/>
      <c r="C54" s="112" t="s">
        <v>51</v>
      </c>
      <c r="D54" s="59"/>
      <c r="E54" s="113"/>
      <c r="F54" s="113"/>
      <c r="G54" s="113"/>
    </row>
  </sheetData>
  <mergeCells count="25">
    <mergeCell ref="A11:K11"/>
    <mergeCell ref="A1:K1"/>
    <mergeCell ref="A2:K2"/>
    <mergeCell ref="A3:K3"/>
    <mergeCell ref="A5:K5"/>
    <mergeCell ref="A10:K10"/>
    <mergeCell ref="A12:K12"/>
    <mergeCell ref="A36:C36"/>
    <mergeCell ref="A42:K42"/>
    <mergeCell ref="B44:C44"/>
    <mergeCell ref="F44:G44"/>
    <mergeCell ref="A35:F35"/>
    <mergeCell ref="A39:B39"/>
    <mergeCell ref="A40:B41"/>
    <mergeCell ref="C34:F34"/>
    <mergeCell ref="B48:C48"/>
    <mergeCell ref="F48:G48"/>
    <mergeCell ref="B49:C49"/>
    <mergeCell ref="F49:G49"/>
    <mergeCell ref="B45:C45"/>
    <mergeCell ref="F45:G45"/>
    <mergeCell ref="B46:C46"/>
    <mergeCell ref="F46:G46"/>
    <mergeCell ref="B47:C47"/>
    <mergeCell ref="F47:G47"/>
  </mergeCells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5435BB-0E0B-412F-B451-01612D76B20D}">
  <sheetPr>
    <tabColor rgb="FF7030A0"/>
  </sheetPr>
  <dimension ref="A1:L55"/>
  <sheetViews>
    <sheetView topLeftCell="A31" workbookViewId="0">
      <selection activeCell="A56" sqref="A56:IV57"/>
    </sheetView>
  </sheetViews>
  <sheetFormatPr defaultRowHeight="12.75" outlineLevelRow="1" outlineLevelCol="1" x14ac:dyDescent="0.2"/>
  <cols>
    <col min="1" max="1" width="5.42578125" style="49" customWidth="1"/>
    <col min="2" max="2" width="48.5703125" style="49" customWidth="1"/>
    <col min="3" max="3" width="15.42578125" style="49" customWidth="1"/>
    <col min="4" max="4" width="14.85546875" style="49" customWidth="1"/>
    <col min="5" max="5" width="13.5703125" style="49" customWidth="1"/>
    <col min="6" max="6" width="13" style="49" customWidth="1"/>
    <col min="7" max="7" width="14.5703125" style="49" customWidth="1"/>
    <col min="8" max="9" width="11.5703125" style="49" hidden="1" customWidth="1" outlineLevel="1"/>
    <col min="10" max="10" width="9.140625" style="49" hidden="1" customWidth="1" outlineLevel="1"/>
    <col min="11" max="11" width="10" style="49" hidden="1" customWidth="1" outlineLevel="1"/>
    <col min="12" max="12" width="15.85546875" style="49" customWidth="1" collapsed="1"/>
    <col min="13" max="16384" width="9.140625" style="49"/>
  </cols>
  <sheetData>
    <row r="1" spans="1:11" x14ac:dyDescent="0.2">
      <c r="A1" s="370" t="s">
        <v>0</v>
      </c>
      <c r="B1" s="370"/>
      <c r="C1" s="370"/>
      <c r="D1" s="370"/>
      <c r="E1" s="370"/>
      <c r="F1" s="370"/>
      <c r="G1" s="370"/>
      <c r="H1" s="370"/>
      <c r="I1" s="370"/>
    </row>
    <row r="2" spans="1:11" ht="12.75" customHeight="1" x14ac:dyDescent="0.2">
      <c r="A2" s="370" t="s">
        <v>279</v>
      </c>
      <c r="B2" s="370"/>
      <c r="C2" s="370"/>
      <c r="D2" s="370"/>
      <c r="E2" s="370"/>
      <c r="F2" s="370"/>
      <c r="G2" s="370"/>
      <c r="H2" s="370"/>
      <c r="I2" s="370"/>
      <c r="J2" s="370"/>
      <c r="K2" s="370"/>
    </row>
    <row r="3" spans="1:11" ht="13.5" customHeight="1" x14ac:dyDescent="0.2">
      <c r="A3" s="370" t="s">
        <v>426</v>
      </c>
      <c r="B3" s="370"/>
      <c r="C3" s="370"/>
      <c r="D3" s="370"/>
      <c r="E3" s="370"/>
      <c r="F3" s="370"/>
      <c r="G3" s="370"/>
      <c r="H3" s="370"/>
      <c r="I3" s="370"/>
      <c r="J3" s="370"/>
      <c r="K3" s="370"/>
    </row>
    <row r="4" spans="1:11" ht="9" customHeight="1" x14ac:dyDescent="0.2">
      <c r="A4" s="48"/>
      <c r="B4" s="48"/>
      <c r="C4" s="48"/>
      <c r="D4" s="48"/>
      <c r="E4" s="48"/>
      <c r="F4" s="48"/>
      <c r="G4" s="48"/>
      <c r="H4" s="48"/>
      <c r="I4" s="48"/>
    </row>
    <row r="5" spans="1:11" ht="16.5" customHeight="1" x14ac:dyDescent="0.2">
      <c r="A5" s="371" t="s">
        <v>1</v>
      </c>
      <c r="B5" s="370"/>
      <c r="C5" s="370"/>
      <c r="D5" s="370"/>
      <c r="E5" s="370"/>
      <c r="F5" s="370"/>
      <c r="G5" s="370"/>
      <c r="H5" s="370"/>
      <c r="I5" s="370"/>
    </row>
    <row r="7" spans="1:11" s="51" customFormat="1" ht="16.5" customHeight="1" x14ac:dyDescent="0.2">
      <c r="A7" s="51" t="s">
        <v>2</v>
      </c>
      <c r="F7" s="52" t="s">
        <v>301</v>
      </c>
      <c r="H7" s="52"/>
    </row>
    <row r="8" spans="1:11" s="51" customFormat="1" x14ac:dyDescent="0.2">
      <c r="A8" s="51" t="s">
        <v>3</v>
      </c>
      <c r="F8" s="242" t="s">
        <v>302</v>
      </c>
      <c r="H8" s="52"/>
    </row>
    <row r="9" spans="1:11" s="51" customFormat="1" x14ac:dyDescent="0.2">
      <c r="B9" s="51" t="s">
        <v>252</v>
      </c>
      <c r="F9" s="242" t="s">
        <v>303</v>
      </c>
      <c r="H9" s="231">
        <v>84.4</v>
      </c>
      <c r="I9" s="51">
        <f>J9-H9</f>
        <v>2675.2</v>
      </c>
      <c r="J9" s="276">
        <v>2759.6</v>
      </c>
    </row>
    <row r="10" spans="1:11" s="51" customFormat="1" x14ac:dyDescent="0.2">
      <c r="A10" s="372" t="s">
        <v>8</v>
      </c>
      <c r="B10" s="372"/>
      <c r="C10" s="372"/>
      <c r="D10" s="372"/>
      <c r="E10" s="372"/>
      <c r="F10" s="372"/>
      <c r="G10" s="372"/>
      <c r="H10" s="372"/>
      <c r="I10" s="372"/>
    </row>
    <row r="11" spans="1:11" s="51" customFormat="1" x14ac:dyDescent="0.2">
      <c r="A11" s="372" t="s">
        <v>9</v>
      </c>
      <c r="B11" s="372"/>
      <c r="C11" s="372"/>
      <c r="D11" s="372"/>
      <c r="E11" s="372"/>
      <c r="F11" s="372"/>
      <c r="G11" s="372"/>
      <c r="H11" s="372"/>
      <c r="I11" s="372"/>
    </row>
    <row r="12" spans="1:11" s="51" customFormat="1" x14ac:dyDescent="0.2">
      <c r="A12" s="372" t="s">
        <v>10</v>
      </c>
      <c r="B12" s="372"/>
      <c r="C12" s="372"/>
      <c r="D12" s="372"/>
      <c r="E12" s="372"/>
      <c r="F12" s="372"/>
      <c r="G12" s="372"/>
      <c r="H12" s="372"/>
      <c r="I12" s="372"/>
    </row>
    <row r="13" spans="1:11" s="59" customFormat="1" ht="6" customHeight="1" thickBot="1" x14ac:dyDescent="0.3">
      <c r="A13" s="216"/>
      <c r="B13" s="216"/>
      <c r="C13" s="216"/>
      <c r="D13" s="38"/>
      <c r="E13" s="58"/>
      <c r="F13" s="58"/>
      <c r="G13" s="58"/>
      <c r="H13" s="54"/>
      <c r="I13" s="54"/>
    </row>
    <row r="14" spans="1:11" s="59" customFormat="1" ht="15.75" thickBot="1" x14ac:dyDescent="0.3">
      <c r="A14" s="217" t="s">
        <v>381</v>
      </c>
      <c r="B14" s="218"/>
      <c r="C14" s="218"/>
      <c r="D14" s="219"/>
      <c r="E14" s="62"/>
      <c r="F14" s="62"/>
      <c r="G14" s="232">
        <f>'[1]Труда 14 дробь 2'!$G$38</f>
        <v>25334.608500000024</v>
      </c>
      <c r="H14" s="54"/>
      <c r="I14" s="54"/>
    </row>
    <row r="15" spans="1:11" s="51" customFormat="1" ht="6.75" customHeight="1" x14ac:dyDescent="0.2"/>
    <row r="16" spans="1:11" s="66" customFormat="1" ht="38.25" x14ac:dyDescent="0.25">
      <c r="A16" s="64" t="s">
        <v>11</v>
      </c>
      <c r="B16" s="64" t="s">
        <v>12</v>
      </c>
      <c r="C16" s="64" t="s">
        <v>61</v>
      </c>
      <c r="D16" s="64" t="s">
        <v>432</v>
      </c>
      <c r="E16" s="64" t="s">
        <v>433</v>
      </c>
      <c r="F16" s="65" t="s">
        <v>434</v>
      </c>
      <c r="G16" s="64" t="s">
        <v>435</v>
      </c>
    </row>
    <row r="17" spans="1:12" s="51" customFormat="1" ht="14.25" x14ac:dyDescent="0.2">
      <c r="A17" s="67" t="s">
        <v>14</v>
      </c>
      <c r="B17" s="39" t="s">
        <v>379</v>
      </c>
      <c r="C17" s="120">
        <v>23.85</v>
      </c>
      <c r="D17" s="68">
        <v>765643.92</v>
      </c>
      <c r="E17" s="68">
        <v>716408.19</v>
      </c>
      <c r="F17" s="68">
        <f>D17</f>
        <v>765643.92</v>
      </c>
      <c r="G17" s="69">
        <f>D17-E17</f>
        <v>49235.730000000098</v>
      </c>
      <c r="H17" s="70">
        <f>C17</f>
        <v>23.85</v>
      </c>
      <c r="I17" s="71"/>
      <c r="K17" s="70"/>
      <c r="L17" s="72"/>
    </row>
    <row r="18" spans="1:12" s="51" customFormat="1" ht="15" hidden="1" outlineLevel="1" x14ac:dyDescent="0.25">
      <c r="A18" s="73" t="s">
        <v>16</v>
      </c>
      <c r="B18" s="34" t="s">
        <v>17</v>
      </c>
      <c r="C18" s="89">
        <v>3.46</v>
      </c>
      <c r="D18" s="75">
        <f>D17*I18</f>
        <v>111074.54772327043</v>
      </c>
      <c r="E18" s="75">
        <f>E17*I18</f>
        <v>103931.75418867923</v>
      </c>
      <c r="F18" s="75">
        <f>D18</f>
        <v>111074.54772327043</v>
      </c>
      <c r="G18" s="76">
        <f>D18-E18</f>
        <v>7142.7935345911974</v>
      </c>
      <c r="H18" s="70">
        <f>C18</f>
        <v>3.46</v>
      </c>
      <c r="I18" s="51">
        <f>H18/H17</f>
        <v>0.14507337526205449</v>
      </c>
    </row>
    <row r="19" spans="1:12" s="51" customFormat="1" ht="15" hidden="1" outlineLevel="1" x14ac:dyDescent="0.25">
      <c r="A19" s="73" t="s">
        <v>18</v>
      </c>
      <c r="B19" s="34" t="s">
        <v>19</v>
      </c>
      <c r="C19" s="89">
        <v>1.69</v>
      </c>
      <c r="D19" s="75">
        <f>D17*I19</f>
        <v>54253.175044025149</v>
      </c>
      <c r="E19" s="75">
        <f>E17*I19</f>
        <v>50764.353924528288</v>
      </c>
      <c r="F19" s="75">
        <f>D19</f>
        <v>54253.175044025149</v>
      </c>
      <c r="G19" s="76">
        <f>D19-E19</f>
        <v>3488.8211194968608</v>
      </c>
      <c r="H19" s="70">
        <f>C19</f>
        <v>1.69</v>
      </c>
      <c r="I19" s="51">
        <f>H19/H17</f>
        <v>7.0859538784067075E-2</v>
      </c>
    </row>
    <row r="20" spans="1:12" s="51" customFormat="1" ht="15" hidden="1" outlineLevel="1" x14ac:dyDescent="0.25">
      <c r="A20" s="73" t="s">
        <v>20</v>
      </c>
      <c r="B20" s="34" t="s">
        <v>21</v>
      </c>
      <c r="C20" s="89">
        <v>2.15</v>
      </c>
      <c r="D20" s="75">
        <f>D17*I20</f>
        <v>69020.311446540873</v>
      </c>
      <c r="E20" s="75">
        <f>E17*I20</f>
        <v>64581.870377358478</v>
      </c>
      <c r="F20" s="75">
        <f>D20</f>
        <v>69020.311446540873</v>
      </c>
      <c r="G20" s="76">
        <f>D20-E20</f>
        <v>4438.4410691823941</v>
      </c>
      <c r="H20" s="70">
        <f>C20</f>
        <v>2.15</v>
      </c>
      <c r="I20" s="51">
        <f>H20/H17</f>
        <v>9.0146750524109004E-2</v>
      </c>
    </row>
    <row r="21" spans="1:12" s="51" customFormat="1" ht="15" hidden="1" outlineLevel="1" x14ac:dyDescent="0.25">
      <c r="A21" s="73" t="s">
        <v>22</v>
      </c>
      <c r="B21" s="34" t="s">
        <v>23</v>
      </c>
      <c r="C21" s="89">
        <v>3.04</v>
      </c>
      <c r="D21" s="75">
        <f>D17*I21</f>
        <v>97591.510138364771</v>
      </c>
      <c r="E21" s="75">
        <f>E17*I21</f>
        <v>91315.760905660369</v>
      </c>
      <c r="F21" s="75">
        <f>D21</f>
        <v>97591.510138364771</v>
      </c>
      <c r="G21" s="76">
        <f>D21-E21</f>
        <v>6275.7492327044019</v>
      </c>
      <c r="H21" s="70">
        <f>C21</f>
        <v>3.04</v>
      </c>
      <c r="I21" s="51">
        <f>H21/H17</f>
        <v>0.12746331236897274</v>
      </c>
    </row>
    <row r="22" spans="1:12" s="81" customFormat="1" ht="14.25" collapsed="1" x14ac:dyDescent="0.2">
      <c r="A22" s="78" t="s">
        <v>25</v>
      </c>
      <c r="B22" s="78" t="s">
        <v>145</v>
      </c>
      <c r="C22" s="46">
        <v>135</v>
      </c>
      <c r="D22" s="79">
        <v>0</v>
      </c>
      <c r="E22" s="79">
        <v>1375.4</v>
      </c>
      <c r="F22" s="79">
        <v>0</v>
      </c>
      <c r="G22" s="69">
        <f t="shared" ref="G22:G33" si="0">D22-E22</f>
        <v>-1375.4</v>
      </c>
      <c r="H22" s="80"/>
      <c r="I22" s="80"/>
    </row>
    <row r="23" spans="1:12" s="81" customFormat="1" ht="14.25" x14ac:dyDescent="0.2">
      <c r="A23" s="78" t="s">
        <v>27</v>
      </c>
      <c r="B23" s="78" t="s">
        <v>62</v>
      </c>
      <c r="C23" s="87">
        <v>0</v>
      </c>
      <c r="D23" s="79">
        <v>0</v>
      </c>
      <c r="E23" s="79">
        <v>0</v>
      </c>
      <c r="F23" s="79">
        <f>D23</f>
        <v>0</v>
      </c>
      <c r="G23" s="69">
        <f t="shared" si="0"/>
        <v>0</v>
      </c>
      <c r="H23" s="80"/>
      <c r="I23" s="80"/>
    </row>
    <row r="24" spans="1:12" s="81" customFormat="1" ht="14.25" x14ac:dyDescent="0.2">
      <c r="A24" s="78" t="s">
        <v>29</v>
      </c>
      <c r="B24" s="78" t="s">
        <v>30</v>
      </c>
      <c r="C24" s="126">
        <v>0</v>
      </c>
      <c r="D24" s="79">
        <v>0</v>
      </c>
      <c r="E24" s="79">
        <v>0</v>
      </c>
      <c r="F24" s="79">
        <v>0</v>
      </c>
      <c r="G24" s="69">
        <f t="shared" si="0"/>
        <v>0</v>
      </c>
      <c r="H24" s="80"/>
      <c r="I24" s="80"/>
    </row>
    <row r="25" spans="1:12" s="81" customFormat="1" ht="14.25" x14ac:dyDescent="0.2">
      <c r="A25" s="78" t="s">
        <v>31</v>
      </c>
      <c r="B25" s="78" t="s">
        <v>80</v>
      </c>
      <c r="C25" s="79">
        <v>2.36</v>
      </c>
      <c r="D25" s="79">
        <f>75761.76+D26</f>
        <v>77848.12999999999</v>
      </c>
      <c r="E25" s="79">
        <f>72380.67+E26</f>
        <v>74467.039999999994</v>
      </c>
      <c r="F25" s="79">
        <f>F45</f>
        <v>744.67039999999997</v>
      </c>
      <c r="G25" s="69">
        <f t="shared" si="0"/>
        <v>3381.0899999999965</v>
      </c>
      <c r="H25" s="80"/>
      <c r="I25" s="80"/>
    </row>
    <row r="26" spans="1:12" s="81" customFormat="1" ht="14.25" x14ac:dyDescent="0.2">
      <c r="A26" s="78"/>
      <c r="B26" s="292" t="s">
        <v>244</v>
      </c>
      <c r="C26" s="293"/>
      <c r="D26" s="294">
        <v>2086.37</v>
      </c>
      <c r="E26" s="294">
        <f>2086.37</f>
        <v>2086.37</v>
      </c>
      <c r="F26" s="294"/>
      <c r="G26" s="248">
        <f>D26-E26</f>
        <v>0</v>
      </c>
      <c r="H26" s="80"/>
      <c r="I26" s="80"/>
    </row>
    <row r="27" spans="1:12" ht="14.25" x14ac:dyDescent="0.2">
      <c r="A27" s="39" t="s">
        <v>33</v>
      </c>
      <c r="B27" s="39" t="s">
        <v>97</v>
      </c>
      <c r="C27" s="82">
        <v>0</v>
      </c>
      <c r="D27" s="69">
        <v>0</v>
      </c>
      <c r="E27" s="69">
        <v>0</v>
      </c>
      <c r="F27" s="79">
        <v>0</v>
      </c>
      <c r="G27" s="69">
        <f t="shared" si="0"/>
        <v>0</v>
      </c>
      <c r="H27" s="88"/>
      <c r="I27" s="88"/>
    </row>
    <row r="28" spans="1:12" ht="14.25" x14ac:dyDescent="0.2">
      <c r="A28" s="39" t="s">
        <v>35</v>
      </c>
      <c r="B28" s="39" t="s">
        <v>36</v>
      </c>
      <c r="C28" s="69"/>
      <c r="D28" s="69">
        <f>SUM(D29:D32)</f>
        <v>2166575.0300000003</v>
      </c>
      <c r="E28" s="69">
        <f>SUM(E29:E32)</f>
        <v>1970989.67</v>
      </c>
      <c r="F28" s="69">
        <f>SUM(F29:F32)</f>
        <v>2166575.0300000003</v>
      </c>
      <c r="G28" s="69">
        <f t="shared" si="0"/>
        <v>195585.36000000034</v>
      </c>
      <c r="H28" s="88"/>
      <c r="I28" s="88"/>
    </row>
    <row r="29" spans="1:12" ht="15" x14ac:dyDescent="0.25">
      <c r="A29" s="34" t="s">
        <v>37</v>
      </c>
      <c r="B29" s="34" t="s">
        <v>101</v>
      </c>
      <c r="C29" s="89">
        <v>7.36</v>
      </c>
      <c r="D29" s="76">
        <v>36297.300000000003</v>
      </c>
      <c r="E29" s="76">
        <v>33215.19</v>
      </c>
      <c r="F29" s="76">
        <f>D29</f>
        <v>36297.300000000003</v>
      </c>
      <c r="G29" s="76">
        <f t="shared" si="0"/>
        <v>3082.1100000000006</v>
      </c>
    </row>
    <row r="30" spans="1:12" ht="15" x14ac:dyDescent="0.25">
      <c r="A30" s="34" t="s">
        <v>39</v>
      </c>
      <c r="B30" s="34" t="s">
        <v>84</v>
      </c>
      <c r="C30" s="89">
        <v>88.38</v>
      </c>
      <c r="D30" s="76">
        <v>536429.31000000006</v>
      </c>
      <c r="E30" s="76">
        <v>478943.5</v>
      </c>
      <c r="F30" s="76">
        <f>D30</f>
        <v>536429.31000000006</v>
      </c>
      <c r="G30" s="76">
        <f t="shared" si="0"/>
        <v>57485.810000000056</v>
      </c>
    </row>
    <row r="31" spans="1:12" ht="15" x14ac:dyDescent="0.25">
      <c r="A31" s="34" t="s">
        <v>42</v>
      </c>
      <c r="B31" s="34" t="s">
        <v>135</v>
      </c>
      <c r="C31" s="128">
        <v>278.94</v>
      </c>
      <c r="D31" s="76">
        <v>535452.71</v>
      </c>
      <c r="E31" s="76">
        <v>471420.92</v>
      </c>
      <c r="F31" s="76">
        <f>D31</f>
        <v>535452.71</v>
      </c>
      <c r="G31" s="76">
        <f t="shared" si="0"/>
        <v>64031.789999999979</v>
      </c>
    </row>
    <row r="32" spans="1:12" ht="15" x14ac:dyDescent="0.25">
      <c r="A32" s="34" t="s">
        <v>41</v>
      </c>
      <c r="B32" s="34" t="s">
        <v>43</v>
      </c>
      <c r="C32" s="89">
        <v>3352.42</v>
      </c>
      <c r="D32" s="76">
        <v>1058395.71</v>
      </c>
      <c r="E32" s="76">
        <v>987410.06</v>
      </c>
      <c r="F32" s="76">
        <f>D32</f>
        <v>1058395.71</v>
      </c>
      <c r="G32" s="76">
        <f t="shared" si="0"/>
        <v>70985.649999999907</v>
      </c>
    </row>
    <row r="33" spans="1:11" ht="14.25" hidden="1" outlineLevel="1" x14ac:dyDescent="0.2">
      <c r="A33" s="39" t="s">
        <v>112</v>
      </c>
      <c r="B33" s="300" t="s">
        <v>140</v>
      </c>
      <c r="C33" s="298"/>
      <c r="D33" s="248">
        <v>1000</v>
      </c>
      <c r="E33" s="248">
        <v>0</v>
      </c>
      <c r="F33" s="248">
        <v>0</v>
      </c>
      <c r="G33" s="248">
        <f t="shared" si="0"/>
        <v>1000</v>
      </c>
    </row>
    <row r="34" spans="1:11" s="92" customFormat="1" ht="16.5" hidden="1" customHeight="1" outlineLevel="1" x14ac:dyDescent="0.25">
      <c r="A34" s="90"/>
      <c r="B34" s="301"/>
      <c r="C34" s="376" t="s">
        <v>246</v>
      </c>
      <c r="D34" s="377"/>
      <c r="E34" s="377"/>
      <c r="F34" s="377"/>
      <c r="G34" s="82">
        <f>E33-(E33*15%)</f>
        <v>0</v>
      </c>
      <c r="H34" s="91"/>
      <c r="I34" s="91"/>
    </row>
    <row r="35" spans="1:11" s="92" customFormat="1" ht="15.75" customHeight="1" collapsed="1" thickBot="1" x14ac:dyDescent="0.3">
      <c r="A35" s="373"/>
      <c r="B35" s="374"/>
      <c r="C35" s="374"/>
      <c r="D35" s="375"/>
      <c r="E35" s="375"/>
      <c r="F35" s="375"/>
      <c r="G35" s="91"/>
      <c r="H35" s="91"/>
      <c r="I35" s="91"/>
    </row>
    <row r="36" spans="1:11" s="59" customFormat="1" ht="15.75" thickBot="1" x14ac:dyDescent="0.3">
      <c r="A36" s="387" t="s">
        <v>427</v>
      </c>
      <c r="B36" s="388"/>
      <c r="C36" s="388"/>
      <c r="D36" s="57">
        <v>246826.78</v>
      </c>
      <c r="E36" s="58"/>
      <c r="F36" s="58"/>
      <c r="G36" s="58"/>
      <c r="H36" s="54"/>
      <c r="I36" s="54"/>
    </row>
    <row r="37" spans="1:11" s="59" customFormat="1" ht="6" customHeight="1" thickBot="1" x14ac:dyDescent="0.3">
      <c r="A37" s="60"/>
      <c r="B37" s="60"/>
      <c r="C37" s="60"/>
      <c r="D37" s="38"/>
      <c r="E37" s="58"/>
      <c r="F37" s="58"/>
      <c r="G37" s="58"/>
      <c r="H37" s="54"/>
      <c r="I37" s="54"/>
    </row>
    <row r="38" spans="1:11" s="59" customFormat="1" ht="15.75" thickBot="1" x14ac:dyDescent="0.3">
      <c r="A38" s="55" t="s">
        <v>558</v>
      </c>
      <c r="B38" s="56"/>
      <c r="C38" s="56"/>
      <c r="D38" s="61"/>
      <c r="E38" s="62"/>
      <c r="F38" s="62"/>
      <c r="G38" s="129">
        <f>G14+E25-F25</f>
        <v>99056.978100000008</v>
      </c>
      <c r="H38" s="54"/>
      <c r="I38" s="54"/>
      <c r="J38" s="130"/>
    </row>
    <row r="39" spans="1:11" s="59" customFormat="1" ht="15" x14ac:dyDescent="0.25">
      <c r="A39" s="514" t="s">
        <v>134</v>
      </c>
      <c r="B39" s="515"/>
      <c r="C39" s="93"/>
      <c r="D39" s="93"/>
      <c r="E39" s="91"/>
      <c r="F39" s="91"/>
      <c r="G39" s="38"/>
      <c r="H39" s="54"/>
      <c r="I39" s="54"/>
      <c r="J39" s="130"/>
    </row>
    <row r="40" spans="1:11" s="59" customFormat="1" ht="15" x14ac:dyDescent="0.25">
      <c r="A40" s="393" t="s">
        <v>91</v>
      </c>
      <c r="B40" s="394"/>
      <c r="C40" s="41" t="s">
        <v>92</v>
      </c>
      <c r="D40" s="41" t="s">
        <v>93</v>
      </c>
      <c r="E40" s="42" t="s">
        <v>94</v>
      </c>
      <c r="F40" s="40" t="s">
        <v>95</v>
      </c>
      <c r="G40" s="42" t="s">
        <v>96</v>
      </c>
      <c r="H40" s="54">
        <f>7.3+2.06</f>
        <v>9.36</v>
      </c>
      <c r="I40" s="54">
        <f>H40*C41*3</f>
        <v>2369.9520000000002</v>
      </c>
      <c r="J40" s="130"/>
    </row>
    <row r="41" spans="1:11" s="59" customFormat="1" ht="15" x14ac:dyDescent="0.25">
      <c r="A41" s="395"/>
      <c r="B41" s="396"/>
      <c r="C41" s="342">
        <v>84.4</v>
      </c>
      <c r="D41" s="138">
        <f>E41/C41/12</f>
        <v>26.209952606635067</v>
      </c>
      <c r="E41" s="358">
        <f>26545.44</f>
        <v>26545.439999999999</v>
      </c>
      <c r="F41" s="358">
        <f>26545.08</f>
        <v>26545.08</v>
      </c>
      <c r="G41" s="138">
        <f>E41-F41</f>
        <v>0.3599999999969441</v>
      </c>
      <c r="H41" s="91">
        <f>C17+C25</f>
        <v>26.21</v>
      </c>
      <c r="I41" s="91">
        <f>H41*C41*3</f>
        <v>6636.3720000000012</v>
      </c>
      <c r="J41" s="59">
        <f>4739.88+13272.72</f>
        <v>18012.599999999999</v>
      </c>
      <c r="K41" s="59">
        <f>7110.12+6636.36</f>
        <v>13746.48</v>
      </c>
    </row>
    <row r="42" spans="1:11" s="92" customFormat="1" ht="29.25" customHeight="1" x14ac:dyDescent="0.25">
      <c r="A42" s="371" t="s">
        <v>44</v>
      </c>
      <c r="B42" s="422"/>
      <c r="C42" s="422"/>
      <c r="D42" s="422"/>
      <c r="E42" s="422"/>
      <c r="F42" s="422"/>
      <c r="G42" s="422"/>
      <c r="H42" s="50"/>
      <c r="I42" s="50"/>
    </row>
    <row r="43" spans="1:11" x14ac:dyDescent="0.2">
      <c r="J43" s="193"/>
    </row>
    <row r="44" spans="1:11" ht="28.5" x14ac:dyDescent="0.2">
      <c r="A44" s="94" t="s">
        <v>11</v>
      </c>
      <c r="B44" s="416" t="s">
        <v>45</v>
      </c>
      <c r="C44" s="425"/>
      <c r="D44" s="94" t="s">
        <v>99</v>
      </c>
      <c r="E44" s="94" t="s">
        <v>98</v>
      </c>
      <c r="F44" s="550" t="s">
        <v>46</v>
      </c>
      <c r="G44" s="550"/>
      <c r="H44" s="95"/>
      <c r="I44" s="96"/>
    </row>
    <row r="45" spans="1:11" s="66" customFormat="1" ht="15" x14ac:dyDescent="0.25">
      <c r="A45" s="98" t="s">
        <v>47</v>
      </c>
      <c r="B45" s="418" t="s">
        <v>75</v>
      </c>
      <c r="C45" s="430"/>
      <c r="D45" s="99"/>
      <c r="E45" s="99"/>
      <c r="F45" s="548">
        <f>SUM(F46:G48)</f>
        <v>744.67039999999997</v>
      </c>
      <c r="G45" s="549"/>
      <c r="H45" s="101"/>
      <c r="I45" s="102"/>
      <c r="J45" s="97"/>
    </row>
    <row r="46" spans="1:11" s="103" customFormat="1" ht="15" customHeight="1" x14ac:dyDescent="0.25">
      <c r="A46" s="34" t="s">
        <v>16</v>
      </c>
      <c r="B46" s="412"/>
      <c r="C46" s="413"/>
      <c r="D46" s="260"/>
      <c r="E46" s="260"/>
      <c r="F46" s="463"/>
      <c r="G46" s="463"/>
      <c r="H46" s="38"/>
      <c r="I46" s="38"/>
      <c r="J46" s="104"/>
    </row>
    <row r="47" spans="1:11" s="103" customFormat="1" ht="15" customHeight="1" x14ac:dyDescent="0.25">
      <c r="A47" s="34" t="s">
        <v>18</v>
      </c>
      <c r="B47" s="412"/>
      <c r="C47" s="517"/>
      <c r="D47" s="258"/>
      <c r="E47" s="263"/>
      <c r="F47" s="463"/>
      <c r="G47" s="463"/>
      <c r="H47" s="38"/>
      <c r="I47" s="38"/>
      <c r="J47" s="104"/>
    </row>
    <row r="48" spans="1:11" ht="15.75" customHeight="1" x14ac:dyDescent="0.25">
      <c r="A48" s="34" t="s">
        <v>20</v>
      </c>
      <c r="B48" s="458" t="s">
        <v>108</v>
      </c>
      <c r="C48" s="459"/>
      <c r="D48" s="108"/>
      <c r="E48" s="108"/>
      <c r="F48" s="435">
        <f>E25*1%</f>
        <v>744.67039999999997</v>
      </c>
      <c r="G48" s="435"/>
      <c r="H48" s="51"/>
      <c r="I48" s="51"/>
      <c r="J48" s="106"/>
    </row>
    <row r="49" spans="1:9" ht="7.5" customHeight="1" x14ac:dyDescent="0.2">
      <c r="A49" s="51"/>
      <c r="B49" s="51"/>
      <c r="C49" s="51"/>
      <c r="D49" s="51"/>
      <c r="E49" s="51"/>
      <c r="F49" s="51"/>
      <c r="G49" s="51"/>
      <c r="H49" s="51"/>
      <c r="I49" s="51"/>
    </row>
    <row r="50" spans="1:9" s="51" customFormat="1" ht="15" x14ac:dyDescent="0.25">
      <c r="A50" s="51" t="s">
        <v>372</v>
      </c>
      <c r="B50" s="59"/>
      <c r="C50" s="110" t="s">
        <v>49</v>
      </c>
      <c r="D50" s="59"/>
      <c r="E50" s="59"/>
      <c r="F50" s="59" t="s">
        <v>60</v>
      </c>
      <c r="G50" s="59"/>
      <c r="H50" s="59"/>
      <c r="I50" s="59"/>
    </row>
    <row r="51" spans="1:9" s="51" customFormat="1" ht="15" x14ac:dyDescent="0.25">
      <c r="A51" s="59"/>
      <c r="B51" s="59"/>
      <c r="C51" s="110"/>
      <c r="D51" s="59"/>
      <c r="E51" s="59"/>
      <c r="F51" s="111" t="s">
        <v>438</v>
      </c>
      <c r="G51" s="59"/>
    </row>
    <row r="52" spans="1:9" s="59" customFormat="1" ht="15" x14ac:dyDescent="0.25">
      <c r="A52" s="59" t="s">
        <v>50</v>
      </c>
      <c r="C52" s="110"/>
      <c r="H52" s="141"/>
      <c r="I52" s="141"/>
    </row>
    <row r="53" spans="1:9" s="51" customFormat="1" ht="15" x14ac:dyDescent="0.25">
      <c r="A53" s="59"/>
      <c r="B53" s="59"/>
      <c r="C53" s="112" t="s">
        <v>51</v>
      </c>
      <c r="D53" s="59"/>
      <c r="E53" s="113"/>
      <c r="F53" s="113"/>
      <c r="G53" s="113"/>
    </row>
    <row r="54" spans="1:9" s="51" customFormat="1" x14ac:dyDescent="0.2"/>
    <row r="55" spans="1:9" s="51" customFormat="1" x14ac:dyDescent="0.2"/>
  </sheetData>
  <mergeCells count="23">
    <mergeCell ref="B48:C48"/>
    <mergeCell ref="F48:G48"/>
    <mergeCell ref="B47:C47"/>
    <mergeCell ref="F47:G47"/>
    <mergeCell ref="F45:G45"/>
    <mergeCell ref="B44:C44"/>
    <mergeCell ref="C34:F34"/>
    <mergeCell ref="A12:I12"/>
    <mergeCell ref="A36:C36"/>
    <mergeCell ref="A35:F35"/>
    <mergeCell ref="B45:C45"/>
    <mergeCell ref="A39:B39"/>
    <mergeCell ref="A42:G42"/>
    <mergeCell ref="A1:I1"/>
    <mergeCell ref="A5:I5"/>
    <mergeCell ref="A10:I10"/>
    <mergeCell ref="A2:K2"/>
    <mergeCell ref="A3:K3"/>
    <mergeCell ref="F46:G46"/>
    <mergeCell ref="B46:C46"/>
    <mergeCell ref="A40:B41"/>
    <mergeCell ref="A11:I11"/>
    <mergeCell ref="F44:G44"/>
  </mergeCells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42CB99-E31A-4D19-977C-13387D5A73AB}">
  <sheetPr>
    <tabColor rgb="FF7030A0"/>
  </sheetPr>
  <dimension ref="A1:P54"/>
  <sheetViews>
    <sheetView topLeftCell="A40" workbookViewId="0">
      <selection activeCell="A56" sqref="A56:IV57"/>
    </sheetView>
  </sheetViews>
  <sheetFormatPr defaultRowHeight="12.75" outlineLevelRow="1" outlineLevelCol="1" x14ac:dyDescent="0.2"/>
  <cols>
    <col min="1" max="1" width="5.42578125" style="49" customWidth="1"/>
    <col min="2" max="2" width="48.5703125" style="49" customWidth="1"/>
    <col min="3" max="3" width="15.42578125" style="49" customWidth="1"/>
    <col min="4" max="4" width="14.85546875" style="49" customWidth="1"/>
    <col min="5" max="5" width="13.5703125" style="49" customWidth="1"/>
    <col min="6" max="6" width="13" style="49" customWidth="1"/>
    <col min="7" max="7" width="14.5703125" style="49" customWidth="1"/>
    <col min="8" max="9" width="11.5703125" style="49" hidden="1" customWidth="1" outlineLevel="1"/>
    <col min="10" max="10" width="10.140625" style="49" hidden="1" customWidth="1" outlineLevel="1"/>
    <col min="11" max="11" width="10.42578125" style="49" hidden="1" customWidth="1" outlineLevel="1"/>
    <col min="12" max="13" width="9.140625" style="49" hidden="1" customWidth="1" outlineLevel="1"/>
    <col min="14" max="14" width="10.7109375" style="49" bestFit="1" customWidth="1" collapsed="1"/>
    <col min="15" max="15" width="10" style="49" bestFit="1" customWidth="1"/>
    <col min="16" max="16" width="15.85546875" style="49" customWidth="1"/>
    <col min="17" max="16384" width="9.140625" style="49"/>
  </cols>
  <sheetData>
    <row r="1" spans="1:16" x14ac:dyDescent="0.2">
      <c r="A1" s="370" t="s">
        <v>0</v>
      </c>
      <c r="B1" s="370"/>
      <c r="C1" s="370"/>
      <c r="D1" s="370"/>
      <c r="E1" s="370"/>
      <c r="F1" s="370"/>
      <c r="G1" s="370"/>
      <c r="H1" s="370"/>
      <c r="I1" s="370"/>
      <c r="J1" s="370"/>
      <c r="K1" s="370"/>
    </row>
    <row r="2" spans="1:16" ht="12.75" customHeight="1" x14ac:dyDescent="0.2">
      <c r="A2" s="370" t="s">
        <v>279</v>
      </c>
      <c r="B2" s="370"/>
      <c r="C2" s="370"/>
      <c r="D2" s="370"/>
      <c r="E2" s="370"/>
      <c r="F2" s="370"/>
      <c r="G2" s="370"/>
      <c r="H2" s="370"/>
      <c r="I2" s="370"/>
      <c r="J2" s="370"/>
      <c r="K2" s="370"/>
    </row>
    <row r="3" spans="1:16" ht="13.5" customHeight="1" x14ac:dyDescent="0.2">
      <c r="A3" s="370" t="s">
        <v>426</v>
      </c>
      <c r="B3" s="370"/>
      <c r="C3" s="370"/>
      <c r="D3" s="370"/>
      <c r="E3" s="370"/>
      <c r="F3" s="370"/>
      <c r="G3" s="370"/>
      <c r="H3" s="370"/>
      <c r="I3" s="370"/>
      <c r="J3" s="370"/>
      <c r="K3" s="370"/>
    </row>
    <row r="4" spans="1:16" ht="9" customHeight="1" x14ac:dyDescent="0.2">
      <c r="A4" s="48"/>
      <c r="B4" s="48"/>
      <c r="C4" s="48"/>
      <c r="D4" s="48"/>
      <c r="E4" s="48"/>
      <c r="F4" s="48"/>
      <c r="G4" s="48"/>
      <c r="H4" s="48"/>
      <c r="I4" s="48"/>
      <c r="J4" s="48"/>
      <c r="K4" s="48"/>
    </row>
    <row r="5" spans="1:16" ht="16.5" customHeight="1" x14ac:dyDescent="0.2">
      <c r="A5" s="371" t="s">
        <v>1</v>
      </c>
      <c r="B5" s="370"/>
      <c r="C5" s="370"/>
      <c r="D5" s="370"/>
      <c r="E5" s="370"/>
      <c r="F5" s="370"/>
      <c r="G5" s="370"/>
      <c r="H5" s="370"/>
      <c r="I5" s="370"/>
      <c r="J5" s="370"/>
      <c r="K5" s="370"/>
    </row>
    <row r="7" spans="1:16" s="51" customFormat="1" ht="16.5" customHeight="1" x14ac:dyDescent="0.2">
      <c r="A7" s="51" t="s">
        <v>2</v>
      </c>
      <c r="F7" s="52" t="s">
        <v>304</v>
      </c>
      <c r="H7" s="52"/>
      <c r="L7" s="214"/>
    </row>
    <row r="8" spans="1:16" s="51" customFormat="1" x14ac:dyDescent="0.2">
      <c r="A8" s="51" t="s">
        <v>3</v>
      </c>
      <c r="F8" s="242" t="s">
        <v>305</v>
      </c>
      <c r="H8" s="52"/>
    </row>
    <row r="9" spans="1:16" s="51" customFormat="1" x14ac:dyDescent="0.2">
      <c r="A9" s="372" t="s">
        <v>8</v>
      </c>
      <c r="B9" s="372"/>
      <c r="C9" s="372"/>
      <c r="D9" s="372"/>
      <c r="E9" s="372"/>
      <c r="F9" s="372"/>
      <c r="G9" s="372"/>
      <c r="H9" s="372"/>
      <c r="I9" s="372"/>
      <c r="J9" s="372"/>
      <c r="K9" s="372"/>
    </row>
    <row r="10" spans="1:16" s="51" customFormat="1" x14ac:dyDescent="0.2">
      <c r="A10" s="372" t="s">
        <v>9</v>
      </c>
      <c r="B10" s="372"/>
      <c r="C10" s="372"/>
      <c r="D10" s="372"/>
      <c r="E10" s="372"/>
      <c r="F10" s="372"/>
      <c r="G10" s="372"/>
      <c r="H10" s="372"/>
      <c r="I10" s="372"/>
      <c r="J10" s="372"/>
      <c r="K10" s="372"/>
    </row>
    <row r="11" spans="1:16" s="51" customFormat="1" x14ac:dyDescent="0.2">
      <c r="A11" s="372" t="s">
        <v>10</v>
      </c>
      <c r="B11" s="372"/>
      <c r="C11" s="372"/>
      <c r="D11" s="372"/>
      <c r="E11" s="372"/>
      <c r="F11" s="372"/>
      <c r="G11" s="372"/>
      <c r="H11" s="372"/>
      <c r="I11" s="372"/>
      <c r="J11" s="372"/>
      <c r="K11" s="372"/>
    </row>
    <row r="12" spans="1:16" s="59" customFormat="1" ht="6" customHeight="1" thickBot="1" x14ac:dyDescent="0.3">
      <c r="A12" s="216"/>
      <c r="B12" s="216"/>
      <c r="C12" s="216"/>
      <c r="D12" s="38"/>
      <c r="E12" s="58"/>
      <c r="F12" s="58"/>
      <c r="G12" s="58"/>
      <c r="H12" s="54"/>
      <c r="I12" s="54"/>
    </row>
    <row r="13" spans="1:16" s="59" customFormat="1" ht="15.75" thickBot="1" x14ac:dyDescent="0.3">
      <c r="A13" s="217" t="s">
        <v>381</v>
      </c>
      <c r="B13" s="218"/>
      <c r="C13" s="218"/>
      <c r="D13" s="219"/>
      <c r="E13" s="62"/>
      <c r="F13" s="62"/>
      <c r="G13" s="57">
        <f>'[1]Труда 28'!$G$37</f>
        <v>-308754.94390000001</v>
      </c>
      <c r="H13" s="54"/>
      <c r="I13" s="54"/>
    </row>
    <row r="14" spans="1:16" s="51" customFormat="1" ht="6.75" customHeight="1" x14ac:dyDescent="0.2"/>
    <row r="15" spans="1:16" s="66" customFormat="1" ht="38.25" x14ac:dyDescent="0.25">
      <c r="A15" s="64" t="s">
        <v>11</v>
      </c>
      <c r="B15" s="64" t="s">
        <v>12</v>
      </c>
      <c r="C15" s="64" t="s">
        <v>61</v>
      </c>
      <c r="D15" s="64" t="s">
        <v>432</v>
      </c>
      <c r="E15" s="64" t="s">
        <v>433</v>
      </c>
      <c r="F15" s="65" t="s">
        <v>434</v>
      </c>
      <c r="G15" s="64" t="s">
        <v>435</v>
      </c>
    </row>
    <row r="16" spans="1:16" s="51" customFormat="1" ht="14.25" x14ac:dyDescent="0.2">
      <c r="A16" s="67" t="s">
        <v>14</v>
      </c>
      <c r="B16" s="39" t="s">
        <v>379</v>
      </c>
      <c r="C16" s="120">
        <v>20.32</v>
      </c>
      <c r="D16" s="68">
        <v>1479743.52</v>
      </c>
      <c r="E16" s="68">
        <v>1414511.46</v>
      </c>
      <c r="F16" s="68">
        <f t="shared" ref="F16:F22" si="0">D16</f>
        <v>1479743.52</v>
      </c>
      <c r="G16" s="69">
        <f>D16-E16</f>
        <v>65232.060000000056</v>
      </c>
      <c r="H16" s="70">
        <f>C16</f>
        <v>20.32</v>
      </c>
      <c r="I16" s="71"/>
      <c r="J16" s="71"/>
      <c r="K16" s="71"/>
      <c r="O16" s="70"/>
      <c r="P16" s="72"/>
    </row>
    <row r="17" spans="1:14" s="51" customFormat="1" ht="15" hidden="1" outlineLevel="1" x14ac:dyDescent="0.25">
      <c r="A17" s="73" t="s">
        <v>16</v>
      </c>
      <c r="B17" s="34" t="s">
        <v>17</v>
      </c>
      <c r="C17" s="89">
        <v>3.46</v>
      </c>
      <c r="D17" s="75">
        <f>D16*I17</f>
        <v>251964.20173228346</v>
      </c>
      <c r="E17" s="75">
        <f>E16*I17</f>
        <v>240856.77419291338</v>
      </c>
      <c r="F17" s="75">
        <f t="shared" si="0"/>
        <v>251964.20173228346</v>
      </c>
      <c r="G17" s="76">
        <f>D17-E17</f>
        <v>11107.427539370081</v>
      </c>
      <c r="H17" s="70">
        <f>C17</f>
        <v>3.46</v>
      </c>
      <c r="I17" s="51">
        <f>H17/H16</f>
        <v>0.17027559055118111</v>
      </c>
    </row>
    <row r="18" spans="1:14" s="51" customFormat="1" ht="15" hidden="1" outlineLevel="1" x14ac:dyDescent="0.25">
      <c r="A18" s="73" t="s">
        <v>18</v>
      </c>
      <c r="B18" s="34" t="s">
        <v>19</v>
      </c>
      <c r="C18" s="89">
        <v>1.69</v>
      </c>
      <c r="D18" s="75">
        <f>D16*I18</f>
        <v>123069.21992125984</v>
      </c>
      <c r="E18" s="75">
        <f>E16*I18</f>
        <v>117643.91571850392</v>
      </c>
      <c r="F18" s="75">
        <f t="shared" si="0"/>
        <v>123069.21992125984</v>
      </c>
      <c r="G18" s="76">
        <f>D18-E18</f>
        <v>5425.3042027559131</v>
      </c>
      <c r="H18" s="70">
        <f>C18</f>
        <v>1.69</v>
      </c>
      <c r="I18" s="51">
        <f>H18/H16</f>
        <v>8.3169291338582668E-2</v>
      </c>
    </row>
    <row r="19" spans="1:14" s="51" customFormat="1" ht="15" hidden="1" outlineLevel="1" x14ac:dyDescent="0.25">
      <c r="A19" s="73" t="s">
        <v>20</v>
      </c>
      <c r="B19" s="34" t="s">
        <v>21</v>
      </c>
      <c r="C19" s="89">
        <v>2.15</v>
      </c>
      <c r="D19" s="75">
        <f>D16*I19</f>
        <v>156567.35078740158</v>
      </c>
      <c r="E19" s="75">
        <f>E16*I19</f>
        <v>149665.33656496063</v>
      </c>
      <c r="F19" s="75">
        <f t="shared" si="0"/>
        <v>156567.35078740158</v>
      </c>
      <c r="G19" s="76">
        <f>D19-E19</f>
        <v>6902.0142224409501</v>
      </c>
      <c r="H19" s="70">
        <f>C19</f>
        <v>2.15</v>
      </c>
      <c r="I19" s="51">
        <f>H19/H16</f>
        <v>0.10580708661417322</v>
      </c>
    </row>
    <row r="20" spans="1:14" s="51" customFormat="1" ht="15" hidden="1" outlineLevel="1" x14ac:dyDescent="0.25">
      <c r="A20" s="73" t="s">
        <v>22</v>
      </c>
      <c r="B20" s="34" t="s">
        <v>23</v>
      </c>
      <c r="C20" s="89">
        <v>3.04</v>
      </c>
      <c r="D20" s="75">
        <f>D16*I20</f>
        <v>221378.95181102364</v>
      </c>
      <c r="E20" s="75">
        <f>E16*I20</f>
        <v>211619.82472440947</v>
      </c>
      <c r="F20" s="75">
        <f t="shared" si="0"/>
        <v>221378.95181102364</v>
      </c>
      <c r="G20" s="76">
        <f>D20-E20</f>
        <v>9759.1270866141713</v>
      </c>
      <c r="H20" s="70">
        <f>C20</f>
        <v>3.04</v>
      </c>
      <c r="I20" s="51">
        <f>H20/H16</f>
        <v>0.14960629921259844</v>
      </c>
    </row>
    <row r="21" spans="1:14" s="81" customFormat="1" ht="25.5" collapsed="1" x14ac:dyDescent="0.2">
      <c r="A21" s="78" t="s">
        <v>25</v>
      </c>
      <c r="B21" s="78" t="s">
        <v>145</v>
      </c>
      <c r="C21" s="46" t="s">
        <v>369</v>
      </c>
      <c r="D21" s="79">
        <v>0</v>
      </c>
      <c r="E21" s="79">
        <v>3180.53</v>
      </c>
      <c r="F21" s="79">
        <f t="shared" si="0"/>
        <v>0</v>
      </c>
      <c r="G21" s="69">
        <f t="shared" ref="G21:G32" si="1">D21-E21</f>
        <v>-3180.53</v>
      </c>
      <c r="H21" s="80"/>
      <c r="I21" s="80"/>
      <c r="J21" s="80"/>
      <c r="K21" s="80"/>
    </row>
    <row r="22" spans="1:14" s="81" customFormat="1" ht="14.25" x14ac:dyDescent="0.2">
      <c r="A22" s="78" t="s">
        <v>27</v>
      </c>
      <c r="B22" s="78" t="s">
        <v>26</v>
      </c>
      <c r="C22" s="87">
        <v>4.3600000000000003</v>
      </c>
      <c r="D22" s="79">
        <v>316016.03999999998</v>
      </c>
      <c r="E22" s="79">
        <v>304596.09999999998</v>
      </c>
      <c r="F22" s="79">
        <f t="shared" si="0"/>
        <v>316016.03999999998</v>
      </c>
      <c r="G22" s="69">
        <f t="shared" si="1"/>
        <v>11419.940000000002</v>
      </c>
      <c r="H22" s="80"/>
      <c r="I22" s="80"/>
      <c r="J22" s="80"/>
      <c r="K22" s="80"/>
    </row>
    <row r="23" spans="1:14" s="81" customFormat="1" ht="14.25" x14ac:dyDescent="0.2">
      <c r="A23" s="78" t="s">
        <v>29</v>
      </c>
      <c r="B23" s="78" t="s">
        <v>30</v>
      </c>
      <c r="C23" s="126">
        <v>0</v>
      </c>
      <c r="D23" s="79">
        <v>0</v>
      </c>
      <c r="E23" s="79">
        <v>12.77</v>
      </c>
      <c r="F23" s="79">
        <v>0</v>
      </c>
      <c r="G23" s="69">
        <f t="shared" si="1"/>
        <v>-12.77</v>
      </c>
      <c r="H23" s="80"/>
      <c r="I23" s="80"/>
      <c r="J23" s="80"/>
      <c r="K23" s="80"/>
    </row>
    <row r="24" spans="1:14" s="81" customFormat="1" ht="14.25" x14ac:dyDescent="0.2">
      <c r="A24" s="78" t="s">
        <v>31</v>
      </c>
      <c r="B24" s="78" t="s">
        <v>80</v>
      </c>
      <c r="C24" s="79">
        <v>2.0099999999999998</v>
      </c>
      <c r="D24" s="79">
        <v>146370.72</v>
      </c>
      <c r="E24" s="79">
        <v>141626.94</v>
      </c>
      <c r="F24" s="79">
        <f>F42</f>
        <v>42425.419399999992</v>
      </c>
      <c r="G24" s="69">
        <f t="shared" si="1"/>
        <v>4743.7799999999988</v>
      </c>
      <c r="H24" s="80"/>
      <c r="I24" s="80"/>
      <c r="J24" s="80"/>
      <c r="K24" s="80"/>
      <c r="N24" s="220"/>
    </row>
    <row r="25" spans="1:14" ht="14.25" x14ac:dyDescent="0.2">
      <c r="A25" s="39" t="s">
        <v>33</v>
      </c>
      <c r="B25" s="39" t="s">
        <v>97</v>
      </c>
      <c r="C25" s="82">
        <v>0</v>
      </c>
      <c r="D25" s="69"/>
      <c r="E25" s="69"/>
      <c r="F25" s="79">
        <f>D25</f>
        <v>0</v>
      </c>
      <c r="G25" s="69">
        <f t="shared" si="1"/>
        <v>0</v>
      </c>
      <c r="H25" s="88"/>
      <c r="I25" s="88"/>
      <c r="J25" s="88"/>
      <c r="K25" s="88"/>
    </row>
    <row r="26" spans="1:14" ht="14.25" x14ac:dyDescent="0.2">
      <c r="A26" s="39" t="s">
        <v>35</v>
      </c>
      <c r="B26" s="39" t="s">
        <v>62</v>
      </c>
      <c r="C26" s="69">
        <v>0</v>
      </c>
      <c r="D26" s="69">
        <v>0</v>
      </c>
      <c r="E26" s="69">
        <v>72.930000000000007</v>
      </c>
      <c r="F26" s="79">
        <f>D26</f>
        <v>0</v>
      </c>
      <c r="G26" s="69">
        <f t="shared" si="1"/>
        <v>-72.930000000000007</v>
      </c>
      <c r="H26" s="88"/>
      <c r="I26" s="88"/>
      <c r="J26" s="88"/>
      <c r="K26" s="88"/>
    </row>
    <row r="27" spans="1:14" ht="14.25" x14ac:dyDescent="0.2">
      <c r="A27" s="39" t="s">
        <v>112</v>
      </c>
      <c r="B27" s="39" t="s">
        <v>36</v>
      </c>
      <c r="C27" s="69"/>
      <c r="D27" s="69">
        <f>SUM(D28:D31)</f>
        <v>5136350.12</v>
      </c>
      <c r="E27" s="69">
        <f>SUM(E28:E31)</f>
        <v>4896595.45</v>
      </c>
      <c r="F27" s="69">
        <f>SUM(F28:F31)</f>
        <v>5136350.12</v>
      </c>
      <c r="G27" s="69">
        <f t="shared" si="1"/>
        <v>239754.66999999993</v>
      </c>
      <c r="H27" s="88"/>
      <c r="I27" s="88"/>
      <c r="J27" s="88"/>
      <c r="K27" s="88"/>
    </row>
    <row r="28" spans="1:14" ht="15" x14ac:dyDescent="0.25">
      <c r="A28" s="34" t="s">
        <v>114</v>
      </c>
      <c r="B28" s="34" t="s">
        <v>101</v>
      </c>
      <c r="C28" s="89">
        <v>7.36</v>
      </c>
      <c r="D28" s="76">
        <v>234533.28</v>
      </c>
      <c r="E28" s="76">
        <v>225158.09</v>
      </c>
      <c r="F28" s="76">
        <f>D28</f>
        <v>234533.28</v>
      </c>
      <c r="G28" s="76">
        <f t="shared" si="1"/>
        <v>9375.1900000000023</v>
      </c>
    </row>
    <row r="29" spans="1:14" ht="15" x14ac:dyDescent="0.25">
      <c r="A29" s="34" t="s">
        <v>115</v>
      </c>
      <c r="B29" s="34" t="s">
        <v>84</v>
      </c>
      <c r="C29" s="89">
        <v>88.38</v>
      </c>
      <c r="D29" s="76">
        <v>908280.43</v>
      </c>
      <c r="E29" s="76">
        <v>812498.14</v>
      </c>
      <c r="F29" s="76">
        <f>D29</f>
        <v>908280.43</v>
      </c>
      <c r="G29" s="76">
        <f t="shared" si="1"/>
        <v>95782.290000000037</v>
      </c>
    </row>
    <row r="30" spans="1:14" ht="15" x14ac:dyDescent="0.25">
      <c r="A30" s="34" t="s">
        <v>116</v>
      </c>
      <c r="B30" s="34" t="s">
        <v>135</v>
      </c>
      <c r="C30" s="128">
        <v>278.94</v>
      </c>
      <c r="D30" s="76">
        <v>1139110.5</v>
      </c>
      <c r="E30" s="76">
        <v>1095824.6200000001</v>
      </c>
      <c r="F30" s="76">
        <f>D30</f>
        <v>1139110.5</v>
      </c>
      <c r="G30" s="76">
        <f t="shared" si="1"/>
        <v>43285.879999999888</v>
      </c>
    </row>
    <row r="31" spans="1:14" ht="15" x14ac:dyDescent="0.25">
      <c r="A31" s="34" t="s">
        <v>117</v>
      </c>
      <c r="B31" s="34" t="s">
        <v>43</v>
      </c>
      <c r="C31" s="89">
        <v>3352.42</v>
      </c>
      <c r="D31" s="76">
        <v>2854425.91</v>
      </c>
      <c r="E31" s="76">
        <v>2763114.6</v>
      </c>
      <c r="F31" s="76">
        <f>D31</f>
        <v>2854425.91</v>
      </c>
      <c r="G31" s="76">
        <f t="shared" si="1"/>
        <v>91311.310000000056</v>
      </c>
    </row>
    <row r="32" spans="1:14" ht="14.25" hidden="1" outlineLevel="1" x14ac:dyDescent="0.2">
      <c r="A32" s="39" t="s">
        <v>112</v>
      </c>
      <c r="B32" s="300" t="s">
        <v>140</v>
      </c>
      <c r="C32" s="298"/>
      <c r="D32" s="248">
        <v>1800</v>
      </c>
      <c r="E32" s="248">
        <v>1800</v>
      </c>
      <c r="F32" s="248">
        <v>0</v>
      </c>
      <c r="G32" s="248">
        <f t="shared" si="1"/>
        <v>0</v>
      </c>
    </row>
    <row r="33" spans="1:14" ht="15" hidden="1" outlineLevel="1" x14ac:dyDescent="0.2">
      <c r="A33" s="90"/>
      <c r="B33" s="301"/>
      <c r="C33" s="376" t="s">
        <v>246</v>
      </c>
      <c r="D33" s="377"/>
      <c r="E33" s="377"/>
      <c r="F33" s="377"/>
      <c r="G33" s="82">
        <f>E32-(E32*15%)</f>
        <v>1530</v>
      </c>
    </row>
    <row r="34" spans="1:14" s="92" customFormat="1" ht="18" customHeight="1" collapsed="1" thickBot="1" x14ac:dyDescent="0.3">
      <c r="A34" s="373"/>
      <c r="B34" s="374"/>
      <c r="C34" s="374"/>
      <c r="D34" s="375"/>
      <c r="E34" s="375"/>
      <c r="F34" s="375"/>
      <c r="G34" s="91"/>
      <c r="H34" s="91"/>
      <c r="I34" s="91"/>
    </row>
    <row r="35" spans="1:14" s="59" customFormat="1" ht="15.75" thickBot="1" x14ac:dyDescent="0.3">
      <c r="A35" s="387" t="s">
        <v>427</v>
      </c>
      <c r="B35" s="388"/>
      <c r="C35" s="388"/>
      <c r="D35" s="57">
        <v>317884.21999999997</v>
      </c>
      <c r="E35" s="58"/>
      <c r="F35" s="58"/>
      <c r="G35" s="58"/>
      <c r="H35" s="54"/>
      <c r="I35" s="54"/>
    </row>
    <row r="36" spans="1:14" s="59" customFormat="1" ht="6" customHeight="1" thickBot="1" x14ac:dyDescent="0.3">
      <c r="A36" s="60"/>
      <c r="B36" s="60"/>
      <c r="C36" s="60"/>
      <c r="D36" s="38"/>
      <c r="E36" s="58"/>
      <c r="F36" s="58"/>
      <c r="G36" s="58"/>
      <c r="H36" s="54"/>
      <c r="I36" s="54"/>
    </row>
    <row r="37" spans="1:14" s="59" customFormat="1" ht="15.75" thickBot="1" x14ac:dyDescent="0.3">
      <c r="A37" s="55" t="s">
        <v>428</v>
      </c>
      <c r="B37" s="56"/>
      <c r="C37" s="56"/>
      <c r="D37" s="61"/>
      <c r="E37" s="62"/>
      <c r="F37" s="62"/>
      <c r="G37" s="129">
        <f>G13+E24-F24</f>
        <v>-209553.42329999999</v>
      </c>
      <c r="H37" s="54"/>
      <c r="I37" s="54"/>
      <c r="N37" s="130"/>
    </row>
    <row r="38" spans="1:14" s="59" customFormat="1" ht="15" x14ac:dyDescent="0.25">
      <c r="A38" s="93"/>
      <c r="B38" s="93"/>
      <c r="C38" s="93"/>
      <c r="D38" s="93"/>
      <c r="E38" s="91"/>
      <c r="F38" s="91"/>
      <c r="G38" s="91"/>
      <c r="H38" s="91"/>
      <c r="I38" s="91"/>
      <c r="J38" s="91"/>
      <c r="K38" s="91"/>
    </row>
    <row r="39" spans="1:14" s="92" customFormat="1" ht="29.25" customHeight="1" x14ac:dyDescent="0.25">
      <c r="A39" s="371" t="s">
        <v>44</v>
      </c>
      <c r="B39" s="371"/>
      <c r="C39" s="371"/>
      <c r="D39" s="371"/>
      <c r="E39" s="371"/>
      <c r="F39" s="371"/>
      <c r="G39" s="371"/>
      <c r="H39" s="371"/>
      <c r="I39" s="371"/>
      <c r="J39" s="371"/>
      <c r="K39" s="371"/>
      <c r="L39" s="91"/>
      <c r="M39" s="91"/>
    </row>
    <row r="41" spans="1:14" ht="28.5" x14ac:dyDescent="0.2">
      <c r="A41" s="94" t="s">
        <v>11</v>
      </c>
      <c r="B41" s="416" t="s">
        <v>45</v>
      </c>
      <c r="C41" s="425"/>
      <c r="D41" s="94" t="s">
        <v>99</v>
      </c>
      <c r="E41" s="94" t="s">
        <v>98</v>
      </c>
      <c r="F41" s="416" t="s">
        <v>46</v>
      </c>
      <c r="G41" s="425"/>
      <c r="H41" s="207"/>
      <c r="I41" s="208"/>
      <c r="J41" s="66"/>
      <c r="K41" s="66"/>
    </row>
    <row r="42" spans="1:14" s="66" customFormat="1" ht="15" x14ac:dyDescent="0.25">
      <c r="A42" s="98" t="s">
        <v>47</v>
      </c>
      <c r="B42" s="418" t="s">
        <v>75</v>
      </c>
      <c r="C42" s="430"/>
      <c r="D42" s="99"/>
      <c r="E42" s="99"/>
      <c r="F42" s="436">
        <f>SUM(F43:G47)</f>
        <v>42425.419399999992</v>
      </c>
      <c r="G42" s="424"/>
      <c r="H42" s="209"/>
      <c r="I42" s="210"/>
      <c r="J42" s="103"/>
      <c r="K42" s="103"/>
      <c r="N42" s="97"/>
    </row>
    <row r="43" spans="1:14" s="103" customFormat="1" ht="16.5" customHeight="1" x14ac:dyDescent="0.25">
      <c r="A43" s="34" t="s">
        <v>16</v>
      </c>
      <c r="B43" s="406" t="s">
        <v>408</v>
      </c>
      <c r="C43" s="407"/>
      <c r="D43" s="176" t="s">
        <v>100</v>
      </c>
      <c r="E43" s="176">
        <v>1</v>
      </c>
      <c r="F43" s="435">
        <v>5652</v>
      </c>
      <c r="G43" s="435"/>
      <c r="H43" s="211"/>
      <c r="I43" s="212"/>
      <c r="J43" s="49"/>
      <c r="K43" s="49"/>
      <c r="N43" s="104"/>
    </row>
    <row r="44" spans="1:14" s="103" customFormat="1" ht="16.5" customHeight="1" x14ac:dyDescent="0.25">
      <c r="A44" s="215" t="s">
        <v>18</v>
      </c>
      <c r="B44" s="406" t="s">
        <v>559</v>
      </c>
      <c r="C44" s="407"/>
      <c r="D44" s="176" t="s">
        <v>137</v>
      </c>
      <c r="E44" s="176">
        <v>0.22</v>
      </c>
      <c r="F44" s="435">
        <v>16945.939999999999</v>
      </c>
      <c r="G44" s="435"/>
      <c r="H44" s="38"/>
      <c r="I44" s="38"/>
      <c r="J44" s="49"/>
      <c r="K44" s="49"/>
      <c r="N44" s="104"/>
    </row>
    <row r="45" spans="1:14" s="103" customFormat="1" ht="16.5" customHeight="1" x14ac:dyDescent="0.25">
      <c r="A45" s="215" t="s">
        <v>20</v>
      </c>
      <c r="B45" s="406" t="s">
        <v>560</v>
      </c>
      <c r="C45" s="407"/>
      <c r="D45" s="176" t="s">
        <v>100</v>
      </c>
      <c r="E45" s="176">
        <v>1</v>
      </c>
      <c r="F45" s="435">
        <v>12644.05</v>
      </c>
      <c r="G45" s="435"/>
      <c r="H45" s="38"/>
      <c r="I45" s="38"/>
      <c r="J45" s="49"/>
      <c r="K45" s="49"/>
      <c r="N45" s="104"/>
    </row>
    <row r="46" spans="1:14" s="103" customFormat="1" ht="24.6" customHeight="1" x14ac:dyDescent="0.25">
      <c r="A46" s="215" t="s">
        <v>22</v>
      </c>
      <c r="B46" s="406" t="s">
        <v>625</v>
      </c>
      <c r="C46" s="407"/>
      <c r="D46" s="176" t="s">
        <v>100</v>
      </c>
      <c r="E46" s="176">
        <v>1</v>
      </c>
      <c r="F46" s="435">
        <v>5767.16</v>
      </c>
      <c r="G46" s="435"/>
      <c r="H46" s="38"/>
      <c r="I46" s="38"/>
      <c r="J46" s="49"/>
      <c r="K46" s="49"/>
      <c r="N46" s="104"/>
    </row>
    <row r="47" spans="1:14" ht="15.75" customHeight="1" x14ac:dyDescent="0.25">
      <c r="A47" s="215" t="s">
        <v>24</v>
      </c>
      <c r="B47" s="458" t="s">
        <v>108</v>
      </c>
      <c r="C47" s="459"/>
      <c r="D47" s="108"/>
      <c r="E47" s="108"/>
      <c r="F47" s="435">
        <f>E24*1%</f>
        <v>1416.2694000000001</v>
      </c>
      <c r="G47" s="435"/>
      <c r="H47" s="51"/>
      <c r="I47" s="51"/>
      <c r="J47" s="51"/>
      <c r="K47" s="51"/>
      <c r="N47" s="106"/>
    </row>
    <row r="48" spans="1:14" ht="7.5" customHeight="1" x14ac:dyDescent="0.2">
      <c r="A48" s="51"/>
      <c r="B48" s="51"/>
      <c r="C48" s="51"/>
      <c r="D48" s="51"/>
      <c r="E48" s="51"/>
      <c r="F48" s="51"/>
      <c r="G48" s="51"/>
      <c r="H48" s="51"/>
      <c r="I48" s="51"/>
      <c r="J48" s="51"/>
      <c r="K48" s="51"/>
    </row>
    <row r="49" spans="1:11" s="51" customFormat="1" ht="15" x14ac:dyDescent="0.25">
      <c r="A49" s="51" t="s">
        <v>372</v>
      </c>
      <c r="B49" s="59"/>
      <c r="C49" s="110" t="s">
        <v>49</v>
      </c>
      <c r="D49" s="59"/>
      <c r="E49" s="59"/>
      <c r="F49" s="59" t="s">
        <v>60</v>
      </c>
      <c r="G49" s="59"/>
      <c r="H49" s="59"/>
      <c r="I49" s="59"/>
      <c r="J49" s="59"/>
      <c r="K49" s="59"/>
    </row>
    <row r="50" spans="1:11" s="51" customFormat="1" ht="15" x14ac:dyDescent="0.25">
      <c r="A50" s="59"/>
      <c r="B50" s="59"/>
      <c r="C50" s="110"/>
      <c r="D50" s="59"/>
      <c r="E50" s="59"/>
      <c r="F50" s="111" t="s">
        <v>438</v>
      </c>
      <c r="G50" s="59"/>
    </row>
    <row r="51" spans="1:11" s="59" customFormat="1" ht="15" x14ac:dyDescent="0.25">
      <c r="A51" s="59" t="s">
        <v>50</v>
      </c>
      <c r="C51" s="110"/>
      <c r="H51" s="141"/>
      <c r="I51" s="141"/>
      <c r="J51" s="141"/>
      <c r="K51" s="51"/>
    </row>
    <row r="52" spans="1:11" s="51" customFormat="1" ht="15" x14ac:dyDescent="0.25">
      <c r="A52" s="59"/>
      <c r="B52" s="59"/>
      <c r="C52" s="112" t="s">
        <v>51</v>
      </c>
      <c r="D52" s="59"/>
      <c r="E52" s="113"/>
      <c r="F52" s="113"/>
      <c r="G52" s="113"/>
    </row>
    <row r="53" spans="1:11" s="51" customFormat="1" x14ac:dyDescent="0.2"/>
    <row r="54" spans="1:11" s="51" customFormat="1" x14ac:dyDescent="0.2"/>
  </sheetData>
  <mergeCells count="25">
    <mergeCell ref="A35:C35"/>
    <mergeCell ref="B47:C47"/>
    <mergeCell ref="F47:G47"/>
    <mergeCell ref="F45:G45"/>
    <mergeCell ref="F46:G46"/>
    <mergeCell ref="B45:C45"/>
    <mergeCell ref="B44:C44"/>
    <mergeCell ref="F44:G44"/>
    <mergeCell ref="B46:C46"/>
    <mergeCell ref="A39:K39"/>
    <mergeCell ref="B41:C41"/>
    <mergeCell ref="F41:G41"/>
    <mergeCell ref="B42:C42"/>
    <mergeCell ref="F42:G42"/>
    <mergeCell ref="B43:C43"/>
    <mergeCell ref="F43:G43"/>
    <mergeCell ref="A34:F34"/>
    <mergeCell ref="A11:K11"/>
    <mergeCell ref="A1:K1"/>
    <mergeCell ref="A2:K2"/>
    <mergeCell ref="A3:K3"/>
    <mergeCell ref="A5:K5"/>
    <mergeCell ref="A9:K9"/>
    <mergeCell ref="A10:K10"/>
    <mergeCell ref="C33:F33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  <drawing r:id="rId2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8C719-E7C8-4458-889E-FA57B75825D7}">
  <sheetPr>
    <tabColor rgb="FF7030A0"/>
  </sheetPr>
  <dimension ref="A1:P52"/>
  <sheetViews>
    <sheetView topLeftCell="A27" workbookViewId="0">
      <selection activeCell="A53" sqref="A53:IV54"/>
    </sheetView>
  </sheetViews>
  <sheetFormatPr defaultRowHeight="12.75" outlineLevelRow="1" outlineLevelCol="1" x14ac:dyDescent="0.2"/>
  <cols>
    <col min="1" max="1" width="5.42578125" style="49" customWidth="1"/>
    <col min="2" max="2" width="48.5703125" style="49" customWidth="1"/>
    <col min="3" max="3" width="15.42578125" style="49" customWidth="1"/>
    <col min="4" max="4" width="14.85546875" style="49" customWidth="1"/>
    <col min="5" max="5" width="13.5703125" style="49" customWidth="1"/>
    <col min="6" max="6" width="13" style="49" customWidth="1"/>
    <col min="7" max="7" width="14.5703125" style="49" customWidth="1"/>
    <col min="8" max="9" width="11.5703125" style="49" hidden="1" customWidth="1" outlineLevel="1"/>
    <col min="10" max="10" width="10.140625" style="49" hidden="1" customWidth="1" outlineLevel="1"/>
    <col min="11" max="11" width="10.42578125" style="49" hidden="1" customWidth="1" outlineLevel="1"/>
    <col min="12" max="13" width="9.140625" style="49" hidden="1" customWidth="1" outlineLevel="1"/>
    <col min="14" max="14" width="10" style="49" bestFit="1" customWidth="1" collapsed="1"/>
    <col min="15" max="15" width="10" style="49" bestFit="1" customWidth="1"/>
    <col min="16" max="16" width="15.85546875" style="49" customWidth="1"/>
    <col min="17" max="16384" width="9.140625" style="49"/>
  </cols>
  <sheetData>
    <row r="1" spans="1:16" x14ac:dyDescent="0.2">
      <c r="A1" s="370" t="s">
        <v>0</v>
      </c>
      <c r="B1" s="370"/>
      <c r="C1" s="370"/>
      <c r="D1" s="370"/>
      <c r="E1" s="370"/>
      <c r="F1" s="370"/>
      <c r="G1" s="370"/>
      <c r="H1" s="370"/>
      <c r="I1" s="370"/>
      <c r="J1" s="370"/>
      <c r="K1" s="370"/>
    </row>
    <row r="2" spans="1:16" ht="12.75" customHeight="1" x14ac:dyDescent="0.2">
      <c r="A2" s="370" t="s">
        <v>279</v>
      </c>
      <c r="B2" s="370"/>
      <c r="C2" s="370"/>
      <c r="D2" s="370"/>
      <c r="E2" s="370"/>
      <c r="F2" s="370"/>
      <c r="G2" s="370"/>
      <c r="H2" s="370"/>
      <c r="I2" s="370"/>
      <c r="J2" s="370"/>
      <c r="K2" s="370"/>
    </row>
    <row r="3" spans="1:16" ht="13.5" customHeight="1" x14ac:dyDescent="0.2">
      <c r="A3" s="370" t="s">
        <v>426</v>
      </c>
      <c r="B3" s="370"/>
      <c r="C3" s="370"/>
      <c r="D3" s="370"/>
      <c r="E3" s="370"/>
      <c r="F3" s="370"/>
      <c r="G3" s="370"/>
      <c r="H3" s="370"/>
      <c r="I3" s="370"/>
      <c r="J3" s="370"/>
      <c r="K3" s="370"/>
    </row>
    <row r="4" spans="1:16" ht="9" customHeight="1" x14ac:dyDescent="0.2">
      <c r="A4" s="48"/>
      <c r="B4" s="48"/>
      <c r="C4" s="48"/>
      <c r="D4" s="48"/>
      <c r="E4" s="48"/>
      <c r="F4" s="48"/>
      <c r="G4" s="48"/>
      <c r="H4" s="48"/>
      <c r="I4" s="48"/>
      <c r="J4" s="48"/>
      <c r="K4" s="48"/>
    </row>
    <row r="5" spans="1:16" ht="16.5" customHeight="1" x14ac:dyDescent="0.2">
      <c r="A5" s="371" t="s">
        <v>1</v>
      </c>
      <c r="B5" s="370"/>
      <c r="C5" s="370"/>
      <c r="D5" s="370"/>
      <c r="E5" s="370"/>
      <c r="F5" s="370"/>
      <c r="G5" s="370"/>
      <c r="H5" s="370"/>
      <c r="I5" s="370"/>
      <c r="J5" s="370"/>
      <c r="K5" s="370"/>
    </row>
    <row r="7" spans="1:16" s="51" customFormat="1" ht="16.5" customHeight="1" x14ac:dyDescent="0.2">
      <c r="A7" s="51" t="s">
        <v>2</v>
      </c>
      <c r="F7" s="52" t="s">
        <v>306</v>
      </c>
      <c r="H7" s="52"/>
      <c r="L7" s="214"/>
    </row>
    <row r="8" spans="1:16" s="51" customFormat="1" x14ac:dyDescent="0.2">
      <c r="A8" s="51" t="s">
        <v>3</v>
      </c>
      <c r="F8" s="242" t="s">
        <v>307</v>
      </c>
      <c r="H8" s="52"/>
    </row>
    <row r="9" spans="1:16" s="51" customFormat="1" x14ac:dyDescent="0.2">
      <c r="A9" s="372" t="s">
        <v>8</v>
      </c>
      <c r="B9" s="372"/>
      <c r="C9" s="372"/>
      <c r="D9" s="372"/>
      <c r="E9" s="372"/>
      <c r="F9" s="372"/>
      <c r="G9" s="372"/>
      <c r="H9" s="372"/>
      <c r="I9" s="372"/>
      <c r="J9" s="372"/>
      <c r="K9" s="372"/>
    </row>
    <row r="10" spans="1:16" s="51" customFormat="1" x14ac:dyDescent="0.2">
      <c r="A10" s="372" t="s">
        <v>9</v>
      </c>
      <c r="B10" s="372"/>
      <c r="C10" s="372"/>
      <c r="D10" s="372"/>
      <c r="E10" s="372"/>
      <c r="F10" s="372"/>
      <c r="G10" s="372"/>
      <c r="H10" s="372"/>
      <c r="I10" s="372"/>
      <c r="J10" s="372"/>
      <c r="K10" s="372"/>
    </row>
    <row r="11" spans="1:16" s="51" customFormat="1" x14ac:dyDescent="0.2">
      <c r="A11" s="372" t="s">
        <v>10</v>
      </c>
      <c r="B11" s="372"/>
      <c r="C11" s="372"/>
      <c r="D11" s="372"/>
      <c r="E11" s="372"/>
      <c r="F11" s="372"/>
      <c r="G11" s="372"/>
      <c r="H11" s="372"/>
      <c r="I11" s="372"/>
      <c r="J11" s="372"/>
      <c r="K11" s="372"/>
    </row>
    <row r="12" spans="1:16" s="59" customFormat="1" ht="6" customHeight="1" thickBot="1" x14ac:dyDescent="0.3">
      <c r="A12" s="60"/>
      <c r="B12" s="60"/>
      <c r="C12" s="60"/>
      <c r="D12" s="38"/>
      <c r="E12" s="58"/>
      <c r="F12" s="58"/>
      <c r="G12" s="58"/>
      <c r="H12" s="54"/>
      <c r="I12" s="54"/>
    </row>
    <row r="13" spans="1:16" s="59" customFormat="1" ht="15.75" thickBot="1" x14ac:dyDescent="0.3">
      <c r="A13" s="217" t="s">
        <v>381</v>
      </c>
      <c r="B13" s="218"/>
      <c r="C13" s="218"/>
      <c r="D13" s="61"/>
      <c r="E13" s="62"/>
      <c r="F13" s="62"/>
      <c r="G13" s="57">
        <f>'[1]Труда 10'!$G$36</f>
        <v>217956.70860000004</v>
      </c>
      <c r="H13" s="54"/>
      <c r="I13" s="54"/>
    </row>
    <row r="14" spans="1:16" s="51" customFormat="1" ht="6.75" customHeight="1" x14ac:dyDescent="0.2"/>
    <row r="15" spans="1:16" s="66" customFormat="1" ht="38.25" x14ac:dyDescent="0.25">
      <c r="A15" s="64" t="s">
        <v>11</v>
      </c>
      <c r="B15" s="64" t="s">
        <v>12</v>
      </c>
      <c r="C15" s="64" t="s">
        <v>61</v>
      </c>
      <c r="D15" s="64" t="s">
        <v>432</v>
      </c>
      <c r="E15" s="64" t="s">
        <v>433</v>
      </c>
      <c r="F15" s="65" t="s">
        <v>434</v>
      </c>
      <c r="G15" s="64" t="s">
        <v>435</v>
      </c>
    </row>
    <row r="16" spans="1:16" s="51" customFormat="1" ht="14.25" x14ac:dyDescent="0.2">
      <c r="A16" s="67" t="s">
        <v>14</v>
      </c>
      <c r="B16" s="39" t="s">
        <v>379</v>
      </c>
      <c r="C16" s="120">
        <v>23.85</v>
      </c>
      <c r="D16" s="68">
        <v>905624.4</v>
      </c>
      <c r="E16" s="68">
        <v>854748.07</v>
      </c>
      <c r="F16" s="68">
        <f t="shared" ref="F16:F22" si="0">D16</f>
        <v>905624.4</v>
      </c>
      <c r="G16" s="69">
        <f>D16-E16</f>
        <v>50876.330000000075</v>
      </c>
      <c r="H16" s="70">
        <f>C16</f>
        <v>23.85</v>
      </c>
      <c r="I16" s="71"/>
      <c r="J16" s="71"/>
      <c r="K16" s="71"/>
      <c r="O16" s="70"/>
      <c r="P16" s="72"/>
    </row>
    <row r="17" spans="1:11" s="51" customFormat="1" ht="15" hidden="1" outlineLevel="1" x14ac:dyDescent="0.25">
      <c r="A17" s="73" t="s">
        <v>16</v>
      </c>
      <c r="B17" s="34" t="s">
        <v>17</v>
      </c>
      <c r="C17" s="89">
        <v>3.46</v>
      </c>
      <c r="D17" s="75">
        <f>D16*I17</f>
        <v>131381.98842767294</v>
      </c>
      <c r="E17" s="75">
        <f>E16*I17</f>
        <v>124001.18751362682</v>
      </c>
      <c r="F17" s="75">
        <f t="shared" si="0"/>
        <v>131381.98842767294</v>
      </c>
      <c r="G17" s="76">
        <f>D17-E17</f>
        <v>7380.8009140461218</v>
      </c>
      <c r="H17" s="70">
        <f>C17</f>
        <v>3.46</v>
      </c>
      <c r="I17" s="51">
        <f>H17/H16</f>
        <v>0.14507337526205449</v>
      </c>
    </row>
    <row r="18" spans="1:11" s="51" customFormat="1" ht="15" hidden="1" outlineLevel="1" x14ac:dyDescent="0.25">
      <c r="A18" s="73" t="s">
        <v>18</v>
      </c>
      <c r="B18" s="34" t="s">
        <v>19</v>
      </c>
      <c r="C18" s="89">
        <v>1.69</v>
      </c>
      <c r="D18" s="75">
        <f>D16*I18</f>
        <v>64172.127295597478</v>
      </c>
      <c r="E18" s="75">
        <f>E16*I18</f>
        <v>60567.054016771479</v>
      </c>
      <c r="F18" s="75">
        <f t="shared" si="0"/>
        <v>64172.127295597478</v>
      </c>
      <c r="G18" s="76">
        <f>D18-E18</f>
        <v>3605.0732788259993</v>
      </c>
      <c r="H18" s="70">
        <f>C18</f>
        <v>1.69</v>
      </c>
      <c r="I18" s="51">
        <f>H18/H16</f>
        <v>7.0859538784067075E-2</v>
      </c>
    </row>
    <row r="19" spans="1:11" s="51" customFormat="1" ht="15" hidden="1" outlineLevel="1" x14ac:dyDescent="0.25">
      <c r="A19" s="73" t="s">
        <v>20</v>
      </c>
      <c r="B19" s="34" t="s">
        <v>21</v>
      </c>
      <c r="C19" s="89">
        <v>2.15</v>
      </c>
      <c r="D19" s="75">
        <f>D16*I19</f>
        <v>81639.09685534591</v>
      </c>
      <c r="E19" s="75">
        <f>E16*I19</f>
        <v>77052.761027253655</v>
      </c>
      <c r="F19" s="75">
        <f t="shared" si="0"/>
        <v>81639.09685534591</v>
      </c>
      <c r="G19" s="76">
        <f>D19-E19</f>
        <v>4586.3358280922548</v>
      </c>
      <c r="H19" s="70">
        <f>C19</f>
        <v>2.15</v>
      </c>
      <c r="I19" s="51">
        <f>H19/H16</f>
        <v>9.0146750524109004E-2</v>
      </c>
    </row>
    <row r="20" spans="1:11" s="51" customFormat="1" ht="15" hidden="1" outlineLevel="1" x14ac:dyDescent="0.25">
      <c r="A20" s="73" t="s">
        <v>22</v>
      </c>
      <c r="B20" s="34" t="s">
        <v>23</v>
      </c>
      <c r="C20" s="89">
        <v>3.04</v>
      </c>
      <c r="D20" s="75">
        <f>D16*I20</f>
        <v>115433.88578616352</v>
      </c>
      <c r="E20" s="75">
        <f>E16*I20</f>
        <v>108949.02024318656</v>
      </c>
      <c r="F20" s="75">
        <f t="shared" si="0"/>
        <v>115433.88578616352</v>
      </c>
      <c r="G20" s="76">
        <f>D20-E20</f>
        <v>6484.8655429769569</v>
      </c>
      <c r="H20" s="70">
        <f>C20</f>
        <v>3.04</v>
      </c>
      <c r="I20" s="51">
        <f>H20/H16</f>
        <v>0.12746331236897274</v>
      </c>
    </row>
    <row r="21" spans="1:11" s="81" customFormat="1" ht="14.25" collapsed="1" x14ac:dyDescent="0.2">
      <c r="A21" s="78" t="s">
        <v>25</v>
      </c>
      <c r="B21" s="78" t="s">
        <v>145</v>
      </c>
      <c r="C21" s="46">
        <v>120</v>
      </c>
      <c r="D21" s="79">
        <v>0</v>
      </c>
      <c r="E21" s="79">
        <v>0.18</v>
      </c>
      <c r="F21" s="79">
        <f t="shared" si="0"/>
        <v>0</v>
      </c>
      <c r="G21" s="69">
        <f t="shared" ref="G21:G31" si="1">D21-E21</f>
        <v>-0.18</v>
      </c>
      <c r="H21" s="80"/>
      <c r="I21" s="80"/>
      <c r="J21" s="80"/>
      <c r="K21" s="80"/>
    </row>
    <row r="22" spans="1:11" s="81" customFormat="1" ht="14.25" x14ac:dyDescent="0.2">
      <c r="A22" s="78" t="s">
        <v>27</v>
      </c>
      <c r="B22" s="78" t="s">
        <v>28</v>
      </c>
      <c r="C22" s="87">
        <v>0</v>
      </c>
      <c r="D22" s="79">
        <v>0</v>
      </c>
      <c r="E22" s="79"/>
      <c r="F22" s="79">
        <f t="shared" si="0"/>
        <v>0</v>
      </c>
      <c r="G22" s="69">
        <f t="shared" si="1"/>
        <v>0</v>
      </c>
      <c r="H22" s="80"/>
      <c r="I22" s="80"/>
      <c r="J22" s="80"/>
      <c r="K22" s="80"/>
    </row>
    <row r="23" spans="1:11" s="81" customFormat="1" ht="14.25" x14ac:dyDescent="0.2">
      <c r="A23" s="78" t="s">
        <v>29</v>
      </c>
      <c r="B23" s="78" t="s">
        <v>30</v>
      </c>
      <c r="C23" s="126">
        <v>0</v>
      </c>
      <c r="D23" s="79">
        <v>0</v>
      </c>
      <c r="E23" s="79">
        <v>0</v>
      </c>
      <c r="F23" s="79">
        <v>0</v>
      </c>
      <c r="G23" s="69">
        <f t="shared" si="1"/>
        <v>0</v>
      </c>
      <c r="H23" s="80"/>
      <c r="I23" s="80"/>
      <c r="J23" s="80"/>
      <c r="K23" s="80"/>
    </row>
    <row r="24" spans="1:11" s="81" customFormat="1" ht="14.25" x14ac:dyDescent="0.2">
      <c r="A24" s="78" t="s">
        <v>31</v>
      </c>
      <c r="B24" s="78" t="s">
        <v>80</v>
      </c>
      <c r="C24" s="79">
        <v>2.36</v>
      </c>
      <c r="D24" s="79">
        <v>89612.64</v>
      </c>
      <c r="E24" s="79">
        <v>84871.27</v>
      </c>
      <c r="F24" s="79">
        <f>F41</f>
        <v>7563.3526999999995</v>
      </c>
      <c r="G24" s="69">
        <f t="shared" si="1"/>
        <v>4741.3699999999953</v>
      </c>
      <c r="H24" s="80"/>
      <c r="I24" s="80"/>
      <c r="J24" s="80"/>
      <c r="K24" s="80"/>
    </row>
    <row r="25" spans="1:11" ht="14.25" x14ac:dyDescent="0.2">
      <c r="A25" s="39" t="s">
        <v>33</v>
      </c>
      <c r="B25" s="39" t="s">
        <v>97</v>
      </c>
      <c r="C25" s="82">
        <v>0</v>
      </c>
      <c r="D25" s="69"/>
      <c r="E25" s="69"/>
      <c r="F25" s="79">
        <f>D25</f>
        <v>0</v>
      </c>
      <c r="G25" s="69">
        <f t="shared" si="1"/>
        <v>0</v>
      </c>
      <c r="H25" s="88"/>
      <c r="I25" s="88"/>
      <c r="J25" s="88"/>
      <c r="K25" s="88"/>
    </row>
    <row r="26" spans="1:11" ht="14.25" x14ac:dyDescent="0.2">
      <c r="A26" s="39" t="s">
        <v>35</v>
      </c>
      <c r="B26" s="39" t="s">
        <v>36</v>
      </c>
      <c r="C26" s="69"/>
      <c r="D26" s="69">
        <f>SUM(D27:D30)</f>
        <v>2512405.7400000002</v>
      </c>
      <c r="E26" s="69">
        <f>SUM(E27:E30)</f>
        <v>2384959.8500000006</v>
      </c>
      <c r="F26" s="69">
        <f>SUM(F27:F30)</f>
        <v>2512405.7400000002</v>
      </c>
      <c r="G26" s="69">
        <f t="shared" si="1"/>
        <v>127445.88999999966</v>
      </c>
      <c r="H26" s="88"/>
      <c r="I26" s="88"/>
      <c r="J26" s="88"/>
      <c r="K26" s="88"/>
    </row>
    <row r="27" spans="1:11" ht="15" x14ac:dyDescent="0.25">
      <c r="A27" s="34" t="s">
        <v>37</v>
      </c>
      <c r="B27" s="34" t="s">
        <v>101</v>
      </c>
      <c r="C27" s="89">
        <v>7.36</v>
      </c>
      <c r="D27" s="76">
        <v>37061.040000000001</v>
      </c>
      <c r="E27" s="76">
        <v>35036.720000000001</v>
      </c>
      <c r="F27" s="76">
        <f>D27</f>
        <v>37061.040000000001</v>
      </c>
      <c r="G27" s="76">
        <f t="shared" si="1"/>
        <v>2024.3199999999997</v>
      </c>
    </row>
    <row r="28" spans="1:11" ht="15" x14ac:dyDescent="0.25">
      <c r="A28" s="34" t="s">
        <v>39</v>
      </c>
      <c r="B28" s="34" t="s">
        <v>84</v>
      </c>
      <c r="C28" s="89">
        <v>88.38</v>
      </c>
      <c r="D28" s="76">
        <v>468519.35</v>
      </c>
      <c r="E28" s="76">
        <v>438019.84000000003</v>
      </c>
      <c r="F28" s="76">
        <f>D28</f>
        <v>468519.35</v>
      </c>
      <c r="G28" s="76">
        <f t="shared" si="1"/>
        <v>30499.509999999951</v>
      </c>
    </row>
    <row r="29" spans="1:11" ht="15" x14ac:dyDescent="0.25">
      <c r="A29" s="34" t="s">
        <v>42</v>
      </c>
      <c r="B29" s="34" t="s">
        <v>135</v>
      </c>
      <c r="C29" s="128">
        <v>278.94</v>
      </c>
      <c r="D29" s="76">
        <v>598631.74</v>
      </c>
      <c r="E29" s="76">
        <v>578358.18000000005</v>
      </c>
      <c r="F29" s="76">
        <f>D29</f>
        <v>598631.74</v>
      </c>
      <c r="G29" s="76">
        <f t="shared" si="1"/>
        <v>20273.559999999939</v>
      </c>
    </row>
    <row r="30" spans="1:11" ht="15" x14ac:dyDescent="0.25">
      <c r="A30" s="34" t="s">
        <v>41</v>
      </c>
      <c r="B30" s="34" t="s">
        <v>43</v>
      </c>
      <c r="C30" s="89">
        <v>3352.42</v>
      </c>
      <c r="D30" s="76">
        <v>1408193.61</v>
      </c>
      <c r="E30" s="76">
        <v>1333545.1100000001</v>
      </c>
      <c r="F30" s="76">
        <f>D30</f>
        <v>1408193.61</v>
      </c>
      <c r="G30" s="76">
        <f t="shared" si="1"/>
        <v>74648.5</v>
      </c>
    </row>
    <row r="31" spans="1:11" ht="14.25" hidden="1" outlineLevel="1" x14ac:dyDescent="0.2">
      <c r="A31" s="39" t="s">
        <v>112</v>
      </c>
      <c r="B31" s="300" t="s">
        <v>140</v>
      </c>
      <c r="C31" s="298"/>
      <c r="D31" s="248">
        <v>1000</v>
      </c>
      <c r="E31" s="248">
        <v>0</v>
      </c>
      <c r="F31" s="248">
        <v>0</v>
      </c>
      <c r="G31" s="248">
        <f t="shared" si="1"/>
        <v>1000</v>
      </c>
    </row>
    <row r="32" spans="1:11" ht="15" hidden="1" outlineLevel="1" x14ac:dyDescent="0.2">
      <c r="A32" s="90"/>
      <c r="B32" s="301"/>
      <c r="C32" s="376" t="s">
        <v>246</v>
      </c>
      <c r="D32" s="377"/>
      <c r="E32" s="377"/>
      <c r="F32" s="377"/>
      <c r="G32" s="82">
        <f>E31-(E31*15%)</f>
        <v>0</v>
      </c>
    </row>
    <row r="33" spans="1:14" s="92" customFormat="1" ht="20.25" customHeight="1" collapsed="1" thickBot="1" x14ac:dyDescent="0.3">
      <c r="A33" s="373"/>
      <c r="B33" s="374"/>
      <c r="C33" s="374"/>
      <c r="D33" s="375"/>
      <c r="E33" s="375"/>
      <c r="F33" s="375"/>
      <c r="G33" s="91"/>
      <c r="H33" s="91"/>
      <c r="I33" s="91"/>
    </row>
    <row r="34" spans="1:14" s="59" customFormat="1" ht="15.75" thickBot="1" x14ac:dyDescent="0.3">
      <c r="A34" s="387" t="s">
        <v>427</v>
      </c>
      <c r="B34" s="388"/>
      <c r="C34" s="388"/>
      <c r="D34" s="57">
        <v>183063.41</v>
      </c>
      <c r="E34" s="58"/>
      <c r="F34" s="58"/>
      <c r="G34" s="58"/>
      <c r="H34" s="54"/>
      <c r="I34" s="54"/>
    </row>
    <row r="35" spans="1:14" s="59" customFormat="1" ht="6" customHeight="1" thickBot="1" x14ac:dyDescent="0.3">
      <c r="A35" s="60"/>
      <c r="B35" s="60"/>
      <c r="C35" s="60"/>
      <c r="D35" s="38"/>
      <c r="E35" s="58"/>
      <c r="F35" s="58"/>
      <c r="G35" s="58"/>
      <c r="H35" s="54"/>
      <c r="I35" s="54"/>
    </row>
    <row r="36" spans="1:14" s="59" customFormat="1" ht="15.75" thickBot="1" x14ac:dyDescent="0.3">
      <c r="A36" s="55" t="s">
        <v>428</v>
      </c>
      <c r="B36" s="56"/>
      <c r="C36" s="56"/>
      <c r="D36" s="61"/>
      <c r="E36" s="62"/>
      <c r="F36" s="62"/>
      <c r="G36" s="129">
        <f>G13+E24-F24</f>
        <v>295264.62590000004</v>
      </c>
      <c r="H36" s="54"/>
      <c r="I36" s="54"/>
      <c r="N36" s="130"/>
    </row>
    <row r="37" spans="1:14" s="59" customFormat="1" ht="15" x14ac:dyDescent="0.25">
      <c r="A37" s="93"/>
      <c r="B37" s="93"/>
      <c r="C37" s="93"/>
      <c r="D37" s="93"/>
      <c r="E37" s="91"/>
      <c r="F37" s="91"/>
      <c r="G37" s="91"/>
      <c r="H37" s="91"/>
      <c r="I37" s="91"/>
      <c r="J37" s="91"/>
      <c r="K37" s="91"/>
    </row>
    <row r="38" spans="1:14" s="92" customFormat="1" ht="29.25" customHeight="1" x14ac:dyDescent="0.25">
      <c r="A38" s="371" t="s">
        <v>44</v>
      </c>
      <c r="B38" s="371"/>
      <c r="C38" s="371"/>
      <c r="D38" s="371"/>
      <c r="E38" s="371"/>
      <c r="F38" s="371"/>
      <c r="G38" s="371"/>
      <c r="H38" s="371"/>
      <c r="I38" s="371"/>
      <c r="J38" s="371"/>
      <c r="K38" s="371"/>
      <c r="L38" s="91"/>
      <c r="M38" s="91"/>
    </row>
    <row r="40" spans="1:14" ht="28.5" x14ac:dyDescent="0.2">
      <c r="A40" s="94" t="s">
        <v>11</v>
      </c>
      <c r="B40" s="416" t="s">
        <v>45</v>
      </c>
      <c r="C40" s="425"/>
      <c r="D40" s="94" t="s">
        <v>99</v>
      </c>
      <c r="E40" s="94" t="s">
        <v>98</v>
      </c>
      <c r="F40" s="416" t="s">
        <v>46</v>
      </c>
      <c r="G40" s="425"/>
      <c r="H40" s="207"/>
      <c r="I40" s="208"/>
      <c r="J40" s="66"/>
      <c r="K40" s="66"/>
    </row>
    <row r="41" spans="1:14" s="66" customFormat="1" ht="15" x14ac:dyDescent="0.25">
      <c r="A41" s="98" t="s">
        <v>47</v>
      </c>
      <c r="B41" s="418" t="s">
        <v>75</v>
      </c>
      <c r="C41" s="430"/>
      <c r="D41" s="99"/>
      <c r="E41" s="99"/>
      <c r="F41" s="436">
        <f>SUM(F42:G45)</f>
        <v>7563.3526999999995</v>
      </c>
      <c r="G41" s="424"/>
      <c r="H41" s="209"/>
      <c r="I41" s="210"/>
      <c r="J41" s="103"/>
      <c r="K41" s="103"/>
      <c r="N41" s="97"/>
    </row>
    <row r="42" spans="1:14" s="103" customFormat="1" ht="15" customHeight="1" x14ac:dyDescent="0.25">
      <c r="A42" s="34" t="s">
        <v>16</v>
      </c>
      <c r="B42" s="406" t="s">
        <v>561</v>
      </c>
      <c r="C42" s="407"/>
      <c r="D42" s="318"/>
      <c r="E42" s="318"/>
      <c r="F42" s="435">
        <v>3000</v>
      </c>
      <c r="G42" s="435"/>
      <c r="H42" s="211"/>
      <c r="I42" s="212"/>
      <c r="J42" s="49"/>
      <c r="K42" s="49"/>
      <c r="N42" s="104"/>
    </row>
    <row r="43" spans="1:14" s="103" customFormat="1" ht="15" customHeight="1" x14ac:dyDescent="0.25">
      <c r="A43" s="34" t="s">
        <v>18</v>
      </c>
      <c r="B43" s="406" t="s">
        <v>415</v>
      </c>
      <c r="C43" s="431"/>
      <c r="D43" s="105" t="s">
        <v>137</v>
      </c>
      <c r="E43" s="105">
        <v>0.02</v>
      </c>
      <c r="F43" s="466">
        <v>3714.64</v>
      </c>
      <c r="G43" s="467"/>
      <c r="H43" s="38"/>
      <c r="I43" s="38"/>
      <c r="J43" s="49"/>
      <c r="K43" s="49"/>
      <c r="N43" s="104"/>
    </row>
    <row r="44" spans="1:14" s="103" customFormat="1" ht="15" customHeight="1" x14ac:dyDescent="0.25">
      <c r="A44" s="34" t="s">
        <v>20</v>
      </c>
      <c r="B44" s="412"/>
      <c r="C44" s="428"/>
      <c r="D44" s="258"/>
      <c r="E44" s="265"/>
      <c r="F44" s="468"/>
      <c r="G44" s="469"/>
      <c r="H44" s="38"/>
      <c r="I44" s="38"/>
      <c r="J44" s="49"/>
      <c r="K44" s="49"/>
      <c r="N44" s="104"/>
    </row>
    <row r="45" spans="1:14" ht="15.75" customHeight="1" x14ac:dyDescent="0.25">
      <c r="A45" s="34" t="s">
        <v>22</v>
      </c>
      <c r="B45" s="458" t="s">
        <v>108</v>
      </c>
      <c r="C45" s="459"/>
      <c r="D45" s="108"/>
      <c r="E45" s="108"/>
      <c r="F45" s="435">
        <f>E24*1%</f>
        <v>848.71270000000004</v>
      </c>
      <c r="G45" s="435"/>
      <c r="H45" s="51"/>
      <c r="I45" s="51"/>
      <c r="J45" s="51"/>
      <c r="K45" s="51"/>
      <c r="N45" s="106"/>
    </row>
    <row r="46" spans="1:14" ht="7.5" customHeight="1" x14ac:dyDescent="0.2">
      <c r="A46" s="51"/>
      <c r="B46" s="51"/>
      <c r="C46" s="51"/>
      <c r="D46" s="51"/>
      <c r="E46" s="51"/>
      <c r="F46" s="51"/>
      <c r="G46" s="51"/>
      <c r="H46" s="51"/>
      <c r="I46" s="51"/>
      <c r="J46" s="51"/>
      <c r="K46" s="51"/>
    </row>
    <row r="47" spans="1:14" s="51" customFormat="1" ht="15" x14ac:dyDescent="0.25">
      <c r="A47" s="51" t="s">
        <v>372</v>
      </c>
      <c r="B47" s="59"/>
      <c r="C47" s="110" t="s">
        <v>49</v>
      </c>
      <c r="D47" s="59"/>
      <c r="E47" s="59"/>
      <c r="F47" s="59" t="s">
        <v>60</v>
      </c>
      <c r="G47" s="59"/>
      <c r="H47" s="59"/>
      <c r="I47" s="59"/>
      <c r="J47" s="59"/>
      <c r="K47" s="59"/>
    </row>
    <row r="48" spans="1:14" s="51" customFormat="1" ht="15" x14ac:dyDescent="0.25">
      <c r="A48" s="59"/>
      <c r="B48" s="59"/>
      <c r="C48" s="110"/>
      <c r="D48" s="59"/>
      <c r="E48" s="59"/>
      <c r="F48" s="111" t="s">
        <v>438</v>
      </c>
      <c r="G48" s="59"/>
    </row>
    <row r="49" spans="1:11" s="59" customFormat="1" ht="15" x14ac:dyDescent="0.25">
      <c r="A49" s="59" t="s">
        <v>50</v>
      </c>
      <c r="C49" s="110"/>
      <c r="H49" s="141"/>
      <c r="I49" s="141"/>
      <c r="J49" s="141"/>
      <c r="K49" s="51"/>
    </row>
    <row r="50" spans="1:11" s="51" customFormat="1" ht="15" x14ac:dyDescent="0.25">
      <c r="A50" s="59"/>
      <c r="B50" s="59"/>
      <c r="C50" s="112" t="s">
        <v>51</v>
      </c>
      <c r="D50" s="59"/>
      <c r="E50" s="113"/>
      <c r="F50" s="113"/>
      <c r="G50" s="113"/>
    </row>
    <row r="51" spans="1:11" s="51" customFormat="1" x14ac:dyDescent="0.2"/>
    <row r="52" spans="1:11" s="51" customFormat="1" x14ac:dyDescent="0.2"/>
  </sheetData>
  <mergeCells count="23">
    <mergeCell ref="A33:F33"/>
    <mergeCell ref="A11:K11"/>
    <mergeCell ref="A10:K10"/>
    <mergeCell ref="A1:K1"/>
    <mergeCell ref="A2:K2"/>
    <mergeCell ref="A3:K3"/>
    <mergeCell ref="A5:K5"/>
    <mergeCell ref="A9:K9"/>
    <mergeCell ref="C32:F32"/>
    <mergeCell ref="A34:C34"/>
    <mergeCell ref="A38:K38"/>
    <mergeCell ref="B40:C40"/>
    <mergeCell ref="F40:G40"/>
    <mergeCell ref="B42:C42"/>
    <mergeCell ref="F42:G42"/>
    <mergeCell ref="B41:C41"/>
    <mergeCell ref="F41:G41"/>
    <mergeCell ref="B45:C45"/>
    <mergeCell ref="F45:G45"/>
    <mergeCell ref="B43:C43"/>
    <mergeCell ref="F43:G43"/>
    <mergeCell ref="B44:C44"/>
    <mergeCell ref="F44:G44"/>
  </mergeCells>
  <pageMargins left="0.7" right="0.7" top="0.75" bottom="0.75" header="0.3" footer="0.3"/>
  <pageSetup paperSize="9" orientation="portrait" horizontalDpi="0" verticalDpi="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CE4324-867A-41B0-B88F-EB7BB4E33F94}">
  <sheetPr>
    <tabColor rgb="FF7030A0"/>
  </sheetPr>
  <dimension ref="A1:N54"/>
  <sheetViews>
    <sheetView topLeftCell="A38" workbookViewId="0">
      <selection activeCell="A57" sqref="A57:IV58"/>
    </sheetView>
  </sheetViews>
  <sheetFormatPr defaultRowHeight="12.75" outlineLevelRow="1" outlineLevelCol="1" x14ac:dyDescent="0.2"/>
  <cols>
    <col min="1" max="1" width="6" style="49" customWidth="1"/>
    <col min="2" max="2" width="48.140625" style="49" customWidth="1"/>
    <col min="3" max="3" width="14" style="49" customWidth="1"/>
    <col min="4" max="4" width="14.85546875" style="49" customWidth="1"/>
    <col min="5" max="6" width="13.28515625" style="49" customWidth="1"/>
    <col min="7" max="7" width="14.5703125" style="49" customWidth="1"/>
    <col min="8" max="9" width="11.5703125" style="49" hidden="1" customWidth="1" outlineLevel="1"/>
    <col min="10" max="10" width="10.140625" style="49" hidden="1" customWidth="1" outlineLevel="1"/>
    <col min="11" max="11" width="10.42578125" style="49" hidden="1" customWidth="1" outlineLevel="1"/>
    <col min="12" max="12" width="9.140625" style="49" collapsed="1"/>
    <col min="13" max="13" width="10" style="49" bestFit="1" customWidth="1"/>
    <col min="14" max="14" width="15.85546875" style="49" customWidth="1"/>
    <col min="15" max="16384" width="9.140625" style="49"/>
  </cols>
  <sheetData>
    <row r="1" spans="1:11" x14ac:dyDescent="0.2">
      <c r="A1" s="370" t="s">
        <v>0</v>
      </c>
      <c r="B1" s="370"/>
      <c r="C1" s="370"/>
      <c r="D1" s="370"/>
      <c r="E1" s="370"/>
      <c r="F1" s="370"/>
      <c r="G1" s="370"/>
      <c r="H1" s="370"/>
      <c r="I1" s="370"/>
      <c r="J1" s="370"/>
      <c r="K1" s="370"/>
    </row>
    <row r="2" spans="1:11" ht="12.75" customHeight="1" x14ac:dyDescent="0.2">
      <c r="A2" s="370" t="s">
        <v>279</v>
      </c>
      <c r="B2" s="370"/>
      <c r="C2" s="370"/>
      <c r="D2" s="370"/>
      <c r="E2" s="370"/>
      <c r="F2" s="370"/>
      <c r="G2" s="370"/>
      <c r="H2" s="370"/>
      <c r="I2" s="370"/>
      <c r="J2" s="370"/>
      <c r="K2" s="370"/>
    </row>
    <row r="3" spans="1:11" ht="13.5" customHeight="1" x14ac:dyDescent="0.2">
      <c r="A3" s="370" t="s">
        <v>426</v>
      </c>
      <c r="B3" s="370"/>
      <c r="C3" s="370"/>
      <c r="D3" s="370"/>
      <c r="E3" s="370"/>
      <c r="F3" s="370"/>
      <c r="G3" s="370"/>
      <c r="H3" s="370"/>
      <c r="I3" s="370"/>
      <c r="J3" s="370"/>
      <c r="K3" s="370"/>
    </row>
    <row r="4" spans="1:11" ht="9" customHeight="1" x14ac:dyDescent="0.2">
      <c r="A4" s="48"/>
      <c r="B4" s="48"/>
      <c r="C4" s="48"/>
      <c r="D4" s="48"/>
      <c r="E4" s="48"/>
      <c r="F4" s="48"/>
      <c r="G4" s="48"/>
      <c r="H4" s="48"/>
      <c r="I4" s="48"/>
      <c r="J4" s="48"/>
      <c r="K4" s="48"/>
    </row>
    <row r="5" spans="1:11" ht="16.5" customHeight="1" x14ac:dyDescent="0.2">
      <c r="A5" s="371" t="s">
        <v>1</v>
      </c>
      <c r="B5" s="370"/>
      <c r="C5" s="370"/>
      <c r="D5" s="370"/>
      <c r="E5" s="370"/>
      <c r="F5" s="370"/>
      <c r="G5" s="370"/>
      <c r="H5" s="370"/>
      <c r="I5" s="370"/>
      <c r="J5" s="370"/>
      <c r="K5" s="370"/>
    </row>
    <row r="7" spans="1:11" s="51" customFormat="1" ht="16.5" customHeight="1" x14ac:dyDescent="0.2">
      <c r="A7" s="51" t="s">
        <v>2</v>
      </c>
      <c r="F7" s="52" t="s">
        <v>308</v>
      </c>
      <c r="H7" s="52"/>
    </row>
    <row r="8" spans="1:11" s="51" customFormat="1" x14ac:dyDescent="0.2">
      <c r="A8" s="51" t="s">
        <v>3</v>
      </c>
      <c r="F8" s="242" t="s">
        <v>309</v>
      </c>
      <c r="H8" s="52"/>
    </row>
    <row r="9" spans="1:11" s="51" customFormat="1" x14ac:dyDescent="0.2">
      <c r="B9" s="51" t="s">
        <v>252</v>
      </c>
      <c r="F9" s="242" t="s">
        <v>310</v>
      </c>
      <c r="H9" s="231">
        <v>44.6</v>
      </c>
      <c r="I9" s="51">
        <f>J9-H9</f>
        <v>4361.8999999999996</v>
      </c>
      <c r="J9" s="276">
        <v>4406.5</v>
      </c>
    </row>
    <row r="10" spans="1:11" s="51" customFormat="1" x14ac:dyDescent="0.2">
      <c r="A10" s="372" t="s">
        <v>8</v>
      </c>
      <c r="B10" s="372"/>
      <c r="C10" s="372"/>
      <c r="D10" s="372"/>
      <c r="E10" s="372"/>
      <c r="F10" s="372"/>
      <c r="G10" s="372"/>
      <c r="H10" s="372"/>
      <c r="I10" s="372"/>
      <c r="J10" s="372"/>
      <c r="K10" s="372"/>
    </row>
    <row r="11" spans="1:11" s="51" customFormat="1" x14ac:dyDescent="0.2">
      <c r="A11" s="372" t="s">
        <v>9</v>
      </c>
      <c r="B11" s="372"/>
      <c r="C11" s="372"/>
      <c r="D11" s="372"/>
      <c r="E11" s="372"/>
      <c r="F11" s="372"/>
      <c r="G11" s="372"/>
      <c r="H11" s="372"/>
      <c r="I11" s="372"/>
      <c r="J11" s="372"/>
      <c r="K11" s="372"/>
    </row>
    <row r="12" spans="1:11" s="51" customFormat="1" ht="13.5" thickBot="1" x14ac:dyDescent="0.25">
      <c r="A12" s="372" t="s">
        <v>10</v>
      </c>
      <c r="B12" s="372"/>
      <c r="C12" s="372"/>
      <c r="D12" s="372"/>
      <c r="E12" s="372"/>
      <c r="F12" s="372"/>
      <c r="G12" s="372"/>
      <c r="H12" s="372"/>
      <c r="I12" s="372"/>
      <c r="J12" s="372"/>
      <c r="K12" s="372"/>
    </row>
    <row r="13" spans="1:11" s="59" customFormat="1" ht="21.75" customHeight="1" thickBot="1" x14ac:dyDescent="0.3">
      <c r="A13" s="55" t="s">
        <v>562</v>
      </c>
      <c r="B13" s="56"/>
      <c r="C13" s="56"/>
      <c r="D13" s="61"/>
      <c r="E13" s="62"/>
      <c r="F13" s="62"/>
      <c r="G13" s="57">
        <f>'[1]Пролетарская 39'!$G$37</f>
        <v>88314.09</v>
      </c>
      <c r="H13" s="54"/>
      <c r="I13" s="54"/>
    </row>
    <row r="14" spans="1:11" s="59" customFormat="1" ht="15.75" thickBot="1" x14ac:dyDescent="0.3">
      <c r="A14" s="217" t="s">
        <v>381</v>
      </c>
      <c r="B14" s="218"/>
      <c r="C14" s="218"/>
      <c r="D14" s="61"/>
      <c r="E14" s="62"/>
      <c r="F14" s="62"/>
      <c r="G14" s="57">
        <f>'[1]Пролетарская 39'!$G$38</f>
        <v>235470.30719999998</v>
      </c>
      <c r="H14" s="54"/>
      <c r="I14" s="54"/>
    </row>
    <row r="15" spans="1:11" s="51" customFormat="1" ht="6.75" customHeight="1" x14ac:dyDescent="0.2"/>
    <row r="16" spans="1:11" s="66" customFormat="1" ht="38.25" x14ac:dyDescent="0.25">
      <c r="A16" s="64" t="s">
        <v>11</v>
      </c>
      <c r="B16" s="64" t="s">
        <v>12</v>
      </c>
      <c r="C16" s="64" t="s">
        <v>61</v>
      </c>
      <c r="D16" s="64" t="s">
        <v>432</v>
      </c>
      <c r="E16" s="64" t="s">
        <v>433</v>
      </c>
      <c r="F16" s="65" t="s">
        <v>434</v>
      </c>
      <c r="G16" s="64" t="s">
        <v>435</v>
      </c>
    </row>
    <row r="17" spans="1:14" s="51" customFormat="1" ht="14.25" x14ac:dyDescent="0.2">
      <c r="A17" s="67" t="s">
        <v>14</v>
      </c>
      <c r="B17" s="39" t="s">
        <v>379</v>
      </c>
      <c r="C17" s="87">
        <v>23.85</v>
      </c>
      <c r="D17" s="68">
        <v>1248378.24</v>
      </c>
      <c r="E17" s="68">
        <v>1224365.95</v>
      </c>
      <c r="F17" s="68">
        <f t="shared" ref="F17:F24" si="0">D17</f>
        <v>1248378.24</v>
      </c>
      <c r="G17" s="69">
        <f>D17-E17</f>
        <v>24012.290000000037</v>
      </c>
      <c r="H17" s="70">
        <f>C17</f>
        <v>23.85</v>
      </c>
      <c r="I17" s="71"/>
      <c r="J17" s="71"/>
      <c r="K17" s="71"/>
      <c r="M17" s="70"/>
      <c r="N17" s="72"/>
    </row>
    <row r="18" spans="1:14" s="51" customFormat="1" ht="15" hidden="1" outlineLevel="1" x14ac:dyDescent="0.25">
      <c r="A18" s="73" t="s">
        <v>16</v>
      </c>
      <c r="B18" s="34" t="s">
        <v>17</v>
      </c>
      <c r="C18" s="74">
        <v>3.46</v>
      </c>
      <c r="D18" s="75">
        <f>D17*I18</f>
        <v>181106.44488050311</v>
      </c>
      <c r="E18" s="75">
        <f>E17*I18</f>
        <v>177622.90092243184</v>
      </c>
      <c r="F18" s="75">
        <f t="shared" si="0"/>
        <v>181106.44488050311</v>
      </c>
      <c r="G18" s="76">
        <f>D18-E18</f>
        <v>3483.54395807127</v>
      </c>
      <c r="H18" s="70">
        <f>C18</f>
        <v>3.46</v>
      </c>
      <c r="I18" s="51">
        <f>H18/H17</f>
        <v>0.14507337526205449</v>
      </c>
    </row>
    <row r="19" spans="1:14" s="51" customFormat="1" ht="15" hidden="1" outlineLevel="1" x14ac:dyDescent="0.25">
      <c r="A19" s="73" t="s">
        <v>18</v>
      </c>
      <c r="B19" s="34" t="s">
        <v>19</v>
      </c>
      <c r="C19" s="74">
        <v>1.69</v>
      </c>
      <c r="D19" s="75">
        <f>D17*I19</f>
        <v>88459.506314465398</v>
      </c>
      <c r="E19" s="75">
        <f>E17*I19</f>
        <v>86758.006519916133</v>
      </c>
      <c r="F19" s="75">
        <f t="shared" si="0"/>
        <v>88459.506314465398</v>
      </c>
      <c r="G19" s="76">
        <f>D19-E19</f>
        <v>1701.4997945492651</v>
      </c>
      <c r="H19" s="70">
        <f>C19</f>
        <v>1.69</v>
      </c>
      <c r="I19" s="51">
        <f>H19/H17</f>
        <v>7.0859538784067075E-2</v>
      </c>
    </row>
    <row r="20" spans="1:14" s="51" customFormat="1" ht="15" hidden="1" outlineLevel="1" x14ac:dyDescent="0.25">
      <c r="A20" s="73" t="s">
        <v>20</v>
      </c>
      <c r="B20" s="34" t="s">
        <v>21</v>
      </c>
      <c r="C20" s="74">
        <v>2.15</v>
      </c>
      <c r="D20" s="75">
        <f>D17*I20</f>
        <v>112537.24176100627</v>
      </c>
      <c r="E20" s="75">
        <f>E17*I20</f>
        <v>110372.61184486371</v>
      </c>
      <c r="F20" s="75">
        <f t="shared" si="0"/>
        <v>112537.24176100627</v>
      </c>
      <c r="G20" s="76">
        <f>D20-E20</f>
        <v>2164.6299161425559</v>
      </c>
      <c r="H20" s="70">
        <f>C20</f>
        <v>2.15</v>
      </c>
      <c r="I20" s="51">
        <f>H20/H17</f>
        <v>9.0146750524109004E-2</v>
      </c>
    </row>
    <row r="21" spans="1:14" s="51" customFormat="1" ht="15" hidden="1" outlineLevel="1" x14ac:dyDescent="0.25">
      <c r="A21" s="73" t="s">
        <v>22</v>
      </c>
      <c r="B21" s="34" t="s">
        <v>23</v>
      </c>
      <c r="C21" s="74">
        <v>3.04</v>
      </c>
      <c r="D21" s="75">
        <f>D17*I21</f>
        <v>159122.4255597484</v>
      </c>
      <c r="E21" s="75">
        <f>E17*I21</f>
        <v>156061.73953878405</v>
      </c>
      <c r="F21" s="75">
        <f t="shared" si="0"/>
        <v>159122.4255597484</v>
      </c>
      <c r="G21" s="76">
        <f>D21-E21</f>
        <v>3060.6860209643492</v>
      </c>
      <c r="H21" s="70">
        <f>C21</f>
        <v>3.04</v>
      </c>
      <c r="I21" s="51">
        <f>H21/H17</f>
        <v>0.12746331236897274</v>
      </c>
    </row>
    <row r="22" spans="1:14" s="81" customFormat="1" ht="14.25" collapsed="1" x14ac:dyDescent="0.2">
      <c r="A22" s="78" t="s">
        <v>25</v>
      </c>
      <c r="B22" s="78" t="s">
        <v>118</v>
      </c>
      <c r="C22" s="43">
        <v>0</v>
      </c>
      <c r="D22" s="79">
        <v>0</v>
      </c>
      <c r="E22" s="79">
        <v>0</v>
      </c>
      <c r="F22" s="79">
        <v>0</v>
      </c>
      <c r="G22" s="69">
        <f t="shared" ref="G22:G33" si="1">D22-E22</f>
        <v>0</v>
      </c>
      <c r="H22" s="80"/>
      <c r="I22" s="80"/>
      <c r="J22" s="80"/>
      <c r="K22" s="80"/>
    </row>
    <row r="23" spans="1:14" s="81" customFormat="1" ht="28.5" x14ac:dyDescent="0.2">
      <c r="A23" s="78" t="s">
        <v>27</v>
      </c>
      <c r="B23" s="78" t="s">
        <v>371</v>
      </c>
      <c r="C23" s="46" t="s">
        <v>370</v>
      </c>
      <c r="D23" s="79">
        <v>0</v>
      </c>
      <c r="E23" s="79">
        <v>562.29999999999995</v>
      </c>
      <c r="F23" s="79">
        <f t="shared" si="0"/>
        <v>0</v>
      </c>
      <c r="G23" s="69">
        <f t="shared" si="1"/>
        <v>-562.29999999999995</v>
      </c>
      <c r="H23" s="80"/>
      <c r="I23" s="80"/>
      <c r="J23" s="80"/>
      <c r="K23" s="80"/>
    </row>
    <row r="24" spans="1:14" s="81" customFormat="1" ht="14.25" x14ac:dyDescent="0.2">
      <c r="A24" s="78" t="s">
        <v>29</v>
      </c>
      <c r="B24" s="78" t="s">
        <v>62</v>
      </c>
      <c r="C24" s="43">
        <v>0</v>
      </c>
      <c r="D24" s="79">
        <v>0</v>
      </c>
      <c r="E24" s="79">
        <v>114.51</v>
      </c>
      <c r="F24" s="79">
        <f t="shared" si="0"/>
        <v>0</v>
      </c>
      <c r="G24" s="69">
        <f t="shared" si="1"/>
        <v>-114.51</v>
      </c>
      <c r="H24" s="80"/>
      <c r="I24" s="80"/>
      <c r="J24" s="80"/>
      <c r="K24" s="80"/>
    </row>
    <row r="25" spans="1:14" s="81" customFormat="1" ht="14.25" x14ac:dyDescent="0.2">
      <c r="A25" s="78" t="s">
        <v>31</v>
      </c>
      <c r="B25" s="78" t="s">
        <v>80</v>
      </c>
      <c r="C25" s="86">
        <v>2.36</v>
      </c>
      <c r="D25" s="79">
        <f>123528.36+D26</f>
        <v>124791.43000000001</v>
      </c>
      <c r="E25" s="79">
        <f>122028.6+E26</f>
        <v>122028.6</v>
      </c>
      <c r="F25" s="79">
        <f>F45</f>
        <v>25714.096000000001</v>
      </c>
      <c r="G25" s="69">
        <f t="shared" si="1"/>
        <v>2762.8300000000017</v>
      </c>
      <c r="H25" s="80"/>
      <c r="I25" s="80"/>
      <c r="J25" s="80"/>
      <c r="K25" s="80"/>
    </row>
    <row r="26" spans="1:14" s="81" customFormat="1" ht="14.25" x14ac:dyDescent="0.2">
      <c r="A26" s="78"/>
      <c r="B26" s="292" t="s">
        <v>244</v>
      </c>
      <c r="C26" s="293"/>
      <c r="D26" s="294">
        <v>1263.07</v>
      </c>
      <c r="E26" s="294">
        <v>0</v>
      </c>
      <c r="F26" s="294"/>
      <c r="G26" s="248"/>
      <c r="H26" s="80"/>
      <c r="I26" s="80"/>
      <c r="J26" s="80"/>
      <c r="K26" s="80"/>
    </row>
    <row r="27" spans="1:14" ht="14.25" x14ac:dyDescent="0.2">
      <c r="A27" s="39" t="s">
        <v>33</v>
      </c>
      <c r="B27" s="39" t="s">
        <v>97</v>
      </c>
      <c r="C27" s="46">
        <v>0</v>
      </c>
      <c r="D27" s="69">
        <v>0</v>
      </c>
      <c r="E27" s="69">
        <v>0</v>
      </c>
      <c r="F27" s="79">
        <f>D27</f>
        <v>0</v>
      </c>
      <c r="G27" s="69">
        <f t="shared" si="1"/>
        <v>0</v>
      </c>
      <c r="H27" s="88"/>
      <c r="I27" s="88"/>
      <c r="J27" s="88"/>
      <c r="K27" s="88"/>
    </row>
    <row r="28" spans="1:14" ht="14.25" x14ac:dyDescent="0.2">
      <c r="A28" s="39" t="s">
        <v>35</v>
      </c>
      <c r="B28" s="39" t="s">
        <v>36</v>
      </c>
      <c r="C28" s="87"/>
      <c r="D28" s="69">
        <f>SUM(D29:D32)</f>
        <v>2880612.7199999997</v>
      </c>
      <c r="E28" s="69">
        <f>SUM(E29:E32)</f>
        <v>2845042.83</v>
      </c>
      <c r="F28" s="69">
        <f>SUM(F29:F32)</f>
        <v>2880612.7199999997</v>
      </c>
      <c r="G28" s="69">
        <f t="shared" si="1"/>
        <v>35569.889999999665</v>
      </c>
      <c r="H28" s="88"/>
      <c r="I28" s="88"/>
      <c r="J28" s="88"/>
      <c r="K28" s="88"/>
    </row>
    <row r="29" spans="1:14" ht="15" x14ac:dyDescent="0.25">
      <c r="A29" s="34" t="s">
        <v>37</v>
      </c>
      <c r="B29" s="34" t="s">
        <v>101</v>
      </c>
      <c r="C29" s="89">
        <v>7.36</v>
      </c>
      <c r="D29" s="76">
        <v>59678.879999999997</v>
      </c>
      <c r="E29" s="76">
        <v>58379.92</v>
      </c>
      <c r="F29" s="76">
        <f>D29</f>
        <v>59678.879999999997</v>
      </c>
      <c r="G29" s="76">
        <f t="shared" si="1"/>
        <v>1298.9599999999991</v>
      </c>
    </row>
    <row r="30" spans="1:14" ht="15" x14ac:dyDescent="0.25">
      <c r="A30" s="34" t="s">
        <v>39</v>
      </c>
      <c r="B30" s="34" t="s">
        <v>84</v>
      </c>
      <c r="C30" s="89">
        <v>88.38</v>
      </c>
      <c r="D30" s="76">
        <v>520795.97</v>
      </c>
      <c r="E30" s="76">
        <v>508355.27</v>
      </c>
      <c r="F30" s="76">
        <f>D30</f>
        <v>520795.97</v>
      </c>
      <c r="G30" s="76">
        <f t="shared" si="1"/>
        <v>12440.699999999953</v>
      </c>
    </row>
    <row r="31" spans="1:14" ht="15" x14ac:dyDescent="0.25">
      <c r="A31" s="34" t="s">
        <v>42</v>
      </c>
      <c r="B31" s="34" t="s">
        <v>135</v>
      </c>
      <c r="C31" s="128">
        <v>278.94</v>
      </c>
      <c r="D31" s="188">
        <v>642069.43999999994</v>
      </c>
      <c r="E31" s="188">
        <v>643035.35</v>
      </c>
      <c r="F31" s="76">
        <f>D31</f>
        <v>642069.43999999994</v>
      </c>
      <c r="G31" s="76">
        <f t="shared" si="1"/>
        <v>-965.9100000000326</v>
      </c>
    </row>
    <row r="32" spans="1:14" ht="15" x14ac:dyDescent="0.25">
      <c r="A32" s="34" t="s">
        <v>41</v>
      </c>
      <c r="B32" s="34" t="s">
        <v>43</v>
      </c>
      <c r="C32" s="89">
        <v>3352.42</v>
      </c>
      <c r="D32" s="76">
        <v>1658068.43</v>
      </c>
      <c r="E32" s="76">
        <v>1635272.29</v>
      </c>
      <c r="F32" s="76">
        <f>D32</f>
        <v>1658068.43</v>
      </c>
      <c r="G32" s="76">
        <f t="shared" si="1"/>
        <v>22796.139999999898</v>
      </c>
    </row>
    <row r="33" spans="1:12" ht="14.25" hidden="1" outlineLevel="1" x14ac:dyDescent="0.2">
      <c r="A33" s="39" t="s">
        <v>112</v>
      </c>
      <c r="B33" s="300" t="s">
        <v>140</v>
      </c>
      <c r="C33" s="298"/>
      <c r="D33" s="248">
        <f>1000+1800</f>
        <v>2800</v>
      </c>
      <c r="E33" s="248">
        <v>1800</v>
      </c>
      <c r="F33" s="248">
        <v>0</v>
      </c>
      <c r="G33" s="248">
        <f t="shared" si="1"/>
        <v>1000</v>
      </c>
    </row>
    <row r="34" spans="1:12" ht="15" hidden="1" outlineLevel="1" x14ac:dyDescent="0.2">
      <c r="A34" s="90"/>
      <c r="B34" s="301"/>
      <c r="C34" s="376" t="s">
        <v>246</v>
      </c>
      <c r="D34" s="377"/>
      <c r="E34" s="377"/>
      <c r="F34" s="377"/>
      <c r="G34" s="82">
        <f>E33-(E33*15%)</f>
        <v>1530</v>
      </c>
    </row>
    <row r="35" spans="1:12" s="92" customFormat="1" ht="21" customHeight="1" collapsed="1" x14ac:dyDescent="0.25">
      <c r="A35" s="373"/>
      <c r="B35" s="374"/>
      <c r="C35" s="374"/>
      <c r="D35" s="375"/>
      <c r="E35" s="375"/>
      <c r="F35" s="375"/>
      <c r="G35" s="91"/>
      <c r="H35" s="91"/>
      <c r="I35" s="91"/>
    </row>
    <row r="36" spans="1:12" s="59" customFormat="1" ht="15" x14ac:dyDescent="0.25">
      <c r="A36" s="554" t="s">
        <v>427</v>
      </c>
      <c r="B36" s="554"/>
      <c r="C36" s="554"/>
      <c r="D36" s="331">
        <v>61668.2</v>
      </c>
      <c r="E36" s="58"/>
      <c r="F36" s="58"/>
      <c r="G36" s="58"/>
      <c r="H36" s="54"/>
      <c r="I36" s="54"/>
    </row>
    <row r="37" spans="1:12" s="59" customFormat="1" ht="18" customHeight="1" thickBot="1" x14ac:dyDescent="0.3">
      <c r="A37" s="328" t="s">
        <v>464</v>
      </c>
      <c r="B37" s="329"/>
      <c r="C37" s="329"/>
      <c r="D37" s="330"/>
      <c r="E37" s="123"/>
      <c r="F37" s="123"/>
      <c r="G37" s="327">
        <f>G13+E24-F24</f>
        <v>88428.599999999991</v>
      </c>
      <c r="H37" s="54"/>
      <c r="I37" s="54"/>
    </row>
    <row r="38" spans="1:12" s="59" customFormat="1" ht="16.899999999999999" customHeight="1" x14ac:dyDescent="0.25">
      <c r="A38" s="303" t="s">
        <v>381</v>
      </c>
      <c r="B38" s="326"/>
      <c r="C38" s="326"/>
      <c r="D38" s="327"/>
      <c r="E38" s="123"/>
      <c r="F38" s="123"/>
      <c r="G38" s="327">
        <f>G14+E25-F25</f>
        <v>331784.8112</v>
      </c>
      <c r="H38" s="54"/>
      <c r="I38" s="54"/>
    </row>
    <row r="39" spans="1:12" s="59" customFormat="1" ht="15" x14ac:dyDescent="0.25">
      <c r="A39" s="555" t="s">
        <v>134</v>
      </c>
      <c r="B39" s="556"/>
      <c r="C39" s="361"/>
      <c r="D39" s="361"/>
      <c r="E39" s="362"/>
      <c r="F39" s="362"/>
      <c r="G39" s="38"/>
      <c r="H39" s="54"/>
      <c r="I39" s="54"/>
    </row>
    <row r="40" spans="1:12" s="59" customFormat="1" ht="15" x14ac:dyDescent="0.25">
      <c r="A40" s="465" t="s">
        <v>91</v>
      </c>
      <c r="B40" s="465"/>
      <c r="C40" s="41" t="s">
        <v>92</v>
      </c>
      <c r="D40" s="41" t="s">
        <v>93</v>
      </c>
      <c r="E40" s="42" t="s">
        <v>94</v>
      </c>
      <c r="F40" s="40" t="s">
        <v>95</v>
      </c>
      <c r="G40" s="327" t="s">
        <v>387</v>
      </c>
      <c r="H40" s="54"/>
      <c r="I40" s="54"/>
    </row>
    <row r="41" spans="1:12" s="59" customFormat="1" ht="15" x14ac:dyDescent="0.25">
      <c r="A41" s="465"/>
      <c r="B41" s="465"/>
      <c r="C41" s="342">
        <v>44.6</v>
      </c>
      <c r="D41" s="138">
        <f>E41/C41/12</f>
        <v>26.210089686098652</v>
      </c>
      <c r="E41" s="358">
        <v>14027.64</v>
      </c>
      <c r="F41" s="358">
        <v>0</v>
      </c>
      <c r="G41" s="327">
        <f>F41-E41</f>
        <v>-14027.64</v>
      </c>
      <c r="H41" s="335">
        <f>C17+C25</f>
        <v>26.21</v>
      </c>
      <c r="I41" s="54">
        <f>H41*C41*3</f>
        <v>3506.8980000000001</v>
      </c>
      <c r="J41" s="59">
        <f>9422.22</f>
        <v>9422.2199999999993</v>
      </c>
      <c r="K41" s="59">
        <v>0</v>
      </c>
    </row>
    <row r="42" spans="1:12" ht="31.5" customHeight="1" x14ac:dyDescent="0.25">
      <c r="A42" s="489" t="s">
        <v>106</v>
      </c>
      <c r="B42" s="490"/>
      <c r="C42" s="490"/>
      <c r="D42" s="490"/>
      <c r="E42" s="490"/>
      <c r="F42" s="490"/>
      <c r="G42" s="490"/>
      <c r="H42" s="50"/>
      <c r="I42" s="50"/>
      <c r="J42" s="50"/>
      <c r="K42" s="50"/>
    </row>
    <row r="44" spans="1:12" s="66" customFormat="1" ht="37.5" customHeight="1" x14ac:dyDescent="0.2">
      <c r="A44" s="94" t="s">
        <v>11</v>
      </c>
      <c r="B44" s="416" t="s">
        <v>45</v>
      </c>
      <c r="C44" s="425"/>
      <c r="D44" s="94" t="s">
        <v>99</v>
      </c>
      <c r="E44" s="94" t="s">
        <v>98</v>
      </c>
      <c r="F44" s="550" t="s">
        <v>46</v>
      </c>
      <c r="G44" s="550"/>
      <c r="H44" s="95"/>
      <c r="I44" s="96"/>
      <c r="L44" s="97"/>
    </row>
    <row r="45" spans="1:12" s="103" customFormat="1" ht="15" customHeight="1" x14ac:dyDescent="0.25">
      <c r="A45" s="98" t="s">
        <v>47</v>
      </c>
      <c r="B45" s="418" t="s">
        <v>75</v>
      </c>
      <c r="C45" s="430"/>
      <c r="D45" s="99"/>
      <c r="E45" s="99"/>
      <c r="F45" s="548">
        <f>SUM(F46:G48)</f>
        <v>25714.096000000001</v>
      </c>
      <c r="G45" s="549"/>
      <c r="H45" s="101"/>
      <c r="I45" s="102"/>
      <c r="L45" s="104"/>
    </row>
    <row r="46" spans="1:12" ht="15" x14ac:dyDescent="0.25">
      <c r="A46" s="34" t="s">
        <v>16</v>
      </c>
      <c r="B46" s="406" t="s">
        <v>565</v>
      </c>
      <c r="C46" s="407"/>
      <c r="D46" s="176" t="s">
        <v>100</v>
      </c>
      <c r="E46" s="176">
        <v>2</v>
      </c>
      <c r="F46" s="435">
        <v>24493.81</v>
      </c>
      <c r="G46" s="435"/>
      <c r="H46" s="38"/>
      <c r="I46" s="38"/>
      <c r="L46" s="106"/>
    </row>
    <row r="47" spans="1:12" ht="15" x14ac:dyDescent="0.25">
      <c r="A47" s="34" t="s">
        <v>18</v>
      </c>
      <c r="B47" s="412"/>
      <c r="C47" s="413"/>
      <c r="D47" s="260"/>
      <c r="E47" s="260"/>
      <c r="F47" s="463"/>
      <c r="G47" s="463"/>
      <c r="H47" s="38"/>
      <c r="I47" s="38"/>
      <c r="L47" s="106"/>
    </row>
    <row r="48" spans="1:12" s="59" customFormat="1" ht="15" x14ac:dyDescent="0.25">
      <c r="A48" s="34" t="s">
        <v>20</v>
      </c>
      <c r="B48" s="458" t="s">
        <v>108</v>
      </c>
      <c r="C48" s="459"/>
      <c r="D48" s="108"/>
      <c r="E48" s="108"/>
      <c r="F48" s="435">
        <f>E25*1%</f>
        <v>1220.2860000000001</v>
      </c>
      <c r="G48" s="435"/>
      <c r="H48" s="51"/>
      <c r="I48" s="51"/>
      <c r="J48" s="51"/>
      <c r="K48" s="51"/>
    </row>
    <row r="49" spans="1:11" s="51" customFormat="1" x14ac:dyDescent="0.2"/>
    <row r="50" spans="1:11" s="51" customFormat="1" ht="15" x14ac:dyDescent="0.25">
      <c r="A50" s="51" t="s">
        <v>372</v>
      </c>
      <c r="B50" s="59"/>
      <c r="C50" s="110" t="s">
        <v>49</v>
      </c>
      <c r="D50" s="59"/>
      <c r="E50" s="59"/>
      <c r="F50" s="59" t="s">
        <v>60</v>
      </c>
      <c r="G50" s="59"/>
      <c r="H50" s="141"/>
      <c r="I50" s="141"/>
      <c r="J50" s="141"/>
    </row>
    <row r="51" spans="1:11" ht="15" x14ac:dyDescent="0.25">
      <c r="A51" s="59"/>
      <c r="B51" s="59"/>
      <c r="C51" s="110"/>
      <c r="D51" s="59"/>
      <c r="E51" s="59"/>
      <c r="F51" s="111" t="s">
        <v>438</v>
      </c>
      <c r="G51" s="59"/>
      <c r="H51" s="51"/>
      <c r="I51" s="51"/>
      <c r="J51" s="51"/>
      <c r="K51" s="51"/>
    </row>
    <row r="52" spans="1:11" ht="15" x14ac:dyDescent="0.25">
      <c r="A52" s="59" t="s">
        <v>50</v>
      </c>
      <c r="B52" s="59"/>
      <c r="C52" s="110"/>
      <c r="D52" s="59"/>
      <c r="E52" s="59"/>
      <c r="F52" s="59"/>
      <c r="G52" s="59"/>
      <c r="H52" s="51"/>
      <c r="I52" s="51"/>
      <c r="J52" s="51"/>
      <c r="K52" s="51"/>
    </row>
    <row r="53" spans="1:11" ht="15" x14ac:dyDescent="0.25">
      <c r="A53" s="59"/>
      <c r="B53" s="59"/>
      <c r="C53" s="112" t="s">
        <v>51</v>
      </c>
      <c r="D53" s="59"/>
      <c r="E53" s="113"/>
      <c r="F53" s="113"/>
      <c r="G53" s="113"/>
    </row>
    <row r="54" spans="1:11" x14ac:dyDescent="0.2">
      <c r="A54" s="51"/>
      <c r="B54" s="51"/>
      <c r="C54" s="51"/>
      <c r="D54" s="51"/>
      <c r="E54" s="51"/>
      <c r="F54" s="51"/>
      <c r="G54" s="51"/>
    </row>
  </sheetData>
  <mergeCells count="23">
    <mergeCell ref="B48:C48"/>
    <mergeCell ref="F48:G48"/>
    <mergeCell ref="B45:C45"/>
    <mergeCell ref="F45:G45"/>
    <mergeCell ref="B46:C46"/>
    <mergeCell ref="F46:G46"/>
    <mergeCell ref="B47:C47"/>
    <mergeCell ref="F47:G47"/>
    <mergeCell ref="A12:K12"/>
    <mergeCell ref="A36:C36"/>
    <mergeCell ref="B44:C44"/>
    <mergeCell ref="F44:G44"/>
    <mergeCell ref="A42:G42"/>
    <mergeCell ref="A35:F35"/>
    <mergeCell ref="A39:B39"/>
    <mergeCell ref="A40:B41"/>
    <mergeCell ref="C34:F34"/>
    <mergeCell ref="A1:K1"/>
    <mergeCell ref="A2:K2"/>
    <mergeCell ref="A3:K3"/>
    <mergeCell ref="A5:K5"/>
    <mergeCell ref="A10:K10"/>
    <mergeCell ref="A11:K1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1F86EC-2AB2-4E4A-8407-BAB24FECC651}">
  <sheetPr>
    <tabColor rgb="FF7030A0"/>
  </sheetPr>
  <dimension ref="A1:P51"/>
  <sheetViews>
    <sheetView topLeftCell="A33" workbookViewId="0">
      <selection activeCell="A55" sqref="A55:IV57"/>
    </sheetView>
  </sheetViews>
  <sheetFormatPr defaultRowHeight="12.75" outlineLevelRow="1" outlineLevelCol="1" x14ac:dyDescent="0.2"/>
  <cols>
    <col min="1" max="1" width="5.5703125" style="49" customWidth="1"/>
    <col min="2" max="2" width="51.85546875" style="49" customWidth="1"/>
    <col min="3" max="3" width="15.7109375" style="49" customWidth="1"/>
    <col min="4" max="4" width="14.85546875" style="49" customWidth="1"/>
    <col min="5" max="5" width="13.140625" style="49" customWidth="1"/>
    <col min="6" max="6" width="12.85546875" style="49" customWidth="1"/>
    <col min="7" max="7" width="14.5703125" style="49" customWidth="1"/>
    <col min="8" max="9" width="11.5703125" style="49" hidden="1" customWidth="1" outlineLevel="1"/>
    <col min="10" max="10" width="10.140625" style="49" hidden="1" customWidth="1" outlineLevel="1"/>
    <col min="11" max="11" width="10.42578125" style="49" hidden="1" customWidth="1" outlineLevel="1"/>
    <col min="12" max="13" width="9.140625" style="49" hidden="1" customWidth="1" outlineLevel="1"/>
    <col min="14" max="14" width="9.140625" style="49" collapsed="1"/>
    <col min="15" max="15" width="10" style="49" bestFit="1" customWidth="1"/>
    <col min="16" max="16" width="15.85546875" style="49" customWidth="1"/>
    <col min="17" max="16384" width="9.140625" style="49"/>
  </cols>
  <sheetData>
    <row r="1" spans="1:16" x14ac:dyDescent="0.2">
      <c r="A1" s="370" t="s">
        <v>0</v>
      </c>
      <c r="B1" s="370"/>
      <c r="C1" s="370"/>
      <c r="D1" s="370"/>
      <c r="E1" s="370"/>
      <c r="F1" s="370"/>
      <c r="G1" s="370"/>
      <c r="H1" s="370"/>
      <c r="I1" s="370"/>
      <c r="J1" s="370"/>
      <c r="K1" s="370"/>
    </row>
    <row r="2" spans="1:16" ht="12.75" customHeight="1" x14ac:dyDescent="0.2">
      <c r="A2" s="370" t="s">
        <v>279</v>
      </c>
      <c r="B2" s="370"/>
      <c r="C2" s="370"/>
      <c r="D2" s="370"/>
      <c r="E2" s="370"/>
      <c r="F2" s="370"/>
      <c r="G2" s="370"/>
      <c r="H2" s="370"/>
      <c r="I2" s="370"/>
      <c r="J2" s="370"/>
      <c r="K2" s="370"/>
    </row>
    <row r="3" spans="1:16" ht="13.5" customHeight="1" x14ac:dyDescent="0.2">
      <c r="A3" s="370" t="s">
        <v>426</v>
      </c>
      <c r="B3" s="370"/>
      <c r="C3" s="370"/>
      <c r="D3" s="370"/>
      <c r="E3" s="370"/>
      <c r="F3" s="370"/>
      <c r="G3" s="370"/>
      <c r="H3" s="370"/>
      <c r="I3" s="370"/>
      <c r="J3" s="370"/>
      <c r="K3" s="370"/>
    </row>
    <row r="4" spans="1:16" ht="9" customHeight="1" x14ac:dyDescent="0.2">
      <c r="A4" s="48"/>
      <c r="B4" s="48"/>
      <c r="C4" s="48"/>
      <c r="D4" s="48"/>
      <c r="E4" s="48"/>
      <c r="F4" s="48"/>
      <c r="G4" s="48"/>
      <c r="H4" s="48"/>
      <c r="I4" s="48"/>
      <c r="J4" s="48"/>
      <c r="K4" s="48"/>
    </row>
    <row r="5" spans="1:16" ht="16.5" customHeight="1" x14ac:dyDescent="0.2">
      <c r="A5" s="371" t="s">
        <v>1</v>
      </c>
      <c r="B5" s="370"/>
      <c r="C5" s="370"/>
      <c r="D5" s="370"/>
      <c r="E5" s="370"/>
      <c r="F5" s="370"/>
      <c r="G5" s="370"/>
      <c r="H5" s="370"/>
      <c r="I5" s="370"/>
      <c r="J5" s="370"/>
      <c r="K5" s="370"/>
    </row>
    <row r="7" spans="1:16" s="51" customFormat="1" ht="16.5" customHeight="1" x14ac:dyDescent="0.2">
      <c r="A7" s="51" t="s">
        <v>2</v>
      </c>
      <c r="F7" s="52" t="s">
        <v>311</v>
      </c>
      <c r="H7" s="52"/>
      <c r="L7" s="214"/>
    </row>
    <row r="8" spans="1:16" s="51" customFormat="1" x14ac:dyDescent="0.2">
      <c r="A8" s="51" t="s">
        <v>3</v>
      </c>
      <c r="F8" s="242" t="s">
        <v>312</v>
      </c>
      <c r="H8" s="52"/>
    </row>
    <row r="9" spans="1:16" s="51" customFormat="1" x14ac:dyDescent="0.2">
      <c r="A9" s="372" t="s">
        <v>8</v>
      </c>
      <c r="B9" s="372"/>
      <c r="C9" s="372"/>
      <c r="D9" s="372"/>
      <c r="E9" s="372"/>
      <c r="F9" s="372"/>
      <c r="G9" s="372"/>
      <c r="H9" s="372"/>
      <c r="I9" s="372"/>
      <c r="J9" s="372"/>
      <c r="K9" s="372"/>
    </row>
    <row r="10" spans="1:16" s="51" customFormat="1" x14ac:dyDescent="0.2">
      <c r="A10" s="372" t="s">
        <v>9</v>
      </c>
      <c r="B10" s="372"/>
      <c r="C10" s="372"/>
      <c r="D10" s="372"/>
      <c r="E10" s="372"/>
      <c r="F10" s="372"/>
      <c r="G10" s="372"/>
      <c r="H10" s="372"/>
      <c r="I10" s="372"/>
      <c r="J10" s="372"/>
      <c r="K10" s="372"/>
    </row>
    <row r="11" spans="1:16" s="51" customFormat="1" x14ac:dyDescent="0.2">
      <c r="A11" s="372" t="s">
        <v>10</v>
      </c>
      <c r="B11" s="372"/>
      <c r="C11" s="372"/>
      <c r="D11" s="372"/>
      <c r="E11" s="372"/>
      <c r="F11" s="372"/>
      <c r="G11" s="372"/>
      <c r="H11" s="372"/>
      <c r="I11" s="372"/>
      <c r="J11" s="372"/>
      <c r="K11" s="372"/>
    </row>
    <row r="12" spans="1:16" s="59" customFormat="1" ht="6" customHeight="1" thickBot="1" x14ac:dyDescent="0.3">
      <c r="A12" s="60"/>
      <c r="B12" s="60"/>
      <c r="C12" s="60"/>
      <c r="D12" s="38"/>
      <c r="E12" s="58"/>
      <c r="F12" s="58"/>
      <c r="G12" s="58"/>
      <c r="H12" s="54"/>
      <c r="I12" s="54"/>
    </row>
    <row r="13" spans="1:16" s="59" customFormat="1" ht="15.75" thickBot="1" x14ac:dyDescent="0.3">
      <c r="A13" s="217" t="s">
        <v>381</v>
      </c>
      <c r="B13" s="218"/>
      <c r="C13" s="218"/>
      <c r="D13" s="61"/>
      <c r="E13" s="62"/>
      <c r="F13" s="62"/>
      <c r="G13" s="44">
        <f>'[1]Герцена 2 дробь 8'!$G$36</f>
        <v>8775.1332000000057</v>
      </c>
      <c r="H13" s="54"/>
      <c r="I13" s="54" t="s">
        <v>420</v>
      </c>
    </row>
    <row r="14" spans="1:16" s="51" customFormat="1" ht="6.75" customHeight="1" x14ac:dyDescent="0.2"/>
    <row r="15" spans="1:16" s="66" customFormat="1" ht="38.25" x14ac:dyDescent="0.25">
      <c r="A15" s="64" t="s">
        <v>11</v>
      </c>
      <c r="B15" s="64" t="s">
        <v>12</v>
      </c>
      <c r="C15" s="64" t="s">
        <v>61</v>
      </c>
      <c r="D15" s="64" t="s">
        <v>432</v>
      </c>
      <c r="E15" s="64" t="s">
        <v>433</v>
      </c>
      <c r="F15" s="65" t="s">
        <v>434</v>
      </c>
      <c r="G15" s="64" t="s">
        <v>435</v>
      </c>
    </row>
    <row r="16" spans="1:16" s="51" customFormat="1" ht="14.25" x14ac:dyDescent="0.2">
      <c r="A16" s="67" t="s">
        <v>14</v>
      </c>
      <c r="B16" s="39" t="s">
        <v>379</v>
      </c>
      <c r="C16" s="120">
        <v>23.85</v>
      </c>
      <c r="D16" s="68">
        <v>496861.13</v>
      </c>
      <c r="E16" s="68">
        <v>461739.52000000002</v>
      </c>
      <c r="F16" s="68">
        <f t="shared" ref="F16:F22" si="0">D16</f>
        <v>496861.13</v>
      </c>
      <c r="G16" s="69">
        <f>D16-E16</f>
        <v>35121.609999999986</v>
      </c>
      <c r="H16" s="70">
        <f>C16</f>
        <v>23.85</v>
      </c>
      <c r="I16" s="71"/>
      <c r="J16" s="71"/>
      <c r="K16" s="71"/>
      <c r="O16" s="70"/>
      <c r="P16" s="72"/>
    </row>
    <row r="17" spans="1:14" s="51" customFormat="1" ht="15" hidden="1" outlineLevel="1" x14ac:dyDescent="0.25">
      <c r="A17" s="73" t="s">
        <v>16</v>
      </c>
      <c r="B17" s="34" t="s">
        <v>17</v>
      </c>
      <c r="C17" s="89">
        <v>3.46</v>
      </c>
      <c r="D17" s="75">
        <f>D16*I17</f>
        <v>72081.321165618443</v>
      </c>
      <c r="E17" s="75">
        <f>E16*I17</f>
        <v>66986.110658280915</v>
      </c>
      <c r="F17" s="75">
        <f t="shared" si="0"/>
        <v>72081.321165618443</v>
      </c>
      <c r="G17" s="76">
        <f>D17-E17</f>
        <v>5095.2105073375278</v>
      </c>
      <c r="H17" s="70">
        <f>C17</f>
        <v>3.46</v>
      </c>
      <c r="I17" s="51">
        <f>H17/H16</f>
        <v>0.14507337526205449</v>
      </c>
    </row>
    <row r="18" spans="1:14" s="51" customFormat="1" ht="15" hidden="1" outlineLevel="1" x14ac:dyDescent="0.25">
      <c r="A18" s="73" t="s">
        <v>18</v>
      </c>
      <c r="B18" s="34" t="s">
        <v>19</v>
      </c>
      <c r="C18" s="89">
        <v>1.69</v>
      </c>
      <c r="D18" s="75">
        <f>D16*I18</f>
        <v>35207.350511530392</v>
      </c>
      <c r="E18" s="75">
        <f>E16*I18</f>
        <v>32718.649425576517</v>
      </c>
      <c r="F18" s="75">
        <f t="shared" si="0"/>
        <v>35207.350511530392</v>
      </c>
      <c r="G18" s="76">
        <f>D18-E18</f>
        <v>2488.701085953875</v>
      </c>
      <c r="H18" s="70">
        <f>C18</f>
        <v>1.69</v>
      </c>
      <c r="I18" s="51">
        <f>H18/H16</f>
        <v>7.0859538784067075E-2</v>
      </c>
    </row>
    <row r="19" spans="1:14" s="51" customFormat="1" ht="15" hidden="1" outlineLevel="1" x14ac:dyDescent="0.25">
      <c r="A19" s="73" t="s">
        <v>20</v>
      </c>
      <c r="B19" s="34" t="s">
        <v>21</v>
      </c>
      <c r="C19" s="89">
        <v>2.15</v>
      </c>
      <c r="D19" s="75">
        <f>D16*I19</f>
        <v>44790.416331236891</v>
      </c>
      <c r="E19" s="75">
        <f>E16*I19</f>
        <v>41624.317316561843</v>
      </c>
      <c r="F19" s="75">
        <f t="shared" si="0"/>
        <v>44790.416331236891</v>
      </c>
      <c r="G19" s="76">
        <f>D19-E19</f>
        <v>3166.0990146750482</v>
      </c>
      <c r="H19" s="70">
        <f>C19</f>
        <v>2.15</v>
      </c>
      <c r="I19" s="51">
        <f>H19/H16</f>
        <v>9.0146750524109004E-2</v>
      </c>
    </row>
    <row r="20" spans="1:14" s="51" customFormat="1" ht="15" hidden="1" outlineLevel="1" x14ac:dyDescent="0.25">
      <c r="A20" s="73" t="s">
        <v>22</v>
      </c>
      <c r="B20" s="34" t="s">
        <v>23</v>
      </c>
      <c r="C20" s="89">
        <v>3.04</v>
      </c>
      <c r="D20" s="75">
        <f>D16*I20</f>
        <v>63331.565417190774</v>
      </c>
      <c r="E20" s="75">
        <f>E16*I20</f>
        <v>58854.848670859537</v>
      </c>
      <c r="F20" s="75">
        <f t="shared" si="0"/>
        <v>63331.565417190774</v>
      </c>
      <c r="G20" s="76">
        <f>D20-E20</f>
        <v>4476.7167463312362</v>
      </c>
      <c r="H20" s="70">
        <f>C20</f>
        <v>3.04</v>
      </c>
      <c r="I20" s="51">
        <f>H20/H16</f>
        <v>0.12746331236897274</v>
      </c>
    </row>
    <row r="21" spans="1:14" s="81" customFormat="1" ht="14.25" collapsed="1" x14ac:dyDescent="0.2">
      <c r="A21" s="78" t="s">
        <v>25</v>
      </c>
      <c r="B21" s="78" t="s">
        <v>145</v>
      </c>
      <c r="C21" s="87">
        <v>0</v>
      </c>
      <c r="D21" s="79">
        <v>0</v>
      </c>
      <c r="E21" s="79">
        <v>0</v>
      </c>
      <c r="F21" s="79">
        <f t="shared" si="0"/>
        <v>0</v>
      </c>
      <c r="G21" s="69">
        <f t="shared" ref="G21:G31" si="1">D21-E21</f>
        <v>0</v>
      </c>
      <c r="H21" s="80"/>
      <c r="I21" s="80"/>
      <c r="J21" s="80"/>
      <c r="K21" s="80"/>
    </row>
    <row r="22" spans="1:14" s="81" customFormat="1" ht="14.25" x14ac:dyDescent="0.2">
      <c r="A22" s="78" t="s">
        <v>27</v>
      </c>
      <c r="B22" s="78" t="s">
        <v>28</v>
      </c>
      <c r="C22" s="87">
        <v>0</v>
      </c>
      <c r="D22" s="79">
        <v>0</v>
      </c>
      <c r="E22" s="79">
        <v>0</v>
      </c>
      <c r="F22" s="79">
        <f t="shared" si="0"/>
        <v>0</v>
      </c>
      <c r="G22" s="69">
        <f t="shared" si="1"/>
        <v>0</v>
      </c>
      <c r="H22" s="80"/>
      <c r="I22" s="80"/>
      <c r="J22" s="80"/>
      <c r="K22" s="80"/>
    </row>
    <row r="23" spans="1:14" s="81" customFormat="1" ht="14.25" x14ac:dyDescent="0.2">
      <c r="A23" s="78" t="s">
        <v>29</v>
      </c>
      <c r="B23" s="78" t="s">
        <v>30</v>
      </c>
      <c r="C23" s="126">
        <v>0</v>
      </c>
      <c r="D23" s="79">
        <v>0</v>
      </c>
      <c r="E23" s="79">
        <v>0</v>
      </c>
      <c r="F23" s="79">
        <v>0</v>
      </c>
      <c r="G23" s="69">
        <f t="shared" si="1"/>
        <v>0</v>
      </c>
      <c r="H23" s="80"/>
      <c r="I23" s="80"/>
      <c r="J23" s="80"/>
      <c r="K23" s="80"/>
    </row>
    <row r="24" spans="1:14" s="81" customFormat="1" ht="14.25" x14ac:dyDescent="0.2">
      <c r="A24" s="78" t="s">
        <v>31</v>
      </c>
      <c r="B24" s="78" t="s">
        <v>80</v>
      </c>
      <c r="C24" s="79">
        <v>2.36</v>
      </c>
      <c r="D24" s="79">
        <v>49469.16</v>
      </c>
      <c r="E24" s="79">
        <v>45994.12</v>
      </c>
      <c r="F24" s="79">
        <f>F41</f>
        <v>459.94120000000004</v>
      </c>
      <c r="G24" s="69">
        <f t="shared" si="1"/>
        <v>3475.0400000000009</v>
      </c>
      <c r="H24" s="80"/>
      <c r="I24" s="80"/>
      <c r="J24" s="80"/>
      <c r="K24" s="80"/>
    </row>
    <row r="25" spans="1:14" ht="14.25" x14ac:dyDescent="0.2">
      <c r="A25" s="39" t="s">
        <v>33</v>
      </c>
      <c r="B25" s="39" t="s">
        <v>97</v>
      </c>
      <c r="C25" s="82">
        <v>0</v>
      </c>
      <c r="D25" s="69">
        <v>0</v>
      </c>
      <c r="E25" s="69">
        <v>0</v>
      </c>
      <c r="F25" s="79">
        <f>D25</f>
        <v>0</v>
      </c>
      <c r="G25" s="69">
        <f t="shared" si="1"/>
        <v>0</v>
      </c>
      <c r="H25" s="88"/>
      <c r="I25" s="88"/>
      <c r="J25" s="88"/>
      <c r="K25" s="88"/>
    </row>
    <row r="26" spans="1:14" ht="14.25" x14ac:dyDescent="0.2">
      <c r="A26" s="39" t="s">
        <v>35</v>
      </c>
      <c r="B26" s="39" t="s">
        <v>36</v>
      </c>
      <c r="C26" s="69"/>
      <c r="D26" s="69">
        <f>SUM(D27:D30)</f>
        <v>1170505.3700000001</v>
      </c>
      <c r="E26" s="69">
        <f>SUM(E27:E30)</f>
        <v>1075059.1099999999</v>
      </c>
      <c r="F26" s="69">
        <f>SUM(F27:F30)</f>
        <v>1170505.3700000001</v>
      </c>
      <c r="G26" s="69">
        <f t="shared" si="1"/>
        <v>95446.260000000242</v>
      </c>
      <c r="H26" s="88"/>
      <c r="I26" s="88"/>
      <c r="J26" s="88"/>
      <c r="K26" s="88"/>
      <c r="N26" s="324"/>
    </row>
    <row r="27" spans="1:14" ht="15" x14ac:dyDescent="0.25">
      <c r="A27" s="34" t="s">
        <v>37</v>
      </c>
      <c r="B27" s="34" t="s">
        <v>101</v>
      </c>
      <c r="C27" s="89">
        <v>7.36</v>
      </c>
      <c r="D27" s="76">
        <v>20198.82</v>
      </c>
      <c r="E27" s="76">
        <v>18755.27</v>
      </c>
      <c r="F27" s="76">
        <f>D27</f>
        <v>20198.82</v>
      </c>
      <c r="G27" s="76">
        <f t="shared" si="1"/>
        <v>1443.5499999999993</v>
      </c>
    </row>
    <row r="28" spans="1:14" ht="15" x14ac:dyDescent="0.25">
      <c r="A28" s="34" t="s">
        <v>39</v>
      </c>
      <c r="B28" s="34" t="s">
        <v>84</v>
      </c>
      <c r="C28" s="89">
        <v>88.38</v>
      </c>
      <c r="D28" s="76">
        <v>201611.51999999999</v>
      </c>
      <c r="E28" s="76">
        <v>187554.22</v>
      </c>
      <c r="F28" s="76">
        <f>D28</f>
        <v>201611.51999999999</v>
      </c>
      <c r="G28" s="76">
        <f t="shared" si="1"/>
        <v>14057.299999999988</v>
      </c>
    </row>
    <row r="29" spans="1:14" ht="15" x14ac:dyDescent="0.25">
      <c r="A29" s="34" t="s">
        <v>42</v>
      </c>
      <c r="B29" s="34" t="s">
        <v>135</v>
      </c>
      <c r="C29" s="128">
        <v>278.94</v>
      </c>
      <c r="D29" s="76">
        <v>273791.11</v>
      </c>
      <c r="E29" s="76">
        <v>239264.55</v>
      </c>
      <c r="F29" s="76">
        <f>D29</f>
        <v>273791.11</v>
      </c>
      <c r="G29" s="76">
        <f t="shared" si="1"/>
        <v>34526.559999999998</v>
      </c>
    </row>
    <row r="30" spans="1:14" ht="15" x14ac:dyDescent="0.25">
      <c r="A30" s="34" t="s">
        <v>41</v>
      </c>
      <c r="B30" s="34" t="s">
        <v>43</v>
      </c>
      <c r="C30" s="89">
        <v>3352.42</v>
      </c>
      <c r="D30" s="76">
        <v>674903.92</v>
      </c>
      <c r="E30" s="76">
        <v>629485.06999999995</v>
      </c>
      <c r="F30" s="76">
        <f>D30</f>
        <v>674903.92</v>
      </c>
      <c r="G30" s="76">
        <f t="shared" si="1"/>
        <v>45418.850000000093</v>
      </c>
    </row>
    <row r="31" spans="1:14" ht="14.25" hidden="1" outlineLevel="1" x14ac:dyDescent="0.2">
      <c r="A31" s="39" t="s">
        <v>112</v>
      </c>
      <c r="B31" s="300" t="s">
        <v>140</v>
      </c>
      <c r="C31" s="298"/>
      <c r="D31" s="248">
        <f>1000</f>
        <v>1000</v>
      </c>
      <c r="E31" s="248">
        <v>0</v>
      </c>
      <c r="F31" s="248">
        <v>0</v>
      </c>
      <c r="G31" s="248">
        <f t="shared" si="1"/>
        <v>1000</v>
      </c>
    </row>
    <row r="32" spans="1:14" ht="15" hidden="1" outlineLevel="1" x14ac:dyDescent="0.2">
      <c r="A32" s="90"/>
      <c r="B32" s="301"/>
      <c r="C32" s="376" t="s">
        <v>246</v>
      </c>
      <c r="D32" s="377"/>
      <c r="E32" s="377"/>
      <c r="F32" s="377"/>
      <c r="G32" s="82">
        <f>E31-(E31*15%)</f>
        <v>0</v>
      </c>
    </row>
    <row r="33" spans="1:14" s="92" customFormat="1" ht="18.75" customHeight="1" collapsed="1" thickBot="1" x14ac:dyDescent="0.3">
      <c r="A33" s="373"/>
      <c r="B33" s="374"/>
      <c r="C33" s="374"/>
      <c r="D33" s="375"/>
      <c r="E33" s="375"/>
      <c r="F33" s="375"/>
      <c r="G33" s="91"/>
      <c r="H33" s="91"/>
      <c r="I33" s="91"/>
    </row>
    <row r="34" spans="1:14" s="59" customFormat="1" ht="15.75" thickBot="1" x14ac:dyDescent="0.3">
      <c r="A34" s="387" t="s">
        <v>427</v>
      </c>
      <c r="B34" s="388"/>
      <c r="C34" s="388"/>
      <c r="D34" s="57">
        <v>134042.91</v>
      </c>
      <c r="E34" s="58"/>
      <c r="F34" s="58"/>
      <c r="G34" s="58"/>
      <c r="H34" s="54"/>
      <c r="I34" s="54"/>
    </row>
    <row r="35" spans="1:14" s="59" customFormat="1" ht="6" customHeight="1" thickBot="1" x14ac:dyDescent="0.3">
      <c r="A35" s="60"/>
      <c r="B35" s="60"/>
      <c r="C35" s="60"/>
      <c r="D35" s="38"/>
      <c r="E35" s="58"/>
      <c r="F35" s="58"/>
      <c r="G35" s="58"/>
      <c r="H35" s="54"/>
      <c r="I35" s="54"/>
    </row>
    <row r="36" spans="1:14" s="59" customFormat="1" ht="15.75" thickBot="1" x14ac:dyDescent="0.3">
      <c r="A36" s="55" t="s">
        <v>563</v>
      </c>
      <c r="B36" s="56"/>
      <c r="C36" s="56"/>
      <c r="D36" s="61"/>
      <c r="E36" s="62"/>
      <c r="F36" s="62"/>
      <c r="G36" s="129">
        <f>G13+E24-F24</f>
        <v>54309.312000000005</v>
      </c>
      <c r="H36" s="54"/>
      <c r="I36" s="54"/>
    </row>
    <row r="37" spans="1:14" s="92" customFormat="1" ht="13.5" x14ac:dyDescent="0.25">
      <c r="A37" s="93"/>
      <c r="B37" s="93"/>
      <c r="C37" s="93"/>
      <c r="D37" s="93"/>
      <c r="E37" s="91"/>
      <c r="F37" s="91"/>
      <c r="G37" s="91"/>
      <c r="H37" s="91"/>
      <c r="I37" s="91"/>
      <c r="J37" s="91"/>
      <c r="K37" s="91"/>
      <c r="L37" s="91"/>
      <c r="M37" s="91"/>
    </row>
    <row r="38" spans="1:14" s="92" customFormat="1" ht="27" customHeight="1" x14ac:dyDescent="0.25">
      <c r="A38" s="371" t="s">
        <v>44</v>
      </c>
      <c r="B38" s="371"/>
      <c r="C38" s="371"/>
      <c r="D38" s="371"/>
      <c r="E38" s="371"/>
      <c r="F38" s="371"/>
      <c r="G38" s="371"/>
      <c r="H38" s="371"/>
      <c r="I38" s="371"/>
      <c r="J38" s="371"/>
      <c r="K38" s="371"/>
      <c r="L38" s="91"/>
      <c r="M38" s="91"/>
    </row>
    <row r="40" spans="1:14" ht="28.5" x14ac:dyDescent="0.2">
      <c r="A40" s="94" t="s">
        <v>11</v>
      </c>
      <c r="B40" s="416" t="s">
        <v>45</v>
      </c>
      <c r="C40" s="425"/>
      <c r="D40" s="94" t="s">
        <v>99</v>
      </c>
      <c r="E40" s="94" t="s">
        <v>98</v>
      </c>
      <c r="F40" s="416" t="s">
        <v>46</v>
      </c>
      <c r="G40" s="425"/>
      <c r="H40" s="207"/>
      <c r="I40" s="208"/>
      <c r="J40" s="66"/>
      <c r="K40" s="66"/>
    </row>
    <row r="41" spans="1:14" s="66" customFormat="1" ht="15" x14ac:dyDescent="0.25">
      <c r="A41" s="98" t="s">
        <v>47</v>
      </c>
      <c r="B41" s="418" t="s">
        <v>75</v>
      </c>
      <c r="C41" s="430"/>
      <c r="D41" s="99"/>
      <c r="E41" s="99"/>
      <c r="F41" s="436">
        <f>F42+F43+F44+F45</f>
        <v>459.94120000000004</v>
      </c>
      <c r="G41" s="557"/>
      <c r="H41" s="209"/>
      <c r="I41" s="210"/>
      <c r="J41" s="103"/>
      <c r="K41" s="103"/>
      <c r="N41" s="97"/>
    </row>
    <row r="42" spans="1:14" s="66" customFormat="1" ht="15" x14ac:dyDescent="0.25">
      <c r="A42" s="34" t="s">
        <v>16</v>
      </c>
      <c r="B42" s="412"/>
      <c r="C42" s="413"/>
      <c r="D42" s="260"/>
      <c r="E42" s="260"/>
      <c r="F42" s="463"/>
      <c r="G42" s="463"/>
      <c r="H42" s="101"/>
      <c r="I42" s="102"/>
      <c r="J42" s="103"/>
      <c r="K42" s="103"/>
      <c r="N42" s="97"/>
    </row>
    <row r="43" spans="1:14" s="66" customFormat="1" ht="16.149999999999999" customHeight="1" x14ac:dyDescent="0.25">
      <c r="A43" s="34" t="s">
        <v>18</v>
      </c>
      <c r="B43" s="412"/>
      <c r="C43" s="413"/>
      <c r="D43" s="260"/>
      <c r="E43" s="260"/>
      <c r="F43" s="463"/>
      <c r="G43" s="463"/>
      <c r="H43" s="101"/>
      <c r="I43" s="102"/>
      <c r="J43" s="103"/>
      <c r="K43" s="103"/>
      <c r="N43" s="97"/>
    </row>
    <row r="44" spans="1:14" s="103" customFormat="1" ht="15" x14ac:dyDescent="0.25">
      <c r="A44" s="34" t="s">
        <v>20</v>
      </c>
      <c r="B44" s="412"/>
      <c r="C44" s="413"/>
      <c r="D44" s="258"/>
      <c r="E44" s="263"/>
      <c r="F44" s="463"/>
      <c r="G44" s="463"/>
      <c r="H44" s="38"/>
      <c r="I44" s="38"/>
      <c r="J44" s="49"/>
      <c r="K44" s="49"/>
      <c r="N44" s="104"/>
    </row>
    <row r="45" spans="1:14" s="51" customFormat="1" ht="15" x14ac:dyDescent="0.25">
      <c r="A45" s="34" t="s">
        <v>22</v>
      </c>
      <c r="B45" s="458" t="s">
        <v>108</v>
      </c>
      <c r="C45" s="459"/>
      <c r="D45" s="108"/>
      <c r="E45" s="108"/>
      <c r="F45" s="435">
        <f>E24*1%</f>
        <v>459.94120000000004</v>
      </c>
      <c r="G45" s="435"/>
    </row>
    <row r="46" spans="1:14" s="59" customFormat="1" ht="15" x14ac:dyDescent="0.25">
      <c r="A46" s="51"/>
      <c r="B46" s="51"/>
      <c r="C46" s="51"/>
      <c r="D46" s="51"/>
      <c r="E46" s="51"/>
      <c r="F46" s="51"/>
      <c r="G46" s="51"/>
      <c r="H46" s="51"/>
      <c r="I46" s="51"/>
      <c r="J46" s="51"/>
      <c r="K46" s="51"/>
    </row>
    <row r="47" spans="1:14" s="51" customFormat="1" ht="15" x14ac:dyDescent="0.25">
      <c r="A47" s="51" t="s">
        <v>372</v>
      </c>
      <c r="B47" s="59"/>
      <c r="C47" s="110" t="s">
        <v>49</v>
      </c>
      <c r="D47" s="59"/>
      <c r="E47" s="59"/>
      <c r="F47" s="59" t="s">
        <v>60</v>
      </c>
      <c r="G47" s="59"/>
      <c r="H47" s="59"/>
      <c r="I47" s="59"/>
      <c r="J47" s="59"/>
      <c r="K47" s="59"/>
    </row>
    <row r="48" spans="1:14" s="51" customFormat="1" ht="15" x14ac:dyDescent="0.25">
      <c r="A48" s="59"/>
      <c r="B48" s="59"/>
      <c r="C48" s="110"/>
      <c r="D48" s="59"/>
      <c r="E48" s="59"/>
      <c r="F48" s="111" t="s">
        <v>438</v>
      </c>
      <c r="G48" s="59"/>
    </row>
    <row r="49" spans="1:11" s="51" customFormat="1" ht="15" x14ac:dyDescent="0.25">
      <c r="A49" s="59" t="s">
        <v>50</v>
      </c>
      <c r="B49" s="59"/>
      <c r="C49" s="110"/>
      <c r="D49" s="59"/>
      <c r="E49" s="59"/>
      <c r="F49" s="59"/>
      <c r="G49" s="59"/>
      <c r="H49" s="141"/>
      <c r="I49" s="141"/>
      <c r="J49" s="141"/>
    </row>
    <row r="50" spans="1:11" s="51" customFormat="1" ht="15" x14ac:dyDescent="0.25">
      <c r="A50" s="59"/>
      <c r="B50" s="59"/>
      <c r="C50" s="112" t="s">
        <v>51</v>
      </c>
      <c r="D50" s="59"/>
      <c r="E50" s="113"/>
      <c r="F50" s="113"/>
      <c r="G50" s="113"/>
    </row>
    <row r="51" spans="1:11" x14ac:dyDescent="0.2">
      <c r="A51" s="51"/>
      <c r="B51" s="51"/>
      <c r="C51" s="51"/>
      <c r="D51" s="51"/>
      <c r="E51" s="51"/>
      <c r="F51" s="51"/>
      <c r="G51" s="51"/>
      <c r="H51" s="51"/>
      <c r="I51" s="51"/>
      <c r="J51" s="51"/>
      <c r="K51" s="51"/>
    </row>
  </sheetData>
  <mergeCells count="23">
    <mergeCell ref="B44:C44"/>
    <mergeCell ref="F44:G44"/>
    <mergeCell ref="B42:C42"/>
    <mergeCell ref="B43:C43"/>
    <mergeCell ref="F42:G42"/>
    <mergeCell ref="F43:G43"/>
    <mergeCell ref="F40:G40"/>
    <mergeCell ref="C32:F32"/>
    <mergeCell ref="B45:C45"/>
    <mergeCell ref="F45:G45"/>
    <mergeCell ref="A34:C34"/>
    <mergeCell ref="A38:K38"/>
    <mergeCell ref="B40:C40"/>
    <mergeCell ref="A33:F33"/>
    <mergeCell ref="B41:C41"/>
    <mergeCell ref="F41:G41"/>
    <mergeCell ref="A11:K11"/>
    <mergeCell ref="A1:K1"/>
    <mergeCell ref="A2:K2"/>
    <mergeCell ref="A3:K3"/>
    <mergeCell ref="A5:K5"/>
    <mergeCell ref="A9:K9"/>
    <mergeCell ref="A10:K10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8607FC-6A4C-459A-9307-95A076079048}">
  <sheetPr>
    <tabColor rgb="FF7030A0"/>
  </sheetPr>
  <dimension ref="A1:P52"/>
  <sheetViews>
    <sheetView topLeftCell="A31" workbookViewId="0">
      <selection activeCell="A54" sqref="A54:IV55"/>
    </sheetView>
  </sheetViews>
  <sheetFormatPr defaultRowHeight="12.75" outlineLevelRow="1" outlineLevelCol="1" x14ac:dyDescent="0.2"/>
  <cols>
    <col min="1" max="1" width="5.5703125" style="49" customWidth="1"/>
    <col min="2" max="2" width="51.85546875" style="49" customWidth="1"/>
    <col min="3" max="3" width="15.7109375" style="49" customWidth="1"/>
    <col min="4" max="4" width="14.85546875" style="49" customWidth="1"/>
    <col min="5" max="6" width="12.85546875" style="49" customWidth="1"/>
    <col min="7" max="7" width="14.5703125" style="49" customWidth="1"/>
    <col min="8" max="9" width="11.5703125" style="49" hidden="1" customWidth="1" outlineLevel="1"/>
    <col min="10" max="10" width="10.140625" style="49" hidden="1" customWidth="1" outlineLevel="1"/>
    <col min="11" max="11" width="10.42578125" style="49" hidden="1" customWidth="1" outlineLevel="1"/>
    <col min="12" max="13" width="9.140625" style="49" hidden="1" customWidth="1" outlineLevel="1"/>
    <col min="14" max="14" width="10" style="49" bestFit="1" customWidth="1" collapsed="1"/>
    <col min="15" max="15" width="10" style="49" bestFit="1" customWidth="1"/>
    <col min="16" max="16" width="15.85546875" style="49" customWidth="1"/>
    <col min="17" max="16384" width="9.140625" style="49"/>
  </cols>
  <sheetData>
    <row r="1" spans="1:13" x14ac:dyDescent="0.2">
      <c r="A1" s="370" t="s">
        <v>0</v>
      </c>
      <c r="B1" s="370"/>
      <c r="C1" s="370"/>
      <c r="D1" s="370"/>
      <c r="E1" s="370"/>
      <c r="F1" s="370"/>
      <c r="G1" s="370"/>
      <c r="H1" s="370"/>
      <c r="I1" s="370"/>
      <c r="J1" s="370"/>
      <c r="K1" s="370"/>
    </row>
    <row r="2" spans="1:13" ht="12.75" customHeight="1" x14ac:dyDescent="0.2">
      <c r="A2" s="370" t="s">
        <v>279</v>
      </c>
      <c r="B2" s="370"/>
      <c r="C2" s="370"/>
      <c r="D2" s="370"/>
      <c r="E2" s="370"/>
      <c r="F2" s="370"/>
      <c r="G2" s="370"/>
      <c r="H2" s="370"/>
      <c r="I2" s="370"/>
      <c r="J2" s="370"/>
      <c r="K2" s="370"/>
    </row>
    <row r="3" spans="1:13" ht="13.5" customHeight="1" x14ac:dyDescent="0.2">
      <c r="A3" s="370" t="s">
        <v>426</v>
      </c>
      <c r="B3" s="370"/>
      <c r="C3" s="370"/>
      <c r="D3" s="370"/>
      <c r="E3" s="370"/>
      <c r="F3" s="370"/>
      <c r="G3" s="370"/>
      <c r="H3" s="370"/>
      <c r="I3" s="370"/>
      <c r="J3" s="370"/>
      <c r="K3" s="370"/>
    </row>
    <row r="4" spans="1:13" ht="9" customHeight="1" x14ac:dyDescent="0.2">
      <c r="A4" s="48"/>
      <c r="B4" s="48"/>
      <c r="C4" s="48"/>
      <c r="D4" s="48"/>
      <c r="E4" s="48"/>
      <c r="F4" s="48"/>
      <c r="G4" s="48"/>
      <c r="H4" s="48"/>
      <c r="I4" s="48"/>
      <c r="J4" s="48"/>
      <c r="K4" s="48"/>
    </row>
    <row r="5" spans="1:13" ht="16.5" customHeight="1" x14ac:dyDescent="0.2">
      <c r="A5" s="371" t="s">
        <v>1</v>
      </c>
      <c r="B5" s="370"/>
      <c r="C5" s="370"/>
      <c r="D5" s="370"/>
      <c r="E5" s="370"/>
      <c r="F5" s="370"/>
      <c r="G5" s="370"/>
      <c r="H5" s="370"/>
      <c r="I5" s="370"/>
      <c r="J5" s="370"/>
      <c r="K5" s="370"/>
    </row>
    <row r="7" spans="1:13" s="51" customFormat="1" ht="16.5" customHeight="1" x14ac:dyDescent="0.2">
      <c r="A7" s="51" t="s">
        <v>2</v>
      </c>
      <c r="F7" s="52" t="s">
        <v>313</v>
      </c>
      <c r="H7" s="52"/>
      <c r="L7" s="214"/>
      <c r="M7" s="214"/>
    </row>
    <row r="8" spans="1:13" s="51" customFormat="1" x14ac:dyDescent="0.2">
      <c r="A8" s="51" t="s">
        <v>3</v>
      </c>
      <c r="F8" s="242" t="s">
        <v>315</v>
      </c>
      <c r="H8" s="52"/>
    </row>
    <row r="9" spans="1:13" s="51" customFormat="1" x14ac:dyDescent="0.2">
      <c r="B9" s="51" t="s">
        <v>252</v>
      </c>
      <c r="F9" s="242" t="s">
        <v>314</v>
      </c>
      <c r="H9" s="231">
        <v>108.4</v>
      </c>
      <c r="I9" s="51">
        <f>J9-H9</f>
        <v>3353.6</v>
      </c>
      <c r="J9" s="276">
        <v>3462</v>
      </c>
    </row>
    <row r="10" spans="1:13" s="51" customFormat="1" x14ac:dyDescent="0.2">
      <c r="A10" s="372" t="s">
        <v>8</v>
      </c>
      <c r="B10" s="372"/>
      <c r="C10" s="372"/>
      <c r="D10" s="372"/>
      <c r="E10" s="372"/>
      <c r="F10" s="372"/>
      <c r="G10" s="372"/>
      <c r="H10" s="372"/>
      <c r="I10" s="372"/>
      <c r="J10" s="372"/>
      <c r="K10" s="372"/>
    </row>
    <row r="11" spans="1:13" s="51" customFormat="1" x14ac:dyDescent="0.2">
      <c r="A11" s="372" t="s">
        <v>9</v>
      </c>
      <c r="B11" s="372"/>
      <c r="C11" s="372"/>
      <c r="D11" s="372"/>
      <c r="E11" s="372"/>
      <c r="F11" s="372"/>
      <c r="G11" s="372"/>
      <c r="H11" s="372"/>
      <c r="I11" s="372"/>
      <c r="J11" s="372"/>
      <c r="K11" s="372"/>
    </row>
    <row r="12" spans="1:13" s="51" customFormat="1" x14ac:dyDescent="0.2">
      <c r="A12" s="372" t="s">
        <v>10</v>
      </c>
      <c r="B12" s="372"/>
      <c r="C12" s="372"/>
      <c r="D12" s="372"/>
      <c r="E12" s="372"/>
      <c r="F12" s="372"/>
      <c r="G12" s="372"/>
      <c r="H12" s="372"/>
      <c r="I12" s="372"/>
      <c r="J12" s="372"/>
      <c r="K12" s="372"/>
    </row>
    <row r="13" spans="1:13" s="59" customFormat="1" ht="6" customHeight="1" thickBot="1" x14ac:dyDescent="0.3">
      <c r="A13" s="60"/>
      <c r="B13" s="60"/>
      <c r="C13" s="60"/>
      <c r="D13" s="38"/>
      <c r="E13" s="58"/>
      <c r="F13" s="58"/>
      <c r="G13" s="58"/>
      <c r="H13" s="54"/>
      <c r="I13" s="54"/>
    </row>
    <row r="14" spans="1:13" s="59" customFormat="1" ht="15.75" thickBot="1" x14ac:dyDescent="0.3">
      <c r="A14" s="217" t="s">
        <v>381</v>
      </c>
      <c r="B14" s="218"/>
      <c r="C14" s="218"/>
      <c r="D14" s="61"/>
      <c r="E14" s="62"/>
      <c r="F14" s="62"/>
      <c r="G14" s="57">
        <f>'[1]Герцена 4'!$G$37</f>
        <v>363353.60460000002</v>
      </c>
      <c r="H14" s="54"/>
      <c r="I14" s="54"/>
    </row>
    <row r="15" spans="1:13" s="51" customFormat="1" ht="6.75" customHeight="1" x14ac:dyDescent="0.2"/>
    <row r="16" spans="1:13" s="66" customFormat="1" ht="38.25" x14ac:dyDescent="0.25">
      <c r="A16" s="64" t="s">
        <v>11</v>
      </c>
      <c r="B16" s="64" t="s">
        <v>12</v>
      </c>
      <c r="C16" s="64" t="s">
        <v>61</v>
      </c>
      <c r="D16" s="64" t="s">
        <v>432</v>
      </c>
      <c r="E16" s="64" t="s">
        <v>433</v>
      </c>
      <c r="F16" s="65" t="s">
        <v>434</v>
      </c>
      <c r="G16" s="64" t="s">
        <v>435</v>
      </c>
    </row>
    <row r="17" spans="1:16" s="51" customFormat="1" ht="14.25" x14ac:dyDescent="0.2">
      <c r="A17" s="67" t="s">
        <v>14</v>
      </c>
      <c r="B17" s="39" t="s">
        <v>379</v>
      </c>
      <c r="C17" s="120">
        <v>23.85</v>
      </c>
      <c r="D17" s="68">
        <v>959802.72</v>
      </c>
      <c r="E17" s="68">
        <v>929065.93</v>
      </c>
      <c r="F17" s="68">
        <f t="shared" ref="F17:F23" si="0">D17</f>
        <v>959802.72</v>
      </c>
      <c r="G17" s="69">
        <f>D17-E17</f>
        <v>30736.789999999921</v>
      </c>
      <c r="H17" s="70">
        <f>C17</f>
        <v>23.85</v>
      </c>
      <c r="I17" s="71"/>
      <c r="J17" s="71"/>
      <c r="K17" s="71"/>
      <c r="O17" s="70"/>
      <c r="P17" s="72"/>
    </row>
    <row r="18" spans="1:16" s="51" customFormat="1" ht="15" hidden="1" outlineLevel="1" x14ac:dyDescent="0.25">
      <c r="A18" s="73" t="s">
        <v>16</v>
      </c>
      <c r="B18" s="34" t="s">
        <v>17</v>
      </c>
      <c r="C18" s="89">
        <v>3.46</v>
      </c>
      <c r="D18" s="75">
        <f>D17*I18</f>
        <v>139241.82017610062</v>
      </c>
      <c r="E18" s="75">
        <f>E17*I18</f>
        <v>134782.73030607967</v>
      </c>
      <c r="F18" s="75">
        <f t="shared" si="0"/>
        <v>139241.82017610062</v>
      </c>
      <c r="G18" s="76">
        <f>D18-E18</f>
        <v>4459.0898700209509</v>
      </c>
      <c r="H18" s="70">
        <f>C18</f>
        <v>3.46</v>
      </c>
      <c r="I18" s="51">
        <f>H18/H17</f>
        <v>0.14507337526205449</v>
      </c>
    </row>
    <row r="19" spans="1:16" s="51" customFormat="1" ht="15" hidden="1" outlineLevel="1" x14ac:dyDescent="0.25">
      <c r="A19" s="73" t="s">
        <v>18</v>
      </c>
      <c r="B19" s="34" t="s">
        <v>19</v>
      </c>
      <c r="C19" s="89">
        <v>1.69</v>
      </c>
      <c r="D19" s="75">
        <f>D17*I19</f>
        <v>68011.178062893072</v>
      </c>
      <c r="E19" s="75">
        <f>E17*I19</f>
        <v>65833.183299790355</v>
      </c>
      <c r="F19" s="75">
        <f t="shared" si="0"/>
        <v>68011.178062893072</v>
      </c>
      <c r="G19" s="76">
        <f>D19-E19</f>
        <v>2177.9947631027171</v>
      </c>
      <c r="H19" s="70">
        <f>C19</f>
        <v>1.69</v>
      </c>
      <c r="I19" s="51">
        <f>H19/H17</f>
        <v>7.0859538784067075E-2</v>
      </c>
    </row>
    <row r="20" spans="1:16" s="51" customFormat="1" ht="15" hidden="1" outlineLevel="1" x14ac:dyDescent="0.25">
      <c r="A20" s="73" t="s">
        <v>20</v>
      </c>
      <c r="B20" s="34" t="s">
        <v>21</v>
      </c>
      <c r="C20" s="89">
        <v>2.15</v>
      </c>
      <c r="D20" s="75">
        <f>D17*I20</f>
        <v>86523.096352201246</v>
      </c>
      <c r="E20" s="75">
        <f>E17*I20</f>
        <v>83752.274612159323</v>
      </c>
      <c r="F20" s="75">
        <f t="shared" si="0"/>
        <v>86523.096352201246</v>
      </c>
      <c r="G20" s="76">
        <f>D20-E20</f>
        <v>2770.8217400419235</v>
      </c>
      <c r="H20" s="70">
        <f>C20</f>
        <v>2.15</v>
      </c>
      <c r="I20" s="51">
        <f>H20/H17</f>
        <v>9.0146750524109004E-2</v>
      </c>
    </row>
    <row r="21" spans="1:16" s="51" customFormat="1" ht="15" hidden="1" outlineLevel="1" x14ac:dyDescent="0.25">
      <c r="A21" s="73" t="s">
        <v>22</v>
      </c>
      <c r="B21" s="34" t="s">
        <v>23</v>
      </c>
      <c r="C21" s="89">
        <v>3.04</v>
      </c>
      <c r="D21" s="75">
        <f>D17*I21</f>
        <v>122339.63391194967</v>
      </c>
      <c r="E21" s="75">
        <f>E17*I21</f>
        <v>118421.82084696017</v>
      </c>
      <c r="F21" s="75">
        <f t="shared" si="0"/>
        <v>122339.63391194967</v>
      </c>
      <c r="G21" s="76">
        <f>D21-E21</f>
        <v>3917.8130649895029</v>
      </c>
      <c r="H21" s="70">
        <f>C21</f>
        <v>3.04</v>
      </c>
      <c r="I21" s="51">
        <f>H21/H17</f>
        <v>0.12746331236897274</v>
      </c>
    </row>
    <row r="22" spans="1:16" s="81" customFormat="1" ht="14.25" collapsed="1" x14ac:dyDescent="0.2">
      <c r="A22" s="78" t="s">
        <v>25</v>
      </c>
      <c r="B22" s="78" t="s">
        <v>145</v>
      </c>
      <c r="C22" s="46">
        <v>135</v>
      </c>
      <c r="D22" s="79">
        <v>0</v>
      </c>
      <c r="E22" s="79">
        <v>1526.51</v>
      </c>
      <c r="F22" s="79">
        <f t="shared" si="0"/>
        <v>0</v>
      </c>
      <c r="G22" s="69">
        <f t="shared" ref="G22:G33" si="1">D22-E22</f>
        <v>-1526.51</v>
      </c>
      <c r="H22" s="80"/>
      <c r="I22" s="80"/>
      <c r="J22" s="80"/>
      <c r="K22" s="80"/>
    </row>
    <row r="23" spans="1:16" s="81" customFormat="1" ht="14.25" x14ac:dyDescent="0.2">
      <c r="A23" s="78" t="s">
        <v>27</v>
      </c>
      <c r="B23" s="78" t="s">
        <v>28</v>
      </c>
      <c r="C23" s="87">
        <v>0</v>
      </c>
      <c r="D23" s="79">
        <v>0</v>
      </c>
      <c r="E23" s="79">
        <v>0</v>
      </c>
      <c r="F23" s="79">
        <f t="shared" si="0"/>
        <v>0</v>
      </c>
      <c r="G23" s="69">
        <f t="shared" si="1"/>
        <v>0</v>
      </c>
      <c r="H23" s="80"/>
      <c r="I23" s="80"/>
      <c r="J23" s="80"/>
      <c r="K23" s="80"/>
    </row>
    <row r="24" spans="1:16" s="81" customFormat="1" ht="14.25" x14ac:dyDescent="0.2">
      <c r="A24" s="78" t="s">
        <v>29</v>
      </c>
      <c r="B24" s="78" t="s">
        <v>30</v>
      </c>
      <c r="C24" s="126">
        <v>0</v>
      </c>
      <c r="D24" s="79">
        <v>0</v>
      </c>
      <c r="E24" s="79">
        <v>0</v>
      </c>
      <c r="F24" s="79">
        <v>0</v>
      </c>
      <c r="G24" s="69">
        <f t="shared" si="1"/>
        <v>0</v>
      </c>
      <c r="H24" s="80"/>
      <c r="I24" s="80"/>
      <c r="J24" s="80"/>
      <c r="K24" s="80"/>
    </row>
    <row r="25" spans="1:16" s="81" customFormat="1" ht="14.25" x14ac:dyDescent="0.2">
      <c r="A25" s="78" t="s">
        <v>31</v>
      </c>
      <c r="B25" s="78" t="s">
        <v>80</v>
      </c>
      <c r="C25" s="79">
        <v>2.36</v>
      </c>
      <c r="D25" s="79">
        <f>94973.76+D26</f>
        <v>98043.65</v>
      </c>
      <c r="E25" s="79">
        <f>92407.58+E26</f>
        <v>95477.47</v>
      </c>
      <c r="F25" s="79">
        <f>F44</f>
        <v>21880.354700000004</v>
      </c>
      <c r="G25" s="69">
        <f t="shared" si="1"/>
        <v>2566.179999999993</v>
      </c>
      <c r="H25" s="80"/>
      <c r="I25" s="80"/>
      <c r="J25" s="80"/>
      <c r="K25" s="80"/>
    </row>
    <row r="26" spans="1:16" s="81" customFormat="1" ht="14.25" x14ac:dyDescent="0.2">
      <c r="A26" s="78"/>
      <c r="B26" s="292" t="s">
        <v>244</v>
      </c>
      <c r="C26" s="293"/>
      <c r="D26" s="294">
        <v>3069.89</v>
      </c>
      <c r="E26" s="294">
        <v>3069.89</v>
      </c>
      <c r="F26" s="294"/>
      <c r="G26" s="248">
        <f>D26-E26</f>
        <v>0</v>
      </c>
      <c r="H26" s="80"/>
      <c r="I26" s="80"/>
      <c r="J26" s="80"/>
      <c r="K26" s="80"/>
    </row>
    <row r="27" spans="1:16" ht="14.25" x14ac:dyDescent="0.2">
      <c r="A27" s="39" t="s">
        <v>33</v>
      </c>
      <c r="B27" s="39" t="s">
        <v>97</v>
      </c>
      <c r="C27" s="69">
        <v>0</v>
      </c>
      <c r="D27" s="69">
        <v>0</v>
      </c>
      <c r="E27" s="69">
        <v>0</v>
      </c>
      <c r="F27" s="79">
        <v>0</v>
      </c>
      <c r="G27" s="69">
        <f t="shared" si="1"/>
        <v>0</v>
      </c>
      <c r="H27" s="88"/>
      <c r="I27" s="88"/>
      <c r="J27" s="88"/>
      <c r="K27" s="88"/>
    </row>
    <row r="28" spans="1:16" ht="14.25" x14ac:dyDescent="0.2">
      <c r="A28" s="39" t="s">
        <v>35</v>
      </c>
      <c r="B28" s="39" t="s">
        <v>36</v>
      </c>
      <c r="C28" s="69"/>
      <c r="D28" s="69">
        <f>SUM(D29:D32)</f>
        <v>2904127.06</v>
      </c>
      <c r="E28" s="69">
        <f>SUM(E29:E32)</f>
        <v>2855341.5700000003</v>
      </c>
      <c r="F28" s="69">
        <f>SUM(F29:F32)</f>
        <v>2904127.06</v>
      </c>
      <c r="G28" s="69">
        <f t="shared" si="1"/>
        <v>48785.489999999758</v>
      </c>
      <c r="H28" s="88"/>
      <c r="I28" s="88"/>
      <c r="J28" s="88"/>
      <c r="K28" s="88"/>
    </row>
    <row r="29" spans="1:16" ht="15" x14ac:dyDescent="0.25">
      <c r="A29" s="34" t="s">
        <v>37</v>
      </c>
      <c r="B29" s="34" t="s">
        <v>101</v>
      </c>
      <c r="C29" s="89">
        <v>7.36</v>
      </c>
      <c r="D29" s="76">
        <v>39390.86</v>
      </c>
      <c r="E29" s="76">
        <v>37806.720000000001</v>
      </c>
      <c r="F29" s="76">
        <f>D29</f>
        <v>39390.86</v>
      </c>
      <c r="G29" s="76">
        <f t="shared" si="1"/>
        <v>1584.1399999999994</v>
      </c>
    </row>
    <row r="30" spans="1:16" ht="15" x14ac:dyDescent="0.25">
      <c r="A30" s="34" t="s">
        <v>39</v>
      </c>
      <c r="B30" s="34" t="s">
        <v>84</v>
      </c>
      <c r="C30" s="89">
        <v>88.38</v>
      </c>
      <c r="D30" s="76">
        <v>483252.77</v>
      </c>
      <c r="E30" s="76">
        <v>471477.24</v>
      </c>
      <c r="F30" s="76">
        <f>D30</f>
        <v>483252.77</v>
      </c>
      <c r="G30" s="76">
        <f t="shared" si="1"/>
        <v>11775.530000000028</v>
      </c>
    </row>
    <row r="31" spans="1:16" ht="15" x14ac:dyDescent="0.25">
      <c r="A31" s="34" t="s">
        <v>42</v>
      </c>
      <c r="B31" s="34" t="s">
        <v>135</v>
      </c>
      <c r="C31" s="128">
        <v>262.18</v>
      </c>
      <c r="D31" s="76">
        <v>637269.36</v>
      </c>
      <c r="E31" s="76">
        <v>638323.93000000005</v>
      </c>
      <c r="F31" s="76">
        <f>D31</f>
        <v>637269.36</v>
      </c>
      <c r="G31" s="76">
        <f t="shared" si="1"/>
        <v>-1054.5700000000652</v>
      </c>
    </row>
    <row r="32" spans="1:16" ht="15.75" thickBot="1" x14ac:dyDescent="0.3">
      <c r="A32" s="34" t="s">
        <v>41</v>
      </c>
      <c r="B32" s="34" t="s">
        <v>43</v>
      </c>
      <c r="C32" s="89">
        <v>3352.42</v>
      </c>
      <c r="D32" s="76">
        <v>1744214.07</v>
      </c>
      <c r="E32" s="76">
        <v>1707733.68</v>
      </c>
      <c r="F32" s="76">
        <f>D32</f>
        <v>1744214.07</v>
      </c>
      <c r="G32" s="76">
        <f t="shared" si="1"/>
        <v>36480.39000000013</v>
      </c>
    </row>
    <row r="33" spans="1:14" ht="14.25" hidden="1" outlineLevel="1" x14ac:dyDescent="0.2">
      <c r="A33" s="39" t="s">
        <v>112</v>
      </c>
      <c r="B33" s="300" t="s">
        <v>140</v>
      </c>
      <c r="C33" s="298"/>
      <c r="D33" s="248">
        <v>1800</v>
      </c>
      <c r="E33" s="248">
        <v>1800</v>
      </c>
      <c r="F33" s="248">
        <v>0</v>
      </c>
      <c r="G33" s="248">
        <f t="shared" si="1"/>
        <v>0</v>
      </c>
    </row>
    <row r="34" spans="1:14" s="92" customFormat="1" ht="21.75" hidden="1" customHeight="1" outlineLevel="1" thickBot="1" x14ac:dyDescent="0.3">
      <c r="A34" s="90"/>
      <c r="B34" s="301"/>
      <c r="C34" s="376" t="s">
        <v>246</v>
      </c>
      <c r="D34" s="377"/>
      <c r="E34" s="377"/>
      <c r="F34" s="377"/>
      <c r="G34" s="82">
        <f>E33-(E33*15%)</f>
        <v>1530</v>
      </c>
      <c r="H34" s="91"/>
      <c r="I34" s="91"/>
    </row>
    <row r="35" spans="1:14" s="59" customFormat="1" ht="15.75" collapsed="1" thickBot="1" x14ac:dyDescent="0.3">
      <c r="A35" s="387" t="s">
        <v>427</v>
      </c>
      <c r="B35" s="388"/>
      <c r="C35" s="388"/>
      <c r="D35" s="57">
        <v>80561.95</v>
      </c>
      <c r="E35" s="58"/>
      <c r="F35" s="58"/>
      <c r="G35" s="58"/>
      <c r="H35" s="54"/>
      <c r="I35" s="54"/>
    </row>
    <row r="36" spans="1:14" s="59" customFormat="1" ht="6" customHeight="1" thickBot="1" x14ac:dyDescent="0.3">
      <c r="A36" s="60"/>
      <c r="B36" s="60"/>
      <c r="C36" s="60"/>
      <c r="D36" s="38"/>
      <c r="E36" s="58"/>
      <c r="F36" s="58"/>
      <c r="G36" s="58"/>
      <c r="H36" s="54"/>
      <c r="I36" s="54"/>
    </row>
    <row r="37" spans="1:14" s="59" customFormat="1" ht="15.75" thickBot="1" x14ac:dyDescent="0.3">
      <c r="A37" s="55" t="s">
        <v>428</v>
      </c>
      <c r="B37" s="56"/>
      <c r="C37" s="56"/>
      <c r="D37" s="61"/>
      <c r="E37" s="62"/>
      <c r="F37" s="62"/>
      <c r="G37" s="129">
        <f>G14+E25-F25</f>
        <v>436950.71990000003</v>
      </c>
      <c r="H37" s="54"/>
      <c r="I37" s="54"/>
      <c r="N37" s="130"/>
    </row>
    <row r="38" spans="1:14" s="59" customFormat="1" ht="15" x14ac:dyDescent="0.25">
      <c r="A38" s="555" t="s">
        <v>134</v>
      </c>
      <c r="B38" s="558"/>
      <c r="C38" s="363"/>
      <c r="D38" s="363"/>
      <c r="E38" s="364"/>
      <c r="F38" s="364"/>
      <c r="G38" s="38"/>
      <c r="H38" s="54"/>
      <c r="I38" s="340">
        <f>I39-I40</f>
        <v>593.98799999999937</v>
      </c>
      <c r="N38" s="130"/>
    </row>
    <row r="39" spans="1:14" s="59" customFormat="1" ht="15" x14ac:dyDescent="0.25">
      <c r="A39" s="465" t="s">
        <v>91</v>
      </c>
      <c r="B39" s="465"/>
      <c r="C39" s="41" t="s">
        <v>92</v>
      </c>
      <c r="D39" s="41" t="s">
        <v>93</v>
      </c>
      <c r="E39" s="42" t="s">
        <v>94</v>
      </c>
      <c r="F39" s="40" t="s">
        <v>95</v>
      </c>
      <c r="G39" s="327" t="s">
        <v>387</v>
      </c>
      <c r="H39" s="54"/>
      <c r="I39" s="54">
        <v>9117.48</v>
      </c>
      <c r="N39" s="130"/>
    </row>
    <row r="40" spans="1:14" s="92" customFormat="1" ht="15" x14ac:dyDescent="0.25">
      <c r="A40" s="465"/>
      <c r="B40" s="465"/>
      <c r="C40" s="342">
        <v>108.4</v>
      </c>
      <c r="D40" s="138">
        <f>E40/C40/12</f>
        <v>28.03653136531365</v>
      </c>
      <c r="E40" s="358">
        <v>36469.919999999998</v>
      </c>
      <c r="F40" s="358">
        <v>36469.919999999998</v>
      </c>
      <c r="G40" s="327">
        <f>F40-E40</f>
        <v>0</v>
      </c>
      <c r="H40" s="91">
        <f>C17+C25</f>
        <v>26.21</v>
      </c>
      <c r="I40" s="91">
        <f>H40*C40*3</f>
        <v>8523.4920000000002</v>
      </c>
      <c r="J40" s="91">
        <v>25363.32</v>
      </c>
      <c r="K40" s="91">
        <v>23374.2</v>
      </c>
      <c r="L40" s="91"/>
      <c r="M40" s="91"/>
    </row>
    <row r="41" spans="1:14" s="92" customFormat="1" ht="27" customHeight="1" x14ac:dyDescent="0.25">
      <c r="A41" s="371" t="s">
        <v>44</v>
      </c>
      <c r="B41" s="371"/>
      <c r="C41" s="371"/>
      <c r="D41" s="371"/>
      <c r="E41" s="371"/>
      <c r="F41" s="371"/>
      <c r="G41" s="371"/>
      <c r="H41" s="371"/>
      <c r="I41" s="371"/>
      <c r="J41" s="371"/>
      <c r="K41" s="371"/>
      <c r="L41" s="91"/>
      <c r="M41" s="91"/>
    </row>
    <row r="43" spans="1:14" ht="28.5" x14ac:dyDescent="0.2">
      <c r="A43" s="94" t="s">
        <v>11</v>
      </c>
      <c r="B43" s="416" t="s">
        <v>45</v>
      </c>
      <c r="C43" s="425"/>
      <c r="D43" s="94" t="s">
        <v>99</v>
      </c>
      <c r="E43" s="94" t="s">
        <v>98</v>
      </c>
      <c r="F43" s="550" t="s">
        <v>46</v>
      </c>
      <c r="G43" s="550"/>
      <c r="H43" s="95"/>
      <c r="I43" s="96"/>
      <c r="J43" s="66"/>
      <c r="K43" s="66"/>
    </row>
    <row r="44" spans="1:14" s="66" customFormat="1" ht="15" x14ac:dyDescent="0.25">
      <c r="A44" s="98" t="s">
        <v>47</v>
      </c>
      <c r="B44" s="418" t="s">
        <v>75</v>
      </c>
      <c r="C44" s="430"/>
      <c r="D44" s="99"/>
      <c r="E44" s="99"/>
      <c r="F44" s="548">
        <f>SUM(F45:G46)</f>
        <v>21880.354700000004</v>
      </c>
      <c r="G44" s="549"/>
      <c r="H44" s="101"/>
      <c r="I44" s="102"/>
      <c r="J44" s="103"/>
      <c r="K44" s="103"/>
      <c r="N44" s="97"/>
    </row>
    <row r="45" spans="1:14" s="103" customFormat="1" ht="15" x14ac:dyDescent="0.25">
      <c r="A45" s="34" t="s">
        <v>16</v>
      </c>
      <c r="B45" s="406" t="s">
        <v>564</v>
      </c>
      <c r="C45" s="407"/>
      <c r="D45" s="176" t="s">
        <v>100</v>
      </c>
      <c r="E45" s="176">
        <v>15</v>
      </c>
      <c r="F45" s="435">
        <v>20925.580000000002</v>
      </c>
      <c r="G45" s="435"/>
      <c r="H45" s="38"/>
      <c r="I45" s="38"/>
      <c r="J45" s="49"/>
      <c r="K45" s="49"/>
      <c r="N45" s="104"/>
    </row>
    <row r="46" spans="1:14" s="51" customFormat="1" ht="15" x14ac:dyDescent="0.25">
      <c r="A46" s="34" t="s">
        <v>18</v>
      </c>
      <c r="B46" s="458" t="s">
        <v>108</v>
      </c>
      <c r="C46" s="459"/>
      <c r="D46" s="108"/>
      <c r="E46" s="108"/>
      <c r="F46" s="435">
        <f>E25*1%</f>
        <v>954.77470000000005</v>
      </c>
      <c r="G46" s="435"/>
    </row>
    <row r="47" spans="1:14" s="59" customFormat="1" ht="15" x14ac:dyDescent="0.25">
      <c r="A47" s="51"/>
      <c r="B47" s="51"/>
      <c r="C47" s="51"/>
      <c r="D47" s="51"/>
      <c r="E47" s="51"/>
      <c r="F47" s="51"/>
      <c r="G47" s="51"/>
      <c r="H47" s="51"/>
      <c r="I47" s="51"/>
      <c r="J47" s="51"/>
      <c r="K47" s="51"/>
    </row>
    <row r="48" spans="1:14" s="51" customFormat="1" ht="15" x14ac:dyDescent="0.25">
      <c r="A48" s="51" t="s">
        <v>372</v>
      </c>
      <c r="B48" s="59"/>
      <c r="C48" s="110" t="s">
        <v>49</v>
      </c>
      <c r="D48" s="59"/>
      <c r="E48" s="59"/>
      <c r="F48" s="59" t="s">
        <v>60</v>
      </c>
      <c r="G48" s="59"/>
      <c r="H48" s="59"/>
      <c r="I48" s="59"/>
      <c r="J48" s="59"/>
      <c r="K48" s="59"/>
    </row>
    <row r="49" spans="1:11" s="51" customFormat="1" ht="15" x14ac:dyDescent="0.25">
      <c r="A49" s="59"/>
      <c r="B49" s="59"/>
      <c r="C49" s="110"/>
      <c r="D49" s="59"/>
      <c r="E49" s="59"/>
      <c r="F49" s="111" t="s">
        <v>438</v>
      </c>
      <c r="G49" s="59"/>
    </row>
    <row r="50" spans="1:11" s="51" customFormat="1" ht="15" x14ac:dyDescent="0.25">
      <c r="A50" s="59" t="s">
        <v>50</v>
      </c>
      <c r="B50" s="59"/>
      <c r="C50" s="110"/>
      <c r="D50" s="59"/>
      <c r="E50" s="59"/>
      <c r="F50" s="59"/>
      <c r="G50" s="59"/>
      <c r="H50" s="141"/>
      <c r="I50" s="141"/>
      <c r="J50" s="141"/>
    </row>
    <row r="51" spans="1:11" s="51" customFormat="1" ht="15" x14ac:dyDescent="0.25">
      <c r="A51" s="59"/>
      <c r="B51" s="59"/>
      <c r="C51" s="112" t="s">
        <v>51</v>
      </c>
      <c r="D51" s="59"/>
      <c r="E51" s="113"/>
      <c r="F51" s="113"/>
      <c r="G51" s="113"/>
    </row>
    <row r="52" spans="1:11" x14ac:dyDescent="0.2">
      <c r="A52" s="51"/>
      <c r="B52" s="51"/>
      <c r="C52" s="51"/>
      <c r="D52" s="51"/>
      <c r="E52" s="51"/>
      <c r="F52" s="51"/>
      <c r="G52" s="51"/>
      <c r="H52" s="51"/>
      <c r="I52" s="51"/>
      <c r="J52" s="51"/>
      <c r="K52" s="51"/>
    </row>
  </sheetData>
  <mergeCells count="20">
    <mergeCell ref="B44:C44"/>
    <mergeCell ref="F44:G44"/>
    <mergeCell ref="B43:C43"/>
    <mergeCell ref="F43:G43"/>
    <mergeCell ref="B46:C46"/>
    <mergeCell ref="F46:G46"/>
    <mergeCell ref="B45:C45"/>
    <mergeCell ref="F45:G45"/>
    <mergeCell ref="A1:K1"/>
    <mergeCell ref="A2:K2"/>
    <mergeCell ref="A3:K3"/>
    <mergeCell ref="A5:K5"/>
    <mergeCell ref="A10:K10"/>
    <mergeCell ref="C34:F34"/>
    <mergeCell ref="A38:B38"/>
    <mergeCell ref="A39:B40"/>
    <mergeCell ref="A12:K12"/>
    <mergeCell ref="A35:C35"/>
    <mergeCell ref="A41:K41"/>
    <mergeCell ref="A11:K11"/>
  </mergeCells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29E681-054A-467E-8747-5CE0B24D8E19}">
  <sheetPr>
    <tabColor rgb="FF7030A0"/>
  </sheetPr>
  <dimension ref="A1:N50"/>
  <sheetViews>
    <sheetView topLeftCell="A30" workbookViewId="0">
      <selection activeCell="A52" sqref="A52:IV53"/>
    </sheetView>
  </sheetViews>
  <sheetFormatPr defaultRowHeight="12.75" outlineLevelRow="1" outlineLevelCol="1" x14ac:dyDescent="0.2"/>
  <cols>
    <col min="1" max="1" width="6" style="49" customWidth="1"/>
    <col min="2" max="2" width="48.140625" style="49" customWidth="1"/>
    <col min="3" max="3" width="14" style="49" customWidth="1"/>
    <col min="4" max="4" width="14.85546875" style="49" customWidth="1"/>
    <col min="5" max="6" width="13.28515625" style="49" customWidth="1"/>
    <col min="7" max="7" width="14.5703125" style="49" customWidth="1"/>
    <col min="8" max="9" width="11.5703125" style="49" hidden="1" customWidth="1" outlineLevel="1"/>
    <col min="10" max="10" width="10.140625" style="49" hidden="1" customWidth="1" outlineLevel="1"/>
    <col min="11" max="11" width="10.42578125" style="49" customWidth="1" collapsed="1"/>
    <col min="12" max="12" width="9.140625" style="49"/>
    <col min="13" max="13" width="10" style="49" bestFit="1" customWidth="1"/>
    <col min="14" max="14" width="15.85546875" style="49" customWidth="1"/>
    <col min="15" max="16384" width="9.140625" style="49"/>
  </cols>
  <sheetData>
    <row r="1" spans="1:14" x14ac:dyDescent="0.2">
      <c r="A1" s="370" t="s">
        <v>0</v>
      </c>
      <c r="B1" s="370"/>
      <c r="C1" s="370"/>
      <c r="D1" s="370"/>
      <c r="E1" s="370"/>
      <c r="F1" s="370"/>
      <c r="G1" s="370"/>
      <c r="H1" s="370"/>
      <c r="I1" s="370"/>
      <c r="J1" s="370"/>
      <c r="K1" s="370"/>
    </row>
    <row r="2" spans="1:14" ht="12.75" customHeight="1" x14ac:dyDescent="0.2">
      <c r="A2" s="370" t="s">
        <v>279</v>
      </c>
      <c r="B2" s="370"/>
      <c r="C2" s="370"/>
      <c r="D2" s="370"/>
      <c r="E2" s="370"/>
      <c r="F2" s="370"/>
      <c r="G2" s="370"/>
      <c r="H2" s="370"/>
      <c r="I2" s="370"/>
      <c r="J2" s="370"/>
      <c r="K2" s="370"/>
    </row>
    <row r="3" spans="1:14" ht="13.5" customHeight="1" x14ac:dyDescent="0.2">
      <c r="A3" s="370" t="s">
        <v>426</v>
      </c>
      <c r="B3" s="370"/>
      <c r="C3" s="370"/>
      <c r="D3" s="370"/>
      <c r="E3" s="370"/>
      <c r="F3" s="370"/>
      <c r="G3" s="370"/>
      <c r="H3" s="370"/>
      <c r="I3" s="370"/>
      <c r="J3" s="370"/>
      <c r="K3" s="370"/>
    </row>
    <row r="4" spans="1:14" ht="9" customHeight="1" x14ac:dyDescent="0.2">
      <c r="A4" s="48"/>
      <c r="B4" s="48"/>
      <c r="C4" s="48"/>
      <c r="D4" s="48"/>
      <c r="E4" s="48"/>
      <c r="F4" s="48"/>
      <c r="G4" s="48"/>
      <c r="H4" s="48"/>
      <c r="I4" s="48"/>
      <c r="J4" s="48"/>
      <c r="K4" s="48"/>
    </row>
    <row r="5" spans="1:14" ht="16.5" customHeight="1" x14ac:dyDescent="0.2">
      <c r="A5" s="371" t="s">
        <v>1</v>
      </c>
      <c r="B5" s="370"/>
      <c r="C5" s="370"/>
      <c r="D5" s="370"/>
      <c r="E5" s="370"/>
      <c r="F5" s="370"/>
      <c r="G5" s="370"/>
      <c r="H5" s="370"/>
      <c r="I5" s="370"/>
      <c r="J5" s="370"/>
      <c r="K5" s="370"/>
    </row>
    <row r="7" spans="1:14" s="51" customFormat="1" ht="16.5" customHeight="1" x14ac:dyDescent="0.2">
      <c r="A7" s="51" t="s">
        <v>2</v>
      </c>
      <c r="F7" s="52" t="s">
        <v>316</v>
      </c>
      <c r="H7" s="52"/>
    </row>
    <row r="8" spans="1:14" s="51" customFormat="1" x14ac:dyDescent="0.2">
      <c r="A8" s="51" t="s">
        <v>3</v>
      </c>
      <c r="F8" s="242" t="s">
        <v>317</v>
      </c>
      <c r="H8" s="52"/>
    </row>
    <row r="9" spans="1:14" s="51" customFormat="1" x14ac:dyDescent="0.2">
      <c r="A9" s="372" t="s">
        <v>8</v>
      </c>
      <c r="B9" s="372"/>
      <c r="C9" s="372"/>
      <c r="D9" s="372"/>
      <c r="E9" s="372"/>
      <c r="F9" s="372"/>
      <c r="G9" s="372"/>
      <c r="H9" s="372"/>
      <c r="I9" s="372"/>
      <c r="J9" s="372"/>
      <c r="K9" s="372"/>
    </row>
    <row r="10" spans="1:14" s="51" customFormat="1" x14ac:dyDescent="0.2">
      <c r="A10" s="372" t="s">
        <v>9</v>
      </c>
      <c r="B10" s="372"/>
      <c r="C10" s="372"/>
      <c r="D10" s="372"/>
      <c r="E10" s="372"/>
      <c r="F10" s="372"/>
      <c r="G10" s="372"/>
      <c r="H10" s="372"/>
      <c r="I10" s="372"/>
      <c r="J10" s="372"/>
      <c r="K10" s="372"/>
    </row>
    <row r="11" spans="1:14" s="51" customFormat="1" x14ac:dyDescent="0.2">
      <c r="A11" s="372" t="s">
        <v>10</v>
      </c>
      <c r="B11" s="372"/>
      <c r="C11" s="372"/>
      <c r="D11" s="372"/>
      <c r="E11" s="372"/>
      <c r="F11" s="372"/>
      <c r="G11" s="372"/>
      <c r="H11" s="372"/>
      <c r="I11" s="372"/>
      <c r="J11" s="372"/>
      <c r="K11" s="372"/>
    </row>
    <row r="12" spans="1:14" s="59" customFormat="1" ht="6" customHeight="1" thickBot="1" x14ac:dyDescent="0.3">
      <c r="A12" s="60"/>
      <c r="B12" s="60"/>
      <c r="C12" s="60"/>
      <c r="D12" s="38"/>
      <c r="E12" s="58"/>
      <c r="F12" s="58"/>
      <c r="G12" s="58"/>
      <c r="H12" s="54"/>
      <c r="I12" s="54"/>
    </row>
    <row r="13" spans="1:14" s="59" customFormat="1" ht="15.75" thickBot="1" x14ac:dyDescent="0.3">
      <c r="A13" s="217" t="s">
        <v>381</v>
      </c>
      <c r="B13" s="218"/>
      <c r="C13" s="218"/>
      <c r="D13" s="61"/>
      <c r="E13" s="62"/>
      <c r="F13" s="62"/>
      <c r="G13" s="57">
        <f>'[1]Рылеева 4'!$G$36</f>
        <v>61171.922299999991</v>
      </c>
      <c r="H13" s="54"/>
      <c r="I13" s="54"/>
    </row>
    <row r="14" spans="1:14" s="51" customFormat="1" ht="6.75" customHeight="1" x14ac:dyDescent="0.2"/>
    <row r="15" spans="1:14" s="66" customFormat="1" ht="38.25" x14ac:dyDescent="0.25">
      <c r="A15" s="64" t="s">
        <v>11</v>
      </c>
      <c r="B15" s="64" t="s">
        <v>12</v>
      </c>
      <c r="C15" s="64" t="s">
        <v>61</v>
      </c>
      <c r="D15" s="64" t="s">
        <v>432</v>
      </c>
      <c r="E15" s="64" t="s">
        <v>433</v>
      </c>
      <c r="F15" s="65" t="s">
        <v>434</v>
      </c>
      <c r="G15" s="64" t="s">
        <v>435</v>
      </c>
    </row>
    <row r="16" spans="1:14" s="51" customFormat="1" ht="14.25" x14ac:dyDescent="0.2">
      <c r="A16" s="67" t="s">
        <v>14</v>
      </c>
      <c r="B16" s="39" t="s">
        <v>379</v>
      </c>
      <c r="C16" s="87">
        <v>23.85</v>
      </c>
      <c r="D16" s="68">
        <v>768334.2</v>
      </c>
      <c r="E16" s="68">
        <v>800018.92</v>
      </c>
      <c r="F16" s="68">
        <f t="shared" ref="F16:F22" si="0">D16</f>
        <v>768334.2</v>
      </c>
      <c r="G16" s="69">
        <f>D16-E16</f>
        <v>-31684.720000000088</v>
      </c>
      <c r="H16" s="70">
        <f>C16</f>
        <v>23.85</v>
      </c>
      <c r="I16" s="71"/>
      <c r="J16" s="71"/>
      <c r="K16" s="71"/>
      <c r="M16" s="70"/>
      <c r="N16" s="72"/>
    </row>
    <row r="17" spans="1:11" s="51" customFormat="1" ht="15" hidden="1" outlineLevel="1" x14ac:dyDescent="0.25">
      <c r="A17" s="73" t="s">
        <v>16</v>
      </c>
      <c r="B17" s="34" t="s">
        <v>17</v>
      </c>
      <c r="C17" s="74">
        <v>3.46</v>
      </c>
      <c r="D17" s="75">
        <f>D16*I17</f>
        <v>111464.83572327043</v>
      </c>
      <c r="E17" s="75">
        <f>E16*I17</f>
        <v>116061.44499790356</v>
      </c>
      <c r="F17" s="75">
        <f t="shared" si="0"/>
        <v>111464.83572327043</v>
      </c>
      <c r="G17" s="76">
        <f>D17-E17</f>
        <v>-4596.6092746331269</v>
      </c>
      <c r="H17" s="70">
        <f>C17</f>
        <v>3.46</v>
      </c>
      <c r="I17" s="51">
        <f>H17/H16</f>
        <v>0.14507337526205449</v>
      </c>
    </row>
    <row r="18" spans="1:11" s="51" customFormat="1" ht="15" hidden="1" outlineLevel="1" x14ac:dyDescent="0.25">
      <c r="A18" s="73" t="s">
        <v>18</v>
      </c>
      <c r="B18" s="34" t="s">
        <v>19</v>
      </c>
      <c r="C18" s="74">
        <v>1.69</v>
      </c>
      <c r="D18" s="75">
        <f>D16*I18</f>
        <v>54443.807044025147</v>
      </c>
      <c r="E18" s="75">
        <f>E16*I18</f>
        <v>56688.971689727456</v>
      </c>
      <c r="F18" s="75">
        <f t="shared" si="0"/>
        <v>54443.807044025147</v>
      </c>
      <c r="G18" s="76">
        <f>D18-E18</f>
        <v>-2245.1646457023089</v>
      </c>
      <c r="H18" s="70">
        <f>C18</f>
        <v>1.69</v>
      </c>
      <c r="I18" s="51">
        <f>H18/H16</f>
        <v>7.0859538784067075E-2</v>
      </c>
    </row>
    <row r="19" spans="1:11" s="51" customFormat="1" ht="15" hidden="1" outlineLevel="1" x14ac:dyDescent="0.25">
      <c r="A19" s="73" t="s">
        <v>20</v>
      </c>
      <c r="B19" s="34" t="s">
        <v>21</v>
      </c>
      <c r="C19" s="74">
        <v>2.15</v>
      </c>
      <c r="D19" s="75">
        <f>D16*I19</f>
        <v>69262.831446540862</v>
      </c>
      <c r="E19" s="75">
        <f>E16*I19</f>
        <v>72119.105995807127</v>
      </c>
      <c r="F19" s="75">
        <f t="shared" si="0"/>
        <v>69262.831446540862</v>
      </c>
      <c r="G19" s="76">
        <f>D19-E19</f>
        <v>-2856.2745492662652</v>
      </c>
      <c r="H19" s="70">
        <f>C19</f>
        <v>2.15</v>
      </c>
      <c r="I19" s="51">
        <f>H19/H16</f>
        <v>9.0146750524109004E-2</v>
      </c>
      <c r="J19" s="221"/>
    </row>
    <row r="20" spans="1:11" s="51" customFormat="1" ht="15" hidden="1" outlineLevel="1" x14ac:dyDescent="0.25">
      <c r="A20" s="73" t="s">
        <v>22</v>
      </c>
      <c r="B20" s="34" t="s">
        <v>23</v>
      </c>
      <c r="C20" s="74">
        <v>3.04</v>
      </c>
      <c r="D20" s="75">
        <f>D16*I20</f>
        <v>97934.422138364767</v>
      </c>
      <c r="E20" s="75">
        <f>E16*I20</f>
        <v>101973.06150104821</v>
      </c>
      <c r="F20" s="75">
        <f t="shared" si="0"/>
        <v>97934.422138364767</v>
      </c>
      <c r="G20" s="76">
        <f>D20-E20</f>
        <v>-4038.639362683447</v>
      </c>
      <c r="H20" s="70">
        <f>C20</f>
        <v>3.04</v>
      </c>
      <c r="I20" s="51">
        <f>H20/H16</f>
        <v>0.12746331236897274</v>
      </c>
    </row>
    <row r="21" spans="1:11" s="81" customFormat="1" ht="14.25" collapsed="1" x14ac:dyDescent="0.2">
      <c r="A21" s="78" t="s">
        <v>25</v>
      </c>
      <c r="B21" s="78" t="s">
        <v>145</v>
      </c>
      <c r="C21" s="46">
        <v>120</v>
      </c>
      <c r="D21" s="79">
        <v>0</v>
      </c>
      <c r="E21" s="79">
        <v>3296.99</v>
      </c>
      <c r="F21" s="79">
        <f t="shared" si="0"/>
        <v>0</v>
      </c>
      <c r="G21" s="69">
        <f t="shared" ref="G21:G31" si="1">D21-E21</f>
        <v>-3296.99</v>
      </c>
      <c r="H21" s="80"/>
      <c r="I21" s="80"/>
      <c r="J21" s="80"/>
      <c r="K21" s="80"/>
    </row>
    <row r="22" spans="1:11" s="81" customFormat="1" ht="14.25" x14ac:dyDescent="0.2">
      <c r="A22" s="78" t="s">
        <v>27</v>
      </c>
      <c r="B22" s="78" t="s">
        <v>28</v>
      </c>
      <c r="C22" s="43">
        <v>0</v>
      </c>
      <c r="D22" s="79">
        <v>0</v>
      </c>
      <c r="E22" s="79">
        <v>0</v>
      </c>
      <c r="F22" s="79">
        <f t="shared" si="0"/>
        <v>0</v>
      </c>
      <c r="G22" s="69">
        <f t="shared" si="1"/>
        <v>0</v>
      </c>
      <c r="H22" s="80"/>
      <c r="I22" s="80"/>
      <c r="J22" s="80"/>
      <c r="K22" s="80"/>
    </row>
    <row r="23" spans="1:11" s="81" customFormat="1" ht="14.25" x14ac:dyDescent="0.2">
      <c r="A23" s="78" t="s">
        <v>29</v>
      </c>
      <c r="B23" s="78" t="s">
        <v>30</v>
      </c>
      <c r="C23" s="43">
        <v>0</v>
      </c>
      <c r="D23" s="79">
        <v>0</v>
      </c>
      <c r="E23" s="79">
        <v>0</v>
      </c>
      <c r="F23" s="79">
        <v>0</v>
      </c>
      <c r="G23" s="69">
        <f t="shared" si="1"/>
        <v>0</v>
      </c>
      <c r="H23" s="80"/>
      <c r="I23" s="80"/>
      <c r="J23" s="80"/>
      <c r="K23" s="80"/>
    </row>
    <row r="24" spans="1:11" s="81" customFormat="1" ht="14.25" x14ac:dyDescent="0.2">
      <c r="A24" s="78" t="s">
        <v>31</v>
      </c>
      <c r="B24" s="78" t="s">
        <v>80</v>
      </c>
      <c r="C24" s="86">
        <v>2.36</v>
      </c>
      <c r="D24" s="79">
        <v>76027.679999999993</v>
      </c>
      <c r="E24" s="79">
        <v>81725.31</v>
      </c>
      <c r="F24" s="79">
        <f>F41</f>
        <v>817.25310000000002</v>
      </c>
      <c r="G24" s="69">
        <f>D24-E24</f>
        <v>-5697.6300000000047</v>
      </c>
      <c r="H24" s="80"/>
      <c r="I24" s="80"/>
      <c r="J24" s="80"/>
      <c r="K24" s="80"/>
    </row>
    <row r="25" spans="1:11" ht="14.25" x14ac:dyDescent="0.2">
      <c r="A25" s="39" t="s">
        <v>33</v>
      </c>
      <c r="B25" s="39" t="s">
        <v>97</v>
      </c>
      <c r="C25" s="46">
        <v>0</v>
      </c>
      <c r="D25" s="69">
        <v>0</v>
      </c>
      <c r="E25" s="69">
        <v>0</v>
      </c>
      <c r="F25" s="79">
        <v>0</v>
      </c>
      <c r="G25" s="69">
        <f t="shared" si="1"/>
        <v>0</v>
      </c>
      <c r="H25" s="88"/>
      <c r="I25" s="88"/>
      <c r="J25" s="88"/>
      <c r="K25" s="88"/>
    </row>
    <row r="26" spans="1:11" ht="14.25" x14ac:dyDescent="0.2">
      <c r="A26" s="39" t="s">
        <v>35</v>
      </c>
      <c r="B26" s="39" t="s">
        <v>36</v>
      </c>
      <c r="C26" s="87">
        <v>0</v>
      </c>
      <c r="D26" s="69">
        <f>SUM(D27:D30)</f>
        <v>1995084.43</v>
      </c>
      <c r="E26" s="69">
        <f>SUM(E27:E30)</f>
        <v>2180356.7599999998</v>
      </c>
      <c r="F26" s="69">
        <f>SUM(F27:F30)</f>
        <v>1995084.43</v>
      </c>
      <c r="G26" s="69">
        <f t="shared" si="1"/>
        <v>-185272.32999999984</v>
      </c>
      <c r="H26" s="88"/>
      <c r="I26" s="88"/>
      <c r="J26" s="88"/>
      <c r="K26" s="88"/>
    </row>
    <row r="27" spans="1:11" ht="15" x14ac:dyDescent="0.25">
      <c r="A27" s="34" t="s">
        <v>37</v>
      </c>
      <c r="B27" s="34" t="s">
        <v>101</v>
      </c>
      <c r="C27" s="89">
        <v>7.36</v>
      </c>
      <c r="D27" s="76">
        <v>40946.46</v>
      </c>
      <c r="E27" s="76">
        <v>43428.42</v>
      </c>
      <c r="F27" s="76">
        <f>D27</f>
        <v>40946.46</v>
      </c>
      <c r="G27" s="76">
        <f t="shared" si="1"/>
        <v>-2481.9599999999991</v>
      </c>
    </row>
    <row r="28" spans="1:11" ht="15" x14ac:dyDescent="0.25">
      <c r="A28" s="34" t="s">
        <v>39</v>
      </c>
      <c r="B28" s="34" t="s">
        <v>84</v>
      </c>
      <c r="C28" s="89">
        <v>88.38</v>
      </c>
      <c r="D28" s="76">
        <v>370952.11</v>
      </c>
      <c r="E28" s="76">
        <v>415523.05</v>
      </c>
      <c r="F28" s="76">
        <f>D28</f>
        <v>370952.11</v>
      </c>
      <c r="G28" s="76">
        <f t="shared" si="1"/>
        <v>-44570.94</v>
      </c>
    </row>
    <row r="29" spans="1:11" ht="15" x14ac:dyDescent="0.25">
      <c r="A29" s="34" t="s">
        <v>42</v>
      </c>
      <c r="B29" s="34" t="s">
        <v>135</v>
      </c>
      <c r="C29" s="128">
        <v>278.94</v>
      </c>
      <c r="D29" s="76">
        <v>458745.87</v>
      </c>
      <c r="E29" s="76">
        <v>521573.86</v>
      </c>
      <c r="F29" s="76">
        <f>D29</f>
        <v>458745.87</v>
      </c>
      <c r="G29" s="76">
        <f t="shared" si="1"/>
        <v>-62827.989999999991</v>
      </c>
    </row>
    <row r="30" spans="1:11" ht="15" x14ac:dyDescent="0.25">
      <c r="A30" s="34" t="s">
        <v>41</v>
      </c>
      <c r="B30" s="34" t="s">
        <v>43</v>
      </c>
      <c r="C30" s="89">
        <v>3352.42</v>
      </c>
      <c r="D30" s="76">
        <v>1124439.99</v>
      </c>
      <c r="E30" s="76">
        <v>1199831.43</v>
      </c>
      <c r="F30" s="76">
        <f>D30</f>
        <v>1124439.99</v>
      </c>
      <c r="G30" s="76">
        <f t="shared" si="1"/>
        <v>-75391.439999999944</v>
      </c>
    </row>
    <row r="31" spans="1:11" ht="14.25" hidden="1" outlineLevel="1" x14ac:dyDescent="0.2">
      <c r="A31" s="39" t="s">
        <v>112</v>
      </c>
      <c r="B31" s="300" t="s">
        <v>140</v>
      </c>
      <c r="C31" s="298"/>
      <c r="D31" s="248">
        <f>1000+1800</f>
        <v>2800</v>
      </c>
      <c r="E31" s="248">
        <v>1800</v>
      </c>
      <c r="F31" s="248">
        <v>0</v>
      </c>
      <c r="G31" s="248">
        <f t="shared" si="1"/>
        <v>1000</v>
      </c>
    </row>
    <row r="32" spans="1:11" ht="15" hidden="1" outlineLevel="1" x14ac:dyDescent="0.2">
      <c r="A32" s="90"/>
      <c r="B32" s="301"/>
      <c r="C32" s="376" t="s">
        <v>246</v>
      </c>
      <c r="D32" s="377"/>
      <c r="E32" s="377"/>
      <c r="F32" s="377"/>
      <c r="G32" s="82">
        <f>E31-(E31*15%)</f>
        <v>1530</v>
      </c>
    </row>
    <row r="33" spans="1:12" s="92" customFormat="1" ht="16.5" customHeight="1" collapsed="1" thickBot="1" x14ac:dyDescent="0.3">
      <c r="A33" s="373"/>
      <c r="B33" s="374"/>
      <c r="C33" s="374"/>
      <c r="D33" s="375"/>
      <c r="E33" s="375"/>
      <c r="F33" s="375"/>
      <c r="G33" s="91"/>
      <c r="H33" s="91"/>
      <c r="I33" s="91"/>
    </row>
    <row r="34" spans="1:12" s="59" customFormat="1" ht="15.75" thickBot="1" x14ac:dyDescent="0.3">
      <c r="A34" s="387" t="s">
        <v>427</v>
      </c>
      <c r="B34" s="388"/>
      <c r="C34" s="388"/>
      <c r="D34" s="57">
        <v>-225951.67</v>
      </c>
      <c r="E34" s="58"/>
      <c r="F34" s="58"/>
      <c r="G34" s="58"/>
      <c r="H34" s="54"/>
      <c r="I34" s="54"/>
    </row>
    <row r="35" spans="1:12" s="59" customFormat="1" ht="6" customHeight="1" thickBot="1" x14ac:dyDescent="0.3">
      <c r="A35" s="60"/>
      <c r="B35" s="60"/>
      <c r="C35" s="60"/>
      <c r="D35" s="38"/>
      <c r="E35" s="58"/>
      <c r="F35" s="58"/>
      <c r="G35" s="58"/>
      <c r="H35" s="54"/>
      <c r="I35" s="54"/>
    </row>
    <row r="36" spans="1:12" s="59" customFormat="1" ht="15.75" thickBot="1" x14ac:dyDescent="0.3">
      <c r="A36" s="55" t="s">
        <v>428</v>
      </c>
      <c r="B36" s="56"/>
      <c r="C36" s="56"/>
      <c r="D36" s="61"/>
      <c r="E36" s="62"/>
      <c r="F36" s="62"/>
      <c r="G36" s="129">
        <f>G13+E24-F24</f>
        <v>142079.97919999997</v>
      </c>
      <c r="H36" s="54"/>
      <c r="I36" s="54"/>
    </row>
    <row r="37" spans="1:12" s="92" customFormat="1" ht="13.5" x14ac:dyDescent="0.25">
      <c r="A37" s="93"/>
      <c r="B37" s="93"/>
      <c r="C37" s="93"/>
      <c r="D37" s="93"/>
      <c r="E37" s="91"/>
      <c r="F37" s="91"/>
      <c r="G37" s="91"/>
      <c r="H37" s="91"/>
      <c r="I37" s="91"/>
      <c r="J37" s="91"/>
      <c r="K37" s="91"/>
    </row>
    <row r="38" spans="1:12" ht="31.5" customHeight="1" x14ac:dyDescent="0.25">
      <c r="A38" s="371" t="s">
        <v>106</v>
      </c>
      <c r="B38" s="422"/>
      <c r="C38" s="422"/>
      <c r="D38" s="422"/>
      <c r="E38" s="422"/>
      <c r="F38" s="422"/>
      <c r="G38" s="422"/>
      <c r="H38" s="50"/>
      <c r="I38" s="50"/>
      <c r="J38" s="50"/>
      <c r="K38" s="50"/>
    </row>
    <row r="40" spans="1:12" s="66" customFormat="1" ht="37.5" customHeight="1" x14ac:dyDescent="0.2">
      <c r="A40" s="94" t="s">
        <v>11</v>
      </c>
      <c r="B40" s="550" t="s">
        <v>45</v>
      </c>
      <c r="C40" s="550"/>
      <c r="D40" s="94" t="s">
        <v>99</v>
      </c>
      <c r="E40" s="94" t="s">
        <v>98</v>
      </c>
      <c r="F40" s="550" t="s">
        <v>46</v>
      </c>
      <c r="G40" s="550"/>
      <c r="H40" s="95"/>
      <c r="I40" s="96"/>
      <c r="L40" s="97"/>
    </row>
    <row r="41" spans="1:12" s="103" customFormat="1" ht="15" customHeight="1" x14ac:dyDescent="0.25">
      <c r="A41" s="98" t="s">
        <v>47</v>
      </c>
      <c r="B41" s="559" t="s">
        <v>75</v>
      </c>
      <c r="C41" s="559"/>
      <c r="D41" s="99"/>
      <c r="E41" s="99"/>
      <c r="F41" s="548">
        <f>SUM(F42:G44)</f>
        <v>817.25310000000002</v>
      </c>
      <c r="G41" s="549"/>
      <c r="H41" s="101"/>
      <c r="I41" s="102"/>
      <c r="L41" s="104"/>
    </row>
    <row r="42" spans="1:12" s="103" customFormat="1" ht="15" customHeight="1" x14ac:dyDescent="0.25">
      <c r="A42" s="34" t="s">
        <v>16</v>
      </c>
      <c r="B42" s="412"/>
      <c r="C42" s="413"/>
      <c r="D42" s="260"/>
      <c r="E42" s="260"/>
      <c r="F42" s="463"/>
      <c r="G42" s="463"/>
      <c r="H42" s="101"/>
      <c r="I42" s="102"/>
      <c r="L42" s="104"/>
    </row>
    <row r="43" spans="1:12" s="103" customFormat="1" ht="15" customHeight="1" x14ac:dyDescent="0.25">
      <c r="A43" s="34" t="s">
        <v>18</v>
      </c>
      <c r="B43" s="561"/>
      <c r="C43" s="561"/>
      <c r="D43" s="258"/>
      <c r="E43" s="258"/>
      <c r="F43" s="463"/>
      <c r="G43" s="463"/>
      <c r="H43" s="101"/>
      <c r="I43" s="102"/>
      <c r="L43" s="104"/>
    </row>
    <row r="44" spans="1:12" s="59" customFormat="1" ht="15" x14ac:dyDescent="0.25">
      <c r="A44" s="34" t="s">
        <v>20</v>
      </c>
      <c r="B44" s="560" t="s">
        <v>108</v>
      </c>
      <c r="C44" s="560"/>
      <c r="D44" s="108"/>
      <c r="E44" s="108"/>
      <c r="F44" s="435">
        <f>E24*1%</f>
        <v>817.25310000000002</v>
      </c>
      <c r="G44" s="435"/>
      <c r="H44" s="51"/>
      <c r="I44" s="51"/>
      <c r="J44" s="51"/>
      <c r="K44" s="51"/>
    </row>
    <row r="45" spans="1:12" s="51" customFormat="1" ht="9" customHeight="1" x14ac:dyDescent="0.2"/>
    <row r="46" spans="1:12" s="51" customFormat="1" ht="15" x14ac:dyDescent="0.25">
      <c r="A46" s="51" t="s">
        <v>372</v>
      </c>
      <c r="B46" s="59"/>
      <c r="C46" s="110" t="s">
        <v>49</v>
      </c>
      <c r="D46" s="59"/>
      <c r="E46" s="59"/>
      <c r="F46" s="59" t="s">
        <v>60</v>
      </c>
      <c r="G46" s="59"/>
      <c r="H46" s="59"/>
      <c r="I46" s="59"/>
      <c r="J46" s="59"/>
      <c r="K46" s="59"/>
    </row>
    <row r="47" spans="1:12" s="51" customFormat="1" ht="15" x14ac:dyDescent="0.25">
      <c r="A47" s="59"/>
      <c r="B47" s="59"/>
      <c r="C47" s="110"/>
      <c r="D47" s="59"/>
      <c r="E47" s="59"/>
      <c r="F47" s="111" t="s">
        <v>438</v>
      </c>
      <c r="G47" s="59"/>
    </row>
    <row r="48" spans="1:12" s="51" customFormat="1" ht="15" x14ac:dyDescent="0.25">
      <c r="A48" s="59" t="s">
        <v>50</v>
      </c>
      <c r="B48" s="59"/>
      <c r="C48" s="110"/>
      <c r="D48" s="59"/>
      <c r="E48" s="59"/>
      <c r="F48" s="59"/>
      <c r="G48" s="59"/>
      <c r="H48" s="141"/>
      <c r="I48" s="141"/>
      <c r="J48" s="141"/>
    </row>
    <row r="49" spans="1:11" ht="15" x14ac:dyDescent="0.25">
      <c r="A49" s="59"/>
      <c r="B49" s="59"/>
      <c r="C49" s="112" t="s">
        <v>51</v>
      </c>
      <c r="D49" s="59"/>
      <c r="E49" s="113"/>
      <c r="F49" s="113"/>
      <c r="G49" s="113"/>
      <c r="H49" s="51"/>
      <c r="I49" s="51"/>
      <c r="J49" s="51"/>
      <c r="K49" s="51"/>
    </row>
    <row r="50" spans="1:11" x14ac:dyDescent="0.2">
      <c r="A50" s="51"/>
      <c r="B50" s="51"/>
      <c r="C50" s="51"/>
      <c r="D50" s="51"/>
      <c r="E50" s="51"/>
      <c r="F50" s="51"/>
      <c r="G50" s="51"/>
      <c r="H50" s="51"/>
      <c r="I50" s="51"/>
      <c r="J50" s="51"/>
      <c r="K50" s="51"/>
    </row>
  </sheetData>
  <mergeCells count="21">
    <mergeCell ref="B44:C44"/>
    <mergeCell ref="F44:G44"/>
    <mergeCell ref="B42:C42"/>
    <mergeCell ref="B43:C43"/>
    <mergeCell ref="F43:G43"/>
    <mergeCell ref="F42:G42"/>
    <mergeCell ref="A1:K1"/>
    <mergeCell ref="A2:K2"/>
    <mergeCell ref="A3:K3"/>
    <mergeCell ref="A5:K5"/>
    <mergeCell ref="A9:K9"/>
    <mergeCell ref="B41:C41"/>
    <mergeCell ref="A10:K10"/>
    <mergeCell ref="A34:C34"/>
    <mergeCell ref="A11:K11"/>
    <mergeCell ref="F41:G41"/>
    <mergeCell ref="C32:F32"/>
    <mergeCell ref="A33:F33"/>
    <mergeCell ref="A38:G38"/>
    <mergeCell ref="B40:C40"/>
    <mergeCell ref="F40:G40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225025-CA81-4E37-AC10-195BD6530F90}">
  <sheetPr>
    <tabColor rgb="FF7030A0"/>
  </sheetPr>
  <dimension ref="A1:M54"/>
  <sheetViews>
    <sheetView topLeftCell="A31" zoomScaleNormal="100" workbookViewId="0">
      <selection activeCell="A55" sqref="A55:IV56"/>
    </sheetView>
  </sheetViews>
  <sheetFormatPr defaultRowHeight="15" outlineLevelRow="1" outlineLevelCol="1" x14ac:dyDescent="0.25"/>
  <cols>
    <col min="1" max="1" width="4.7109375" style="35" customWidth="1"/>
    <col min="2" max="2" width="46.85546875" style="35" customWidth="1"/>
    <col min="3" max="3" width="13.5703125" style="35" customWidth="1"/>
    <col min="4" max="5" width="13.140625" style="35" bestFit="1" customWidth="1"/>
    <col min="6" max="6" width="14.140625" style="35" customWidth="1"/>
    <col min="7" max="7" width="13.5703125" style="35" customWidth="1"/>
    <col min="8" max="8" width="10.85546875" style="35" hidden="1" customWidth="1" outlineLevel="1"/>
    <col min="9" max="9" width="13.42578125" style="35" hidden="1" customWidth="1" outlineLevel="1"/>
    <col min="10" max="12" width="9.140625" style="35" hidden="1" customWidth="1" outlineLevel="1"/>
    <col min="13" max="13" width="10.7109375" style="35" bestFit="1" customWidth="1" collapsed="1"/>
    <col min="14" max="16384" width="9.140625" style="35"/>
  </cols>
  <sheetData>
    <row r="1" spans="1:11" x14ac:dyDescent="0.25">
      <c r="A1" s="397" t="s">
        <v>0</v>
      </c>
      <c r="B1" s="397"/>
      <c r="C1" s="397"/>
      <c r="D1" s="397"/>
      <c r="E1" s="397"/>
      <c r="F1" s="397"/>
      <c r="G1" s="397"/>
      <c r="H1" s="397"/>
      <c r="I1" s="397"/>
    </row>
    <row r="2" spans="1:11" ht="15" customHeight="1" x14ac:dyDescent="0.25">
      <c r="A2" s="370" t="s">
        <v>152</v>
      </c>
      <c r="B2" s="370"/>
      <c r="C2" s="370"/>
      <c r="D2" s="370"/>
      <c r="E2" s="370"/>
      <c r="F2" s="370"/>
      <c r="G2" s="370"/>
      <c r="H2" s="370"/>
      <c r="I2" s="370"/>
      <c r="J2" s="370"/>
      <c r="K2" s="370"/>
    </row>
    <row r="3" spans="1:11" ht="16.5" customHeight="1" x14ac:dyDescent="0.25">
      <c r="A3" s="370" t="s">
        <v>426</v>
      </c>
      <c r="B3" s="370"/>
      <c r="C3" s="370"/>
      <c r="D3" s="370"/>
      <c r="E3" s="370"/>
      <c r="F3" s="370"/>
      <c r="G3" s="370"/>
      <c r="H3" s="370"/>
      <c r="I3" s="370"/>
      <c r="J3" s="370"/>
      <c r="K3" s="370"/>
    </row>
    <row r="4" spans="1:11" ht="7.5" customHeight="1" x14ac:dyDescent="0.25">
      <c r="A4" s="142"/>
      <c r="B4" s="142"/>
      <c r="C4" s="142"/>
      <c r="D4" s="142"/>
      <c r="E4" s="142"/>
      <c r="F4" s="142"/>
      <c r="G4" s="142"/>
      <c r="H4" s="142"/>
      <c r="I4" s="142"/>
    </row>
    <row r="5" spans="1:11" ht="15.75" customHeight="1" x14ac:dyDescent="0.25">
      <c r="A5" s="398" t="s">
        <v>1</v>
      </c>
      <c r="B5" s="397"/>
      <c r="C5" s="397"/>
      <c r="D5" s="397"/>
      <c r="E5" s="397"/>
      <c r="F5" s="397"/>
      <c r="G5" s="397"/>
      <c r="H5" s="397"/>
      <c r="I5" s="397"/>
    </row>
    <row r="6" spans="1:11" ht="8.25" customHeight="1" x14ac:dyDescent="0.25"/>
    <row r="7" spans="1:11" s="59" customFormat="1" ht="16.5" customHeight="1" x14ac:dyDescent="0.25">
      <c r="A7" s="59" t="s">
        <v>2</v>
      </c>
      <c r="F7" s="111" t="s">
        <v>165</v>
      </c>
    </row>
    <row r="8" spans="1:11" s="59" customFormat="1" x14ac:dyDescent="0.25">
      <c r="A8" s="59" t="s">
        <v>3</v>
      </c>
      <c r="F8" s="111" t="s">
        <v>166</v>
      </c>
      <c r="H8" s="59">
        <v>0</v>
      </c>
      <c r="I8" s="59">
        <v>3903.6</v>
      </c>
      <c r="J8" s="59">
        <f>H8+I8</f>
        <v>3903.6</v>
      </c>
    </row>
    <row r="9" spans="1:11" s="59" customFormat="1" ht="7.5" customHeight="1" x14ac:dyDescent="0.25"/>
    <row r="10" spans="1:11" s="59" customFormat="1" x14ac:dyDescent="0.25">
      <c r="A10" s="372" t="s">
        <v>8</v>
      </c>
      <c r="B10" s="372"/>
      <c r="C10" s="372"/>
      <c r="D10" s="372"/>
      <c r="E10" s="372"/>
      <c r="F10" s="372"/>
      <c r="G10" s="372"/>
      <c r="H10" s="372"/>
      <c r="I10" s="372"/>
    </row>
    <row r="11" spans="1:11" s="59" customFormat="1" x14ac:dyDescent="0.25">
      <c r="A11" s="372" t="s">
        <v>9</v>
      </c>
      <c r="B11" s="372"/>
      <c r="C11" s="372"/>
      <c r="D11" s="372"/>
      <c r="E11" s="372"/>
      <c r="F11" s="372"/>
      <c r="G11" s="372"/>
      <c r="H11" s="372"/>
      <c r="I11" s="372"/>
    </row>
    <row r="12" spans="1:11" s="59" customFormat="1" x14ac:dyDescent="0.25">
      <c r="A12" s="372" t="s">
        <v>10</v>
      </c>
      <c r="B12" s="372"/>
      <c r="C12" s="372"/>
      <c r="D12" s="372"/>
      <c r="E12" s="372"/>
      <c r="F12" s="372"/>
      <c r="G12" s="372"/>
      <c r="H12" s="372"/>
      <c r="I12" s="372"/>
    </row>
    <row r="13" spans="1:11" s="59" customFormat="1" ht="6" customHeight="1" thickBot="1" x14ac:dyDescent="0.3">
      <c r="A13" s="60"/>
      <c r="B13" s="60"/>
      <c r="C13" s="60"/>
      <c r="D13" s="38"/>
      <c r="E13" s="58"/>
      <c r="F13" s="58"/>
      <c r="G13" s="58"/>
      <c r="H13" s="54"/>
      <c r="I13" s="54"/>
    </row>
    <row r="14" spans="1:11" s="59" customFormat="1" ht="15.75" thickBot="1" x14ac:dyDescent="0.3">
      <c r="A14" s="55" t="s">
        <v>381</v>
      </c>
      <c r="B14" s="56"/>
      <c r="C14" s="56"/>
      <c r="D14" s="61"/>
      <c r="E14" s="62"/>
      <c r="F14" s="62"/>
      <c r="G14" s="129">
        <f>'[1]Герцена 6'!$G$37</f>
        <v>185229.18970000002</v>
      </c>
      <c r="H14" s="54"/>
      <c r="I14" s="54"/>
    </row>
    <row r="15" spans="1:11" s="59" customFormat="1" ht="6.75" customHeight="1" x14ac:dyDescent="0.25"/>
    <row r="16" spans="1:11" s="66" customFormat="1" ht="51" x14ac:dyDescent="0.25">
      <c r="A16" s="64" t="s">
        <v>11</v>
      </c>
      <c r="B16" s="64" t="s">
        <v>12</v>
      </c>
      <c r="C16" s="64" t="s">
        <v>61</v>
      </c>
      <c r="D16" s="64" t="s">
        <v>432</v>
      </c>
      <c r="E16" s="64" t="s">
        <v>433</v>
      </c>
      <c r="F16" s="65" t="s">
        <v>434</v>
      </c>
      <c r="G16" s="64" t="s">
        <v>435</v>
      </c>
      <c r="H16" s="64" t="s">
        <v>109</v>
      </c>
    </row>
    <row r="17" spans="1:13" s="152" customFormat="1" ht="14.25" x14ac:dyDescent="0.2">
      <c r="A17" s="67" t="s">
        <v>14</v>
      </c>
      <c r="B17" s="39" t="s">
        <v>379</v>
      </c>
      <c r="C17" s="120">
        <v>20.32</v>
      </c>
      <c r="D17" s="68">
        <v>944987.58</v>
      </c>
      <c r="E17" s="68">
        <v>916914.41</v>
      </c>
      <c r="F17" s="68">
        <f>D17</f>
        <v>944987.58</v>
      </c>
      <c r="G17" s="69">
        <f>D17-E17</f>
        <v>28073.169999999925</v>
      </c>
      <c r="H17" s="151">
        <f>C17</f>
        <v>20.32</v>
      </c>
    </row>
    <row r="18" spans="1:13" s="59" customFormat="1" hidden="1" outlineLevel="1" x14ac:dyDescent="0.25">
      <c r="A18" s="73" t="s">
        <v>16</v>
      </c>
      <c r="B18" s="34" t="s">
        <v>17</v>
      </c>
      <c r="C18" s="89">
        <v>3.46</v>
      </c>
      <c r="D18" s="75">
        <f>D17*I18</f>
        <v>160908.31824803149</v>
      </c>
      <c r="E18" s="75">
        <f>E17*I18</f>
        <v>156128.14264763781</v>
      </c>
      <c r="F18" s="75">
        <f>D18</f>
        <v>160908.31824803149</v>
      </c>
      <c r="G18" s="76">
        <f>D18-E18</f>
        <v>4780.1756003936753</v>
      </c>
      <c r="H18" s="130">
        <f>C18</f>
        <v>3.46</v>
      </c>
      <c r="I18" s="59">
        <f>H18/H17</f>
        <v>0.17027559055118111</v>
      </c>
    </row>
    <row r="19" spans="1:13" s="59" customFormat="1" hidden="1" outlineLevel="1" x14ac:dyDescent="0.25">
      <c r="A19" s="73" t="s">
        <v>18</v>
      </c>
      <c r="B19" s="34" t="s">
        <v>19</v>
      </c>
      <c r="C19" s="89">
        <v>1.69</v>
      </c>
      <c r="D19" s="75">
        <f>D17*I19</f>
        <v>78593.9473523622</v>
      </c>
      <c r="E19" s="75">
        <f>E17*I19</f>
        <v>76259.121697834635</v>
      </c>
      <c r="F19" s="75">
        <f>D19</f>
        <v>78593.9473523622</v>
      </c>
      <c r="G19" s="76">
        <f t="shared" ref="G19:G32" si="0">D19-E19</f>
        <v>2334.8256545275653</v>
      </c>
      <c r="H19" s="130">
        <f>C19</f>
        <v>1.69</v>
      </c>
      <c r="I19" s="59">
        <f>H19/H17</f>
        <v>8.3169291338582668E-2</v>
      </c>
    </row>
    <row r="20" spans="1:13" s="59" customFormat="1" hidden="1" outlineLevel="1" x14ac:dyDescent="0.25">
      <c r="A20" s="73" t="s">
        <v>20</v>
      </c>
      <c r="B20" s="34" t="s">
        <v>21</v>
      </c>
      <c r="C20" s="89">
        <v>2.15</v>
      </c>
      <c r="D20" s="75">
        <f>D17*I20</f>
        <v>99986.382726377939</v>
      </c>
      <c r="E20" s="75">
        <f>E17*I20</f>
        <v>97016.042396653545</v>
      </c>
      <c r="F20" s="75">
        <f>D20</f>
        <v>99986.382726377939</v>
      </c>
      <c r="G20" s="76">
        <f t="shared" si="0"/>
        <v>2970.3403297243931</v>
      </c>
      <c r="H20" s="130">
        <f>C20</f>
        <v>2.15</v>
      </c>
      <c r="I20" s="59">
        <f>H20/H17</f>
        <v>0.10580708661417322</v>
      </c>
    </row>
    <row r="21" spans="1:13" s="59" customFormat="1" hidden="1" outlineLevel="1" x14ac:dyDescent="0.25">
      <c r="A21" s="73" t="s">
        <v>22</v>
      </c>
      <c r="B21" s="34" t="s">
        <v>23</v>
      </c>
      <c r="C21" s="89">
        <v>3.04</v>
      </c>
      <c r="D21" s="75">
        <f>D17*I21</f>
        <v>141376.09464566931</v>
      </c>
      <c r="E21" s="75">
        <f>E17*I21</f>
        <v>137176.17157480316</v>
      </c>
      <c r="F21" s="75">
        <f>D21</f>
        <v>141376.09464566931</v>
      </c>
      <c r="G21" s="76">
        <f t="shared" si="0"/>
        <v>4199.9230708661489</v>
      </c>
      <c r="H21" s="130">
        <f>C21</f>
        <v>3.04</v>
      </c>
      <c r="I21" s="59">
        <f>H21/H17</f>
        <v>0.14960629921259844</v>
      </c>
    </row>
    <row r="22" spans="1:13" s="37" customFormat="1" ht="14.25" collapsed="1" x14ac:dyDescent="0.2">
      <c r="A22" s="39" t="s">
        <v>25</v>
      </c>
      <c r="B22" s="78" t="s">
        <v>145</v>
      </c>
      <c r="C22" s="46">
        <v>110</v>
      </c>
      <c r="D22" s="69">
        <v>0</v>
      </c>
      <c r="E22" s="69">
        <v>98.1</v>
      </c>
      <c r="F22" s="68">
        <f t="shared" ref="F22:F31" si="1">D22</f>
        <v>0</v>
      </c>
      <c r="G22" s="69">
        <f t="shared" si="0"/>
        <v>-98.1</v>
      </c>
    </row>
    <row r="23" spans="1:13" s="37" customFormat="1" ht="14.25" x14ac:dyDescent="0.2">
      <c r="A23" s="39" t="s">
        <v>27</v>
      </c>
      <c r="B23" s="125" t="s">
        <v>167</v>
      </c>
      <c r="C23" s="46">
        <v>2.65</v>
      </c>
      <c r="D23" s="69">
        <v>0</v>
      </c>
      <c r="E23" s="69">
        <v>399.32</v>
      </c>
      <c r="F23" s="68">
        <f>D23</f>
        <v>0</v>
      </c>
      <c r="G23" s="69">
        <f t="shared" si="0"/>
        <v>-399.32</v>
      </c>
    </row>
    <row r="24" spans="1:13" s="37" customFormat="1" ht="14.25" x14ac:dyDescent="0.2">
      <c r="A24" s="39" t="s">
        <v>29</v>
      </c>
      <c r="B24" s="125" t="s">
        <v>97</v>
      </c>
      <c r="C24" s="357">
        <v>0</v>
      </c>
      <c r="D24" s="69"/>
      <c r="E24" s="69"/>
      <c r="F24" s="68">
        <f t="shared" si="1"/>
        <v>0</v>
      </c>
      <c r="G24" s="69">
        <f t="shared" si="0"/>
        <v>0</v>
      </c>
    </row>
    <row r="25" spans="1:13" s="37" customFormat="1" ht="14.25" x14ac:dyDescent="0.2">
      <c r="A25" s="39" t="s">
        <v>31</v>
      </c>
      <c r="B25" s="125" t="s">
        <v>80</v>
      </c>
      <c r="C25" s="87">
        <v>2.0099999999999998</v>
      </c>
      <c r="D25" s="69">
        <v>94155.48</v>
      </c>
      <c r="E25" s="69">
        <v>91669.74</v>
      </c>
      <c r="F25" s="68">
        <f>F42</f>
        <v>231418.17740000002</v>
      </c>
      <c r="G25" s="69">
        <f t="shared" si="0"/>
        <v>2485.7399999999907</v>
      </c>
    </row>
    <row r="26" spans="1:13" s="37" customFormat="1" ht="14.25" x14ac:dyDescent="0.2">
      <c r="A26" s="39" t="s">
        <v>33</v>
      </c>
      <c r="B26" s="119" t="s">
        <v>26</v>
      </c>
      <c r="C26" s="43">
        <v>4.3600000000000003</v>
      </c>
      <c r="D26" s="69">
        <v>203963.13</v>
      </c>
      <c r="E26" s="69">
        <v>198568.13</v>
      </c>
      <c r="F26" s="68">
        <f>D26</f>
        <v>203963.13</v>
      </c>
      <c r="G26" s="69">
        <f t="shared" si="0"/>
        <v>5395</v>
      </c>
    </row>
    <row r="27" spans="1:13" s="37" customFormat="1" ht="14.25" x14ac:dyDescent="0.2">
      <c r="A27" s="39" t="s">
        <v>35</v>
      </c>
      <c r="B27" s="119" t="s">
        <v>36</v>
      </c>
      <c r="C27" s="87"/>
      <c r="D27" s="69">
        <f>SUM(D28:D31)</f>
        <v>2993201.5300000003</v>
      </c>
      <c r="E27" s="69">
        <f>SUM(E28:E31)</f>
        <v>2931498.37</v>
      </c>
      <c r="F27" s="68">
        <f t="shared" si="1"/>
        <v>2993201.5300000003</v>
      </c>
      <c r="G27" s="69">
        <f t="shared" si="0"/>
        <v>61703.160000000149</v>
      </c>
      <c r="M27" s="322"/>
    </row>
    <row r="28" spans="1:13" x14ac:dyDescent="0.25">
      <c r="A28" s="34" t="s">
        <v>37</v>
      </c>
      <c r="B28" s="34" t="s">
        <v>101</v>
      </c>
      <c r="C28" s="89">
        <v>7.36</v>
      </c>
      <c r="D28" s="76">
        <v>287400.36</v>
      </c>
      <c r="E28" s="76">
        <v>279233.98</v>
      </c>
      <c r="F28" s="75">
        <f>D28</f>
        <v>287400.36</v>
      </c>
      <c r="G28" s="76">
        <f t="shared" si="0"/>
        <v>8166.3800000000047</v>
      </c>
    </row>
    <row r="29" spans="1:13" x14ac:dyDescent="0.25">
      <c r="A29" s="34" t="s">
        <v>39</v>
      </c>
      <c r="B29" s="34" t="s">
        <v>84</v>
      </c>
      <c r="C29" s="89">
        <v>88.38</v>
      </c>
      <c r="D29" s="76">
        <v>491445.79</v>
      </c>
      <c r="E29" s="76">
        <v>484870.32</v>
      </c>
      <c r="F29" s="75">
        <f t="shared" si="1"/>
        <v>491445.79</v>
      </c>
      <c r="G29" s="76">
        <f t="shared" si="0"/>
        <v>6575.4699999999721</v>
      </c>
    </row>
    <row r="30" spans="1:13" x14ac:dyDescent="0.25">
      <c r="A30" s="34" t="s">
        <v>42</v>
      </c>
      <c r="B30" s="124" t="s">
        <v>135</v>
      </c>
      <c r="C30" s="128">
        <v>278.94</v>
      </c>
      <c r="D30" s="76">
        <v>566187.31000000006</v>
      </c>
      <c r="E30" s="76">
        <v>564940.51</v>
      </c>
      <c r="F30" s="75">
        <f t="shared" si="1"/>
        <v>566187.31000000006</v>
      </c>
      <c r="G30" s="76">
        <f t="shared" si="0"/>
        <v>1246.8000000000466</v>
      </c>
    </row>
    <row r="31" spans="1:13" x14ac:dyDescent="0.25">
      <c r="A31" s="34" t="s">
        <v>41</v>
      </c>
      <c r="B31" s="34" t="s">
        <v>43</v>
      </c>
      <c r="C31" s="89">
        <v>3352.42</v>
      </c>
      <c r="D31" s="76">
        <v>1648168.07</v>
      </c>
      <c r="E31" s="76">
        <v>1602453.56</v>
      </c>
      <c r="F31" s="75">
        <f t="shared" si="1"/>
        <v>1648168.07</v>
      </c>
      <c r="G31" s="76">
        <f t="shared" si="0"/>
        <v>45714.510000000009</v>
      </c>
    </row>
    <row r="32" spans="1:13" ht="30.75" hidden="1" customHeight="1" outlineLevel="1" x14ac:dyDescent="0.25">
      <c r="A32" s="39" t="s">
        <v>112</v>
      </c>
      <c r="B32" s="300" t="s">
        <v>140</v>
      </c>
      <c r="C32" s="291"/>
      <c r="D32" s="82">
        <v>1800</v>
      </c>
      <c r="E32" s="82">
        <v>1800</v>
      </c>
      <c r="F32" s="205">
        <v>0</v>
      </c>
      <c r="G32" s="82">
        <f t="shared" si="0"/>
        <v>0</v>
      </c>
    </row>
    <row r="33" spans="1:13" hidden="1" outlineLevel="1" x14ac:dyDescent="0.25">
      <c r="A33" s="286"/>
      <c r="B33" s="287"/>
      <c r="C33" s="376" t="s">
        <v>246</v>
      </c>
      <c r="D33" s="377"/>
      <c r="E33" s="377"/>
      <c r="F33" s="377"/>
      <c r="G33" s="82">
        <f>E32-(E32*15%)</f>
        <v>1530</v>
      </c>
    </row>
    <row r="34" spans="1:13" s="92" customFormat="1" ht="15" customHeight="1" collapsed="1" thickBot="1" x14ac:dyDescent="0.3">
      <c r="A34" s="373"/>
      <c r="B34" s="374"/>
      <c r="C34" s="374"/>
      <c r="D34" s="375"/>
      <c r="E34" s="375"/>
      <c r="F34" s="375"/>
      <c r="G34" s="91"/>
      <c r="H34" s="91"/>
      <c r="I34" s="91"/>
      <c r="J34" s="91"/>
    </row>
    <row r="35" spans="1:13" s="59" customFormat="1" ht="15.75" thickBot="1" x14ac:dyDescent="0.3">
      <c r="A35" s="387" t="s">
        <v>427</v>
      </c>
      <c r="B35" s="388"/>
      <c r="C35" s="388"/>
      <c r="D35" s="57">
        <v>97159.65</v>
      </c>
      <c r="E35" s="58"/>
      <c r="F35" s="58"/>
      <c r="G35" s="58"/>
      <c r="H35" s="54"/>
      <c r="I35" s="54"/>
    </row>
    <row r="36" spans="1:13" s="59" customFormat="1" ht="6" customHeight="1" thickBot="1" x14ac:dyDescent="0.3">
      <c r="A36" s="60"/>
      <c r="B36" s="60"/>
      <c r="C36" s="60"/>
      <c r="D36" s="38"/>
      <c r="E36" s="58"/>
      <c r="F36" s="58"/>
      <c r="G36" s="58"/>
      <c r="H36" s="54"/>
      <c r="I36" s="54"/>
    </row>
    <row r="37" spans="1:13" s="59" customFormat="1" ht="15.75" thickBot="1" x14ac:dyDescent="0.3">
      <c r="A37" s="55" t="s">
        <v>428</v>
      </c>
      <c r="B37" s="56"/>
      <c r="C37" s="56"/>
      <c r="D37" s="61"/>
      <c r="E37" s="62"/>
      <c r="F37" s="62"/>
      <c r="G37" s="129">
        <f>E25+G14-F25</f>
        <v>45480.752300000022</v>
      </c>
      <c r="H37" s="54"/>
      <c r="I37" s="54"/>
      <c r="M37" s="130"/>
    </row>
    <row r="38" spans="1:13" s="59" customFormat="1" x14ac:dyDescent="0.25">
      <c r="A38" s="60"/>
      <c r="B38" s="60"/>
      <c r="C38" s="60"/>
      <c r="D38" s="38"/>
      <c r="E38" s="58"/>
      <c r="F38" s="58"/>
      <c r="G38" s="38"/>
      <c r="H38" s="54"/>
      <c r="I38" s="54"/>
    </row>
    <row r="39" spans="1:13" ht="25.5" customHeight="1" x14ac:dyDescent="0.25">
      <c r="A39" s="371" t="s">
        <v>44</v>
      </c>
      <c r="B39" s="371"/>
      <c r="C39" s="371"/>
      <c r="D39" s="371"/>
      <c r="E39" s="371"/>
      <c r="F39" s="371"/>
      <c r="G39" s="371"/>
      <c r="H39" s="371"/>
      <c r="I39" s="371"/>
    </row>
    <row r="40" spans="1:13" ht="8.25" customHeight="1" x14ac:dyDescent="0.25"/>
    <row r="41" spans="1:13" s="156" customFormat="1" ht="28.5" customHeight="1" x14ac:dyDescent="0.25">
      <c r="A41" s="94" t="s">
        <v>11</v>
      </c>
      <c r="B41" s="160" t="s">
        <v>45</v>
      </c>
      <c r="C41" s="161"/>
      <c r="D41" s="94" t="s">
        <v>99</v>
      </c>
      <c r="E41" s="94" t="s">
        <v>98</v>
      </c>
      <c r="F41" s="416" t="s">
        <v>46</v>
      </c>
      <c r="G41" s="424"/>
    </row>
    <row r="42" spans="1:13" s="103" customFormat="1" ht="13.5" customHeight="1" x14ac:dyDescent="0.25">
      <c r="A42" s="98" t="s">
        <v>47</v>
      </c>
      <c r="B42" s="418" t="s">
        <v>75</v>
      </c>
      <c r="C42" s="430"/>
      <c r="D42" s="157"/>
      <c r="E42" s="157"/>
      <c r="F42" s="448">
        <f>SUM(F43:G48)</f>
        <v>231418.17740000002</v>
      </c>
      <c r="G42" s="449"/>
    </row>
    <row r="43" spans="1:13" ht="13.5" customHeight="1" x14ac:dyDescent="0.25">
      <c r="A43" s="34" t="s">
        <v>16</v>
      </c>
      <c r="B43" s="406" t="s">
        <v>451</v>
      </c>
      <c r="C43" s="431"/>
      <c r="D43" s="136" t="s">
        <v>103</v>
      </c>
      <c r="E43" s="345">
        <v>2.0874000000000001</v>
      </c>
      <c r="F43" s="450">
        <v>216961.85</v>
      </c>
      <c r="G43" s="450"/>
    </row>
    <row r="44" spans="1:13" ht="13.5" customHeight="1" x14ac:dyDescent="0.25">
      <c r="A44" s="34" t="s">
        <v>18</v>
      </c>
      <c r="B44" s="451" t="s">
        <v>452</v>
      </c>
      <c r="C44" s="452"/>
      <c r="D44" s="136" t="s">
        <v>100</v>
      </c>
      <c r="E44" s="168">
        <v>1</v>
      </c>
      <c r="F44" s="450">
        <v>7887.63</v>
      </c>
      <c r="G44" s="450"/>
    </row>
    <row r="45" spans="1:13" ht="13.5" customHeight="1" x14ac:dyDescent="0.25">
      <c r="A45" s="34" t="s">
        <v>20</v>
      </c>
      <c r="B45" s="406" t="s">
        <v>408</v>
      </c>
      <c r="C45" s="454"/>
      <c r="D45" s="136" t="s">
        <v>100</v>
      </c>
      <c r="E45" s="168">
        <v>1</v>
      </c>
      <c r="F45" s="450">
        <v>5652</v>
      </c>
      <c r="G45" s="450"/>
    </row>
    <row r="46" spans="1:13" ht="13.5" customHeight="1" x14ac:dyDescent="0.25">
      <c r="A46" s="34" t="s">
        <v>22</v>
      </c>
      <c r="B46" s="412"/>
      <c r="C46" s="455"/>
      <c r="D46" s="136"/>
      <c r="E46" s="168"/>
      <c r="F46" s="453"/>
      <c r="G46" s="453"/>
    </row>
    <row r="47" spans="1:13" ht="13.5" customHeight="1" x14ac:dyDescent="0.25">
      <c r="A47" s="34" t="s">
        <v>24</v>
      </c>
      <c r="B47" s="412"/>
      <c r="C47" s="455"/>
      <c r="D47" s="136"/>
      <c r="E47" s="168"/>
      <c r="F47" s="453"/>
      <c r="G47" s="453"/>
    </row>
    <row r="48" spans="1:13" ht="13.5" customHeight="1" x14ac:dyDescent="0.25">
      <c r="A48" s="34" t="s">
        <v>73</v>
      </c>
      <c r="B48" s="451" t="s">
        <v>108</v>
      </c>
      <c r="C48" s="452"/>
      <c r="D48" s="136"/>
      <c r="E48" s="168"/>
      <c r="F48" s="450">
        <f>E25*1%</f>
        <v>916.69740000000002</v>
      </c>
      <c r="G48" s="450"/>
    </row>
    <row r="49" spans="1:7" s="59" customFormat="1" x14ac:dyDescent="0.25">
      <c r="A49" s="153"/>
      <c r="B49" s="169"/>
      <c r="C49" s="169"/>
      <c r="D49" s="170"/>
      <c r="E49" s="171"/>
      <c r="F49" s="172"/>
      <c r="G49" s="172"/>
    </row>
    <row r="50" spans="1:7" s="59" customFormat="1" x14ac:dyDescent="0.25">
      <c r="A50" s="51" t="s">
        <v>372</v>
      </c>
      <c r="C50" s="59" t="s">
        <v>49</v>
      </c>
      <c r="F50" s="59" t="s">
        <v>60</v>
      </c>
    </row>
    <row r="51" spans="1:7" s="59" customFormat="1" ht="13.5" customHeight="1" x14ac:dyDescent="0.25">
      <c r="F51" s="111" t="s">
        <v>438</v>
      </c>
    </row>
    <row r="52" spans="1:7" s="59" customFormat="1" x14ac:dyDescent="0.25">
      <c r="A52" s="59" t="s">
        <v>50</v>
      </c>
    </row>
    <row r="53" spans="1:7" s="59" customFormat="1" x14ac:dyDescent="0.25">
      <c r="C53" s="113" t="s">
        <v>51</v>
      </c>
      <c r="E53" s="113"/>
      <c r="F53" s="113"/>
      <c r="G53" s="113"/>
    </row>
    <row r="54" spans="1:7" s="59" customFormat="1" x14ac:dyDescent="0.25"/>
  </sheetData>
  <mergeCells count="26">
    <mergeCell ref="F48:G48"/>
    <mergeCell ref="B42:C42"/>
    <mergeCell ref="B48:C48"/>
    <mergeCell ref="B43:C43"/>
    <mergeCell ref="F46:G46"/>
    <mergeCell ref="F47:G47"/>
    <mergeCell ref="F45:G45"/>
    <mergeCell ref="B45:C45"/>
    <mergeCell ref="B46:C46"/>
    <mergeCell ref="B47:C47"/>
    <mergeCell ref="A1:I1"/>
    <mergeCell ref="A5:I5"/>
    <mergeCell ref="A10:I10"/>
    <mergeCell ref="A3:K3"/>
    <mergeCell ref="A11:I11"/>
    <mergeCell ref="A2:K2"/>
    <mergeCell ref="A12:I12"/>
    <mergeCell ref="A34:F34"/>
    <mergeCell ref="F42:G42"/>
    <mergeCell ref="F43:G43"/>
    <mergeCell ref="F44:G44"/>
    <mergeCell ref="C33:F33"/>
    <mergeCell ref="A35:C35"/>
    <mergeCell ref="A39:I39"/>
    <mergeCell ref="F41:G41"/>
    <mergeCell ref="B44:C44"/>
  </mergeCells>
  <phoneticPr fontId="14" type="noConversion"/>
  <pageMargins left="0.59055118110236227" right="0" top="0.59055118110236227" bottom="0.59055118110236227" header="0.31496062992125984" footer="0.31496062992125984"/>
  <pageSetup paperSize="9" orientation="landscape" verticalDpi="0" r:id="rId1"/>
  <drawing r:id="rId2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454045-75A7-4A36-8104-63770B48519C}">
  <sheetPr>
    <tabColor rgb="FF7030A0"/>
  </sheetPr>
  <dimension ref="A1:M58"/>
  <sheetViews>
    <sheetView topLeftCell="A36" workbookViewId="0">
      <selection activeCell="A60" sqref="A60:IV61"/>
    </sheetView>
  </sheetViews>
  <sheetFormatPr defaultRowHeight="12.75" outlineLevelRow="1" outlineLevelCol="1" x14ac:dyDescent="0.2"/>
  <cols>
    <col min="1" max="1" width="5.42578125" style="49" customWidth="1"/>
    <col min="2" max="2" width="48.85546875" style="49" customWidth="1"/>
    <col min="3" max="3" width="14.28515625" style="49" customWidth="1"/>
    <col min="4" max="4" width="14.85546875" style="49" customWidth="1"/>
    <col min="5" max="5" width="13.140625" style="49" customWidth="1"/>
    <col min="6" max="6" width="15.7109375" style="49" customWidth="1"/>
    <col min="7" max="7" width="14.5703125" style="49" customWidth="1"/>
    <col min="8" max="9" width="11.5703125" style="49" hidden="1" customWidth="1" outlineLevel="1"/>
    <col min="10" max="10" width="9.140625" style="49" hidden="1" customWidth="1" outlineLevel="1"/>
    <col min="11" max="11" width="10.42578125" style="49" hidden="1" customWidth="1" outlineLevel="1"/>
    <col min="12" max="12" width="9.140625" style="49" hidden="1" customWidth="1" outlineLevel="1"/>
    <col min="13" max="13" width="9.140625" style="49" collapsed="1"/>
    <col min="14" max="14" width="9.42578125" style="49" bestFit="1" customWidth="1"/>
    <col min="15" max="15" width="11.42578125" style="49" bestFit="1" customWidth="1"/>
    <col min="16" max="16384" width="9.140625" style="49"/>
  </cols>
  <sheetData>
    <row r="1" spans="1:11" x14ac:dyDescent="0.2">
      <c r="A1" s="370" t="s">
        <v>0</v>
      </c>
      <c r="B1" s="370"/>
      <c r="C1" s="370"/>
      <c r="D1" s="370"/>
      <c r="E1" s="370"/>
      <c r="F1" s="370"/>
      <c r="G1" s="370"/>
      <c r="H1" s="370"/>
      <c r="I1" s="370"/>
    </row>
    <row r="2" spans="1:11" ht="12.75" customHeight="1" x14ac:dyDescent="0.2">
      <c r="A2" s="370" t="s">
        <v>279</v>
      </c>
      <c r="B2" s="370"/>
      <c r="C2" s="370"/>
      <c r="D2" s="370"/>
      <c r="E2" s="370"/>
      <c r="F2" s="370"/>
      <c r="G2" s="370"/>
      <c r="H2" s="370"/>
      <c r="I2" s="370"/>
      <c r="J2" s="370"/>
      <c r="K2" s="370"/>
    </row>
    <row r="3" spans="1:11" ht="13.5" customHeight="1" x14ac:dyDescent="0.2">
      <c r="A3" s="370" t="s">
        <v>426</v>
      </c>
      <c r="B3" s="370"/>
      <c r="C3" s="370"/>
      <c r="D3" s="370"/>
      <c r="E3" s="370"/>
      <c r="F3" s="370"/>
      <c r="G3" s="370"/>
      <c r="H3" s="370"/>
      <c r="I3" s="370"/>
      <c r="J3" s="370"/>
      <c r="K3" s="370"/>
    </row>
    <row r="4" spans="1:11" ht="9" customHeight="1" x14ac:dyDescent="0.2">
      <c r="A4" s="48"/>
      <c r="B4" s="48"/>
      <c r="C4" s="48"/>
      <c r="D4" s="48"/>
      <c r="E4" s="48"/>
      <c r="F4" s="48"/>
      <c r="G4" s="48"/>
      <c r="H4" s="48"/>
      <c r="I4" s="48"/>
    </row>
    <row r="5" spans="1:11" ht="16.5" customHeight="1" x14ac:dyDescent="0.2">
      <c r="A5" s="371" t="s">
        <v>1</v>
      </c>
      <c r="B5" s="370"/>
      <c r="C5" s="370"/>
      <c r="D5" s="370"/>
      <c r="E5" s="370"/>
      <c r="F5" s="370"/>
      <c r="G5" s="370"/>
      <c r="H5" s="370"/>
      <c r="I5" s="370"/>
    </row>
    <row r="7" spans="1:11" s="51" customFormat="1" ht="16.5" customHeight="1" x14ac:dyDescent="0.2">
      <c r="A7" s="51" t="s">
        <v>2</v>
      </c>
      <c r="F7" s="52" t="s">
        <v>318</v>
      </c>
      <c r="H7" s="52"/>
    </row>
    <row r="8" spans="1:11" s="51" customFormat="1" x14ac:dyDescent="0.2">
      <c r="A8" s="51" t="s">
        <v>3</v>
      </c>
      <c r="F8" s="242" t="s">
        <v>319</v>
      </c>
      <c r="H8" s="231">
        <f>42.3+31.8+53.1+47.5</f>
        <v>174.7</v>
      </c>
      <c r="I8" s="51">
        <f>J8-H8</f>
        <v>3323.4</v>
      </c>
      <c r="J8" s="276">
        <v>3498.1</v>
      </c>
    </row>
    <row r="9" spans="1:11" s="51" customFormat="1" x14ac:dyDescent="0.2">
      <c r="B9" s="51" t="s">
        <v>252</v>
      </c>
      <c r="F9" s="242" t="s">
        <v>320</v>
      </c>
      <c r="H9" s="206"/>
    </row>
    <row r="10" spans="1:11" s="51" customFormat="1" x14ac:dyDescent="0.2">
      <c r="A10" s="372" t="s">
        <v>8</v>
      </c>
      <c r="B10" s="372"/>
      <c r="C10" s="372"/>
      <c r="D10" s="372"/>
      <c r="E10" s="372"/>
      <c r="F10" s="372"/>
      <c r="G10" s="372"/>
      <c r="H10" s="372"/>
      <c r="I10" s="372"/>
    </row>
    <row r="11" spans="1:11" s="51" customFormat="1" x14ac:dyDescent="0.2">
      <c r="A11" s="372" t="s">
        <v>9</v>
      </c>
      <c r="B11" s="372"/>
      <c r="C11" s="372"/>
      <c r="D11" s="372"/>
      <c r="E11" s="372"/>
      <c r="F11" s="372"/>
      <c r="G11" s="372"/>
      <c r="H11" s="372"/>
      <c r="I11" s="372"/>
    </row>
    <row r="12" spans="1:11" s="51" customFormat="1" ht="15.75" customHeight="1" thickBot="1" x14ac:dyDescent="0.25">
      <c r="A12" s="372" t="s">
        <v>10</v>
      </c>
      <c r="B12" s="372"/>
      <c r="C12" s="372"/>
      <c r="D12" s="372"/>
      <c r="E12" s="372"/>
      <c r="F12" s="372"/>
      <c r="G12" s="372"/>
      <c r="H12" s="372"/>
      <c r="I12" s="372"/>
    </row>
    <row r="13" spans="1:11" s="59" customFormat="1" ht="18.75" customHeight="1" thickBot="1" x14ac:dyDescent="0.3">
      <c r="A13" s="55" t="s">
        <v>566</v>
      </c>
      <c r="B13" s="56"/>
      <c r="C13" s="56"/>
      <c r="D13" s="61"/>
      <c r="E13" s="62"/>
      <c r="F13" s="62"/>
      <c r="G13" s="57">
        <f>'[1]Плеханова 5дробь 1'!$G$39</f>
        <v>221665.33</v>
      </c>
      <c r="H13" s="54"/>
      <c r="I13" s="54"/>
    </row>
    <row r="14" spans="1:11" s="59" customFormat="1" ht="15.75" thickBot="1" x14ac:dyDescent="0.3">
      <c r="A14" s="217" t="s">
        <v>381</v>
      </c>
      <c r="B14" s="218"/>
      <c r="C14" s="218"/>
      <c r="D14" s="61"/>
      <c r="E14" s="62"/>
      <c r="F14" s="62"/>
      <c r="G14" s="57">
        <f>'[1]Плеханова 5дробь 1'!$G$40</f>
        <v>126114.55609999997</v>
      </c>
      <c r="H14" s="54"/>
      <c r="I14" s="54"/>
    </row>
    <row r="15" spans="1:11" s="51" customFormat="1" ht="6.75" customHeight="1" x14ac:dyDescent="0.2"/>
    <row r="16" spans="1:11" s="66" customFormat="1" ht="52.5" customHeight="1" x14ac:dyDescent="0.25">
      <c r="A16" s="64" t="s">
        <v>11</v>
      </c>
      <c r="B16" s="64" t="s">
        <v>12</v>
      </c>
      <c r="C16" s="64" t="s">
        <v>61</v>
      </c>
      <c r="D16" s="64" t="s">
        <v>432</v>
      </c>
      <c r="E16" s="64" t="s">
        <v>433</v>
      </c>
      <c r="F16" s="65" t="s">
        <v>434</v>
      </c>
      <c r="G16" s="64" t="s">
        <v>435</v>
      </c>
    </row>
    <row r="17" spans="1:11" s="51" customFormat="1" ht="14.25" x14ac:dyDescent="0.2">
      <c r="A17" s="67" t="s">
        <v>14</v>
      </c>
      <c r="B17" s="39" t="s">
        <v>379</v>
      </c>
      <c r="C17" s="43">
        <v>23.85</v>
      </c>
      <c r="D17" s="68">
        <v>951159.24</v>
      </c>
      <c r="E17" s="68">
        <v>918058.44</v>
      </c>
      <c r="F17" s="68">
        <f t="shared" ref="F17:F24" si="0">D17</f>
        <v>951159.24</v>
      </c>
      <c r="G17" s="69">
        <f t="shared" ref="G17:G22" si="1">D17-E17</f>
        <v>33100.800000000047</v>
      </c>
      <c r="H17" s="70">
        <f t="shared" ref="H17:H22" si="2">C17</f>
        <v>23.85</v>
      </c>
      <c r="I17" s="71"/>
      <c r="J17" s="71"/>
      <c r="K17" s="71"/>
    </row>
    <row r="18" spans="1:11" s="51" customFormat="1" ht="15" hidden="1" outlineLevel="1" x14ac:dyDescent="0.25">
      <c r="A18" s="73" t="s">
        <v>16</v>
      </c>
      <c r="B18" s="34" t="s">
        <v>17</v>
      </c>
      <c r="C18" s="74">
        <v>3.46</v>
      </c>
      <c r="D18" s="75">
        <f>D17*I18</f>
        <v>137987.88135849056</v>
      </c>
      <c r="E18" s="75">
        <f>E17*I18</f>
        <v>133185.83657861632</v>
      </c>
      <c r="F18" s="75">
        <f t="shared" si="0"/>
        <v>137987.88135849056</v>
      </c>
      <c r="G18" s="76">
        <f t="shared" si="1"/>
        <v>4802.0447798742389</v>
      </c>
      <c r="H18" s="70">
        <f t="shared" si="2"/>
        <v>3.46</v>
      </c>
      <c r="I18" s="51">
        <f>H18/H17</f>
        <v>0.14507337526205449</v>
      </c>
    </row>
    <row r="19" spans="1:11" s="51" customFormat="1" ht="15" hidden="1" outlineLevel="1" x14ac:dyDescent="0.25">
      <c r="A19" s="73" t="s">
        <v>18</v>
      </c>
      <c r="B19" s="34" t="s">
        <v>19</v>
      </c>
      <c r="C19" s="77">
        <v>1.69</v>
      </c>
      <c r="D19" s="75">
        <f>D17*I19</f>
        <v>67398.705056603765</v>
      </c>
      <c r="E19" s="75">
        <f>E17*I19</f>
        <v>65053.197635220109</v>
      </c>
      <c r="F19" s="75">
        <f t="shared" si="0"/>
        <v>67398.705056603765</v>
      </c>
      <c r="G19" s="76">
        <f t="shared" si="1"/>
        <v>2345.507421383656</v>
      </c>
      <c r="H19" s="70">
        <f t="shared" si="2"/>
        <v>1.69</v>
      </c>
      <c r="I19" s="51">
        <f>H19/H17</f>
        <v>7.0859538784067075E-2</v>
      </c>
    </row>
    <row r="20" spans="1:11" s="51" customFormat="1" ht="15" hidden="1" outlineLevel="1" x14ac:dyDescent="0.25">
      <c r="A20" s="73" t="s">
        <v>20</v>
      </c>
      <c r="B20" s="34" t="s">
        <v>21</v>
      </c>
      <c r="C20" s="77">
        <v>2.15</v>
      </c>
      <c r="D20" s="75">
        <f>D17*I20</f>
        <v>85743.914716981119</v>
      </c>
      <c r="E20" s="75">
        <f>E17*I20</f>
        <v>82759.985157232688</v>
      </c>
      <c r="F20" s="75">
        <f t="shared" si="0"/>
        <v>85743.914716981119</v>
      </c>
      <c r="G20" s="76">
        <f t="shared" si="1"/>
        <v>2983.9295597484306</v>
      </c>
      <c r="H20" s="70">
        <f t="shared" si="2"/>
        <v>2.15</v>
      </c>
      <c r="I20" s="51">
        <f>H20/H17</f>
        <v>9.0146750524109004E-2</v>
      </c>
    </row>
    <row r="21" spans="1:11" s="51" customFormat="1" ht="14.25" hidden="1" customHeight="1" outlineLevel="1" x14ac:dyDescent="0.25">
      <c r="A21" s="73" t="s">
        <v>22</v>
      </c>
      <c r="B21" s="34" t="s">
        <v>23</v>
      </c>
      <c r="C21" s="77">
        <v>3.04</v>
      </c>
      <c r="D21" s="75">
        <f>D17*I21</f>
        <v>121237.9073207547</v>
      </c>
      <c r="E21" s="75">
        <f>E17*I21</f>
        <v>117018.76971069181</v>
      </c>
      <c r="F21" s="75">
        <f t="shared" si="0"/>
        <v>121237.9073207547</v>
      </c>
      <c r="G21" s="76">
        <f t="shared" si="1"/>
        <v>4219.1376100628986</v>
      </c>
      <c r="H21" s="70">
        <f t="shared" si="2"/>
        <v>3.04</v>
      </c>
      <c r="I21" s="51">
        <f>H21/H17</f>
        <v>0.12746331236897274</v>
      </c>
    </row>
    <row r="22" spans="1:11" s="51" customFormat="1" ht="14.25" customHeight="1" collapsed="1" x14ac:dyDescent="0.2">
      <c r="A22" s="67" t="s">
        <v>25</v>
      </c>
      <c r="B22" s="39" t="s">
        <v>128</v>
      </c>
      <c r="C22" s="46">
        <v>120</v>
      </c>
      <c r="D22" s="68">
        <v>0</v>
      </c>
      <c r="E22" s="68">
        <v>3704.61</v>
      </c>
      <c r="F22" s="68">
        <f>D22</f>
        <v>0</v>
      </c>
      <c r="G22" s="69">
        <f t="shared" si="1"/>
        <v>-3704.61</v>
      </c>
      <c r="H22" s="70">
        <f t="shared" si="2"/>
        <v>120</v>
      </c>
    </row>
    <row r="23" spans="1:11" s="81" customFormat="1" ht="14.25" x14ac:dyDescent="0.2">
      <c r="A23" s="78" t="s">
        <v>27</v>
      </c>
      <c r="B23" s="78" t="s">
        <v>26</v>
      </c>
      <c r="C23" s="43">
        <v>0</v>
      </c>
      <c r="D23" s="79">
        <v>0</v>
      </c>
      <c r="E23" s="79">
        <v>0</v>
      </c>
      <c r="F23" s="79">
        <f t="shared" si="0"/>
        <v>0</v>
      </c>
      <c r="G23" s="69">
        <f t="shared" ref="G23:G34" si="3">D23-E23</f>
        <v>0</v>
      </c>
      <c r="H23" s="80"/>
      <c r="I23" s="80"/>
      <c r="J23" s="80"/>
      <c r="K23" s="80"/>
    </row>
    <row r="24" spans="1:11" s="81" customFormat="1" ht="14.25" x14ac:dyDescent="0.2">
      <c r="A24" s="78" t="s">
        <v>29</v>
      </c>
      <c r="B24" s="78" t="s">
        <v>28</v>
      </c>
      <c r="C24" s="43"/>
      <c r="D24" s="79">
        <v>0</v>
      </c>
      <c r="E24" s="79">
        <v>0</v>
      </c>
      <c r="F24" s="79">
        <f t="shared" si="0"/>
        <v>0</v>
      </c>
      <c r="G24" s="69">
        <f t="shared" si="3"/>
        <v>0</v>
      </c>
      <c r="H24" s="80"/>
      <c r="I24" s="80"/>
      <c r="J24" s="80"/>
      <c r="K24" s="80"/>
    </row>
    <row r="25" spans="1:11" s="81" customFormat="1" ht="14.25" x14ac:dyDescent="0.2">
      <c r="A25" s="78" t="s">
        <v>31</v>
      </c>
      <c r="B25" s="78" t="s">
        <v>97</v>
      </c>
      <c r="C25" s="46">
        <v>0</v>
      </c>
      <c r="D25" s="79">
        <v>0</v>
      </c>
      <c r="E25" s="79">
        <v>0</v>
      </c>
      <c r="F25" s="79">
        <f>D25</f>
        <v>0</v>
      </c>
      <c r="G25" s="69">
        <f t="shared" si="3"/>
        <v>0</v>
      </c>
      <c r="H25" s="80"/>
      <c r="I25" s="80"/>
      <c r="J25" s="80"/>
      <c r="K25" s="80"/>
    </row>
    <row r="26" spans="1:11" s="81" customFormat="1" ht="14.25" x14ac:dyDescent="0.2">
      <c r="A26" s="78" t="s">
        <v>111</v>
      </c>
      <c r="B26" s="78" t="s">
        <v>80</v>
      </c>
      <c r="C26" s="86">
        <v>2.36</v>
      </c>
      <c r="D26" s="79">
        <f>94118.4+D27</f>
        <v>139789.91</v>
      </c>
      <c r="E26" s="79">
        <f>92563.67+E27</f>
        <v>144534.88</v>
      </c>
      <c r="F26" s="79">
        <f>F48</f>
        <v>37378.158799999997</v>
      </c>
      <c r="G26" s="69">
        <f>D26-E26</f>
        <v>-4744.9700000000012</v>
      </c>
      <c r="H26" s="80"/>
      <c r="I26" s="80"/>
      <c r="J26" s="80"/>
      <c r="K26" s="80"/>
    </row>
    <row r="27" spans="1:11" s="81" customFormat="1" ht="14.25" x14ac:dyDescent="0.2">
      <c r="A27" s="78"/>
      <c r="B27" s="292" t="s">
        <v>244</v>
      </c>
      <c r="C27" s="293"/>
      <c r="D27" s="294">
        <f>40724+1197.94+900.58+1503.79+1345.2</f>
        <v>45671.51</v>
      </c>
      <c r="E27" s="294">
        <f>47511.52+898.45+0+1879.74+1681.5</f>
        <v>51971.209999999992</v>
      </c>
      <c r="F27" s="294"/>
      <c r="G27" s="248"/>
      <c r="H27" s="80"/>
      <c r="I27" s="80"/>
      <c r="J27" s="80"/>
      <c r="K27" s="80"/>
    </row>
    <row r="28" spans="1:11" ht="14.25" x14ac:dyDescent="0.2">
      <c r="A28" s="39" t="s">
        <v>123</v>
      </c>
      <c r="B28" s="39" t="s">
        <v>34</v>
      </c>
      <c r="C28" s="87">
        <v>0</v>
      </c>
      <c r="D28" s="69">
        <v>0</v>
      </c>
      <c r="E28" s="69">
        <v>16.21</v>
      </c>
      <c r="F28" s="79">
        <v>0</v>
      </c>
      <c r="G28" s="69">
        <f t="shared" si="3"/>
        <v>-16.21</v>
      </c>
      <c r="H28" s="88"/>
      <c r="I28" s="88"/>
      <c r="J28" s="88"/>
      <c r="K28" s="88"/>
    </row>
    <row r="29" spans="1:11" ht="14.25" x14ac:dyDescent="0.2">
      <c r="A29" s="39" t="s">
        <v>112</v>
      </c>
      <c r="B29" s="39" t="s">
        <v>36</v>
      </c>
      <c r="C29" s="87">
        <v>0</v>
      </c>
      <c r="D29" s="69">
        <f>SUM(D30:D33)</f>
        <v>2540748.67</v>
      </c>
      <c r="E29" s="69">
        <f>SUM(E30:E33)</f>
        <v>2550229.34</v>
      </c>
      <c r="F29" s="69">
        <f>SUM(F30:F33)</f>
        <v>2540748.67</v>
      </c>
      <c r="G29" s="69">
        <f t="shared" si="3"/>
        <v>-9480.6699999999255</v>
      </c>
      <c r="H29" s="88"/>
      <c r="I29" s="88"/>
      <c r="J29" s="88"/>
      <c r="K29" s="323"/>
    </row>
    <row r="30" spans="1:11" ht="15" x14ac:dyDescent="0.25">
      <c r="A30" s="34" t="s">
        <v>114</v>
      </c>
      <c r="B30" s="34" t="s">
        <v>101</v>
      </c>
      <c r="C30" s="89">
        <v>7.36</v>
      </c>
      <c r="D30" s="76">
        <v>39018.120000000003</v>
      </c>
      <c r="E30" s="76">
        <v>38498.78</v>
      </c>
      <c r="F30" s="76">
        <f>D30</f>
        <v>39018.120000000003</v>
      </c>
      <c r="G30" s="76">
        <f t="shared" si="3"/>
        <v>519.34000000000378</v>
      </c>
    </row>
    <row r="31" spans="1:11" ht="15" x14ac:dyDescent="0.25">
      <c r="A31" s="34" t="s">
        <v>115</v>
      </c>
      <c r="B31" s="34" t="s">
        <v>84</v>
      </c>
      <c r="C31" s="89">
        <v>88.38</v>
      </c>
      <c r="D31" s="76">
        <v>440210.12</v>
      </c>
      <c r="E31" s="76">
        <v>443571.12</v>
      </c>
      <c r="F31" s="76">
        <f>D31</f>
        <v>440210.12</v>
      </c>
      <c r="G31" s="76">
        <f t="shared" si="3"/>
        <v>-3361</v>
      </c>
    </row>
    <row r="32" spans="1:11" ht="15" x14ac:dyDescent="0.25">
      <c r="A32" s="34" t="s">
        <v>116</v>
      </c>
      <c r="B32" s="34" t="s">
        <v>135</v>
      </c>
      <c r="C32" s="128">
        <v>262.18</v>
      </c>
      <c r="D32" s="76">
        <v>586783.87</v>
      </c>
      <c r="E32" s="76">
        <v>603142.32999999996</v>
      </c>
      <c r="F32" s="76">
        <f>D32</f>
        <v>586783.87</v>
      </c>
      <c r="G32" s="76">
        <f t="shared" si="3"/>
        <v>-16358.459999999963</v>
      </c>
    </row>
    <row r="33" spans="1:12" ht="15" x14ac:dyDescent="0.25">
      <c r="A33" s="34" t="s">
        <v>117</v>
      </c>
      <c r="B33" s="34" t="s">
        <v>43</v>
      </c>
      <c r="C33" s="89">
        <v>3352.42</v>
      </c>
      <c r="D33" s="76">
        <v>1474736.56</v>
      </c>
      <c r="E33" s="76">
        <v>1465017.11</v>
      </c>
      <c r="F33" s="76">
        <f>D33</f>
        <v>1474736.56</v>
      </c>
      <c r="G33" s="76">
        <f t="shared" si="3"/>
        <v>9719.4499999999534</v>
      </c>
    </row>
    <row r="34" spans="1:12" ht="14.25" hidden="1" outlineLevel="1" x14ac:dyDescent="0.2">
      <c r="A34" s="39" t="s">
        <v>132</v>
      </c>
      <c r="B34" s="300" t="s">
        <v>140</v>
      </c>
      <c r="C34" s="298"/>
      <c r="D34" s="248">
        <v>1000</v>
      </c>
      <c r="E34" s="248">
        <v>0</v>
      </c>
      <c r="F34" s="248">
        <v>0</v>
      </c>
      <c r="G34" s="248">
        <f t="shared" si="3"/>
        <v>1000</v>
      </c>
    </row>
    <row r="35" spans="1:12" ht="15" hidden="1" outlineLevel="1" x14ac:dyDescent="0.2">
      <c r="A35" s="90"/>
      <c r="B35" s="301"/>
      <c r="C35" s="376" t="s">
        <v>246</v>
      </c>
      <c r="D35" s="377"/>
      <c r="E35" s="377"/>
      <c r="F35" s="377"/>
      <c r="G35" s="82">
        <f>E34-(E34*15%)</f>
        <v>0</v>
      </c>
    </row>
    <row r="36" spans="1:12" s="92" customFormat="1" ht="16.5" customHeight="1" collapsed="1" thickBot="1" x14ac:dyDescent="0.3">
      <c r="A36" s="373"/>
      <c r="B36" s="374"/>
      <c r="C36" s="374"/>
      <c r="D36" s="375"/>
      <c r="E36" s="375"/>
      <c r="F36" s="375"/>
      <c r="G36" s="91"/>
      <c r="H36" s="91"/>
      <c r="I36" s="91"/>
    </row>
    <row r="37" spans="1:12" s="59" customFormat="1" ht="15.75" thickBot="1" x14ac:dyDescent="0.3">
      <c r="A37" s="387" t="s">
        <v>427</v>
      </c>
      <c r="B37" s="388"/>
      <c r="C37" s="388"/>
      <c r="D37" s="57">
        <v>15154.34</v>
      </c>
      <c r="E37" s="58"/>
      <c r="F37" s="58"/>
      <c r="G37" s="58"/>
      <c r="H37" s="54"/>
      <c r="I37" s="54"/>
    </row>
    <row r="38" spans="1:12" s="59" customFormat="1" ht="9" customHeight="1" thickBot="1" x14ac:dyDescent="0.3">
      <c r="A38" s="60"/>
      <c r="B38" s="60"/>
      <c r="C38" s="60"/>
      <c r="D38" s="38"/>
      <c r="E38" s="58"/>
      <c r="F38" s="58"/>
      <c r="G38" s="58"/>
      <c r="H38" s="54"/>
      <c r="I38" s="54"/>
    </row>
    <row r="39" spans="1:12" s="59" customFormat="1" ht="15" customHeight="1" thickBot="1" x14ac:dyDescent="0.3">
      <c r="A39" s="55" t="s">
        <v>464</v>
      </c>
      <c r="B39" s="56"/>
      <c r="C39" s="56"/>
      <c r="D39" s="61"/>
      <c r="E39" s="62"/>
      <c r="F39" s="62"/>
      <c r="G39" s="129">
        <f>G13+E28-F28</f>
        <v>221681.53999999998</v>
      </c>
      <c r="H39" s="54"/>
      <c r="I39" s="54"/>
    </row>
    <row r="40" spans="1:12" s="59" customFormat="1" ht="15.75" thickBot="1" x14ac:dyDescent="0.3">
      <c r="A40" s="55" t="s">
        <v>428</v>
      </c>
      <c r="B40" s="56"/>
      <c r="C40" s="56"/>
      <c r="D40" s="61"/>
      <c r="E40" s="62"/>
      <c r="F40" s="62"/>
      <c r="G40" s="129">
        <f>G14+E26-F26</f>
        <v>233271.27729999999</v>
      </c>
      <c r="H40" s="54"/>
      <c r="I40" s="54">
        <v>47.5</v>
      </c>
      <c r="J40" s="187">
        <f>I40*H43*3</f>
        <v>3734.9250000000002</v>
      </c>
    </row>
    <row r="41" spans="1:12" s="59" customFormat="1" ht="15" x14ac:dyDescent="0.25">
      <c r="A41" s="555" t="s">
        <v>134</v>
      </c>
      <c r="B41" s="558"/>
      <c r="C41" s="363"/>
      <c r="D41" s="363"/>
      <c r="E41" s="364"/>
      <c r="F41" s="364"/>
      <c r="G41" s="38"/>
      <c r="H41" s="54"/>
      <c r="I41" s="54">
        <v>53.1</v>
      </c>
      <c r="J41" s="187">
        <f>I41*H43*3</f>
        <v>4175.2529999999997</v>
      </c>
    </row>
    <row r="42" spans="1:12" s="59" customFormat="1" ht="15" x14ac:dyDescent="0.25">
      <c r="A42" s="465" t="s">
        <v>91</v>
      </c>
      <c r="B42" s="465"/>
      <c r="C42" s="41" t="s">
        <v>92</v>
      </c>
      <c r="D42" s="41" t="s">
        <v>93</v>
      </c>
      <c r="E42" s="42" t="s">
        <v>94</v>
      </c>
      <c r="F42" s="40" t="s">
        <v>95</v>
      </c>
      <c r="G42" s="327" t="s">
        <v>387</v>
      </c>
      <c r="H42" s="54"/>
      <c r="I42" s="54">
        <v>31.8</v>
      </c>
      <c r="J42" s="187">
        <f>I42*H43*3</f>
        <v>2500.4340000000002</v>
      </c>
    </row>
    <row r="43" spans="1:12" s="59" customFormat="1" ht="15" x14ac:dyDescent="0.25">
      <c r="A43" s="465"/>
      <c r="B43" s="465"/>
      <c r="C43" s="342">
        <f>42.3+31.8+53.1+47.5</f>
        <v>174.7</v>
      </c>
      <c r="D43" s="138">
        <f>E43/C43/12</f>
        <v>27.892386949055531</v>
      </c>
      <c r="E43" s="358">
        <f>14939.76+3523.08+13304.28+10005.36+16701.12</f>
        <v>58473.600000000006</v>
      </c>
      <c r="F43" s="358">
        <f>18674.7+4596.24+9978.21+0+20876.4</f>
        <v>54125.55</v>
      </c>
      <c r="G43" s="327">
        <f>F43-E43</f>
        <v>-4348.0500000000029</v>
      </c>
      <c r="H43" s="335">
        <f>C17+C26</f>
        <v>26.21</v>
      </c>
      <c r="I43" s="54">
        <v>42.3</v>
      </c>
      <c r="J43" s="187">
        <f>I43*H43*3</f>
        <v>3326.049</v>
      </c>
      <c r="K43" s="59">
        <f>11217.96+9704.28+9002.34+6508.08</f>
        <v>36432.659999999996</v>
      </c>
      <c r="L43" s="59">
        <f>4301.1+3351.6+6851.37+752.7</f>
        <v>15256.77</v>
      </c>
    </row>
    <row r="44" spans="1:12" s="92" customFormat="1" ht="13.5" x14ac:dyDescent="0.25">
      <c r="A44" s="93"/>
      <c r="B44" s="93"/>
      <c r="C44" s="93"/>
      <c r="D44" s="93"/>
      <c r="E44" s="91"/>
      <c r="F44" s="91"/>
      <c r="G44" s="91"/>
      <c r="H44" s="91"/>
      <c r="I44" s="91"/>
      <c r="J44" s="91"/>
      <c r="K44" s="91"/>
    </row>
    <row r="45" spans="1:12" ht="28.5" customHeight="1" x14ac:dyDescent="0.2">
      <c r="A45" s="371" t="s">
        <v>106</v>
      </c>
      <c r="B45" s="371"/>
      <c r="C45" s="371"/>
      <c r="D45" s="371"/>
      <c r="E45" s="371"/>
      <c r="F45" s="371"/>
      <c r="G45" s="371"/>
      <c r="H45" s="132"/>
      <c r="I45" s="132"/>
      <c r="J45" s="132"/>
      <c r="K45" s="132"/>
    </row>
    <row r="47" spans="1:12" s="66" customFormat="1" ht="28.5" x14ac:dyDescent="0.25">
      <c r="A47" s="94" t="s">
        <v>11</v>
      </c>
      <c r="B47" s="416" t="s">
        <v>45</v>
      </c>
      <c r="C47" s="425"/>
      <c r="D47" s="94" t="s">
        <v>99</v>
      </c>
      <c r="E47" s="94" t="s">
        <v>98</v>
      </c>
      <c r="F47" s="416" t="s">
        <v>46</v>
      </c>
      <c r="G47" s="425"/>
    </row>
    <row r="48" spans="1:12" s="103" customFormat="1" ht="15" x14ac:dyDescent="0.25">
      <c r="A48" s="98" t="s">
        <v>47</v>
      </c>
      <c r="B48" s="418" t="s">
        <v>75</v>
      </c>
      <c r="C48" s="430"/>
      <c r="D48" s="99"/>
      <c r="E48" s="99"/>
      <c r="F48" s="436">
        <f>SUM(F49:G52)</f>
        <v>37378.158799999997</v>
      </c>
      <c r="G48" s="424"/>
    </row>
    <row r="49" spans="1:11" s="103" customFormat="1" ht="15" x14ac:dyDescent="0.25">
      <c r="A49" s="34" t="s">
        <v>16</v>
      </c>
      <c r="B49" s="406" t="s">
        <v>567</v>
      </c>
      <c r="C49" s="407"/>
      <c r="D49" s="176" t="s">
        <v>100</v>
      </c>
      <c r="E49" s="176">
        <v>1</v>
      </c>
      <c r="F49" s="435">
        <v>18107.560000000001</v>
      </c>
      <c r="G49" s="435"/>
    </row>
    <row r="50" spans="1:11" s="103" customFormat="1" ht="15" x14ac:dyDescent="0.25">
      <c r="A50" s="34" t="s">
        <v>18</v>
      </c>
      <c r="B50" s="458" t="s">
        <v>568</v>
      </c>
      <c r="C50" s="459"/>
      <c r="D50" s="176" t="s">
        <v>100</v>
      </c>
      <c r="E50" s="176">
        <v>1</v>
      </c>
      <c r="F50" s="435">
        <v>7940.25</v>
      </c>
      <c r="G50" s="435"/>
    </row>
    <row r="51" spans="1:11" s="103" customFormat="1" ht="15" x14ac:dyDescent="0.25">
      <c r="A51" s="34" t="s">
        <v>20</v>
      </c>
      <c r="B51" s="458" t="s">
        <v>569</v>
      </c>
      <c r="C51" s="459"/>
      <c r="D51" s="176" t="s">
        <v>100</v>
      </c>
      <c r="E51" s="176">
        <v>1</v>
      </c>
      <c r="F51" s="435">
        <v>9885</v>
      </c>
      <c r="G51" s="435"/>
    </row>
    <row r="52" spans="1:11" s="51" customFormat="1" ht="15" x14ac:dyDescent="0.25">
      <c r="A52" s="34" t="s">
        <v>22</v>
      </c>
      <c r="B52" s="458" t="s">
        <v>108</v>
      </c>
      <c r="C52" s="459"/>
      <c r="D52" s="108"/>
      <c r="E52" s="108"/>
      <c r="F52" s="435">
        <f>E26*1%</f>
        <v>1445.3488</v>
      </c>
      <c r="G52" s="435"/>
      <c r="H52" s="49"/>
      <c r="I52" s="49"/>
    </row>
    <row r="53" spans="1:11" s="51" customFormat="1" x14ac:dyDescent="0.2"/>
    <row r="54" spans="1:11" s="51" customFormat="1" ht="15" x14ac:dyDescent="0.25">
      <c r="A54" s="51" t="s">
        <v>372</v>
      </c>
      <c r="B54" s="59"/>
      <c r="C54" s="110" t="s">
        <v>49</v>
      </c>
      <c r="D54" s="59"/>
      <c r="E54" s="59"/>
      <c r="F54" s="59" t="s">
        <v>60</v>
      </c>
      <c r="G54" s="59"/>
      <c r="H54" s="59"/>
      <c r="I54" s="59"/>
      <c r="J54" s="59"/>
      <c r="K54" s="59"/>
    </row>
    <row r="55" spans="1:11" ht="15" x14ac:dyDescent="0.25">
      <c r="A55" s="59"/>
      <c r="B55" s="59"/>
      <c r="C55" s="110"/>
      <c r="D55" s="59"/>
      <c r="E55" s="59"/>
      <c r="F55" s="111" t="s">
        <v>438</v>
      </c>
      <c r="G55" s="59"/>
      <c r="H55" s="51"/>
      <c r="I55" s="51"/>
      <c r="J55" s="51"/>
      <c r="K55" s="51"/>
    </row>
    <row r="56" spans="1:11" ht="15" x14ac:dyDescent="0.25">
      <c r="A56" s="59" t="s">
        <v>50</v>
      </c>
      <c r="B56" s="59"/>
      <c r="C56" s="110"/>
      <c r="D56" s="59"/>
      <c r="E56" s="59"/>
      <c r="F56" s="59"/>
      <c r="G56" s="59"/>
      <c r="H56" s="141"/>
      <c r="I56" s="141"/>
      <c r="J56" s="141"/>
      <c r="K56" s="51"/>
    </row>
    <row r="57" spans="1:11" ht="15" x14ac:dyDescent="0.25">
      <c r="A57" s="59"/>
      <c r="B57" s="112"/>
      <c r="C57" s="112" t="s">
        <v>51</v>
      </c>
      <c r="D57" s="113"/>
      <c r="E57" s="113"/>
      <c r="F57" s="59"/>
      <c r="G57" s="59"/>
      <c r="H57" s="141"/>
      <c r="I57" s="141"/>
      <c r="J57" s="141"/>
      <c r="K57" s="51"/>
    </row>
    <row r="58" spans="1:11" ht="15" x14ac:dyDescent="0.25">
      <c r="A58" s="59"/>
      <c r="B58" s="112"/>
      <c r="C58" s="112"/>
      <c r="D58" s="113"/>
      <c r="E58" s="113"/>
      <c r="F58" s="59"/>
      <c r="G58" s="59"/>
      <c r="H58" s="141"/>
      <c r="I58" s="141"/>
      <c r="J58" s="141"/>
      <c r="K58" s="51"/>
    </row>
  </sheetData>
  <mergeCells count="25">
    <mergeCell ref="A12:I12"/>
    <mergeCell ref="B47:C47"/>
    <mergeCell ref="C35:F35"/>
    <mergeCell ref="A36:F36"/>
    <mergeCell ref="A42:B43"/>
    <mergeCell ref="F47:G47"/>
    <mergeCell ref="A1:I1"/>
    <mergeCell ref="A5:I5"/>
    <mergeCell ref="A10:I10"/>
    <mergeCell ref="A45:G45"/>
    <mergeCell ref="B49:C49"/>
    <mergeCell ref="A3:K3"/>
    <mergeCell ref="A41:B41"/>
    <mergeCell ref="A2:K2"/>
    <mergeCell ref="A11:I11"/>
    <mergeCell ref="A37:C37"/>
    <mergeCell ref="F49:G49"/>
    <mergeCell ref="B52:C52"/>
    <mergeCell ref="F52:G52"/>
    <mergeCell ref="B48:C48"/>
    <mergeCell ref="F48:G48"/>
    <mergeCell ref="B51:C51"/>
    <mergeCell ref="F51:G51"/>
    <mergeCell ref="B50:C50"/>
    <mergeCell ref="F50:G50"/>
  </mergeCells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50FFD4-8DD5-4003-B9FB-9D8098BB66C1}">
  <sheetPr>
    <tabColor rgb="FF7030A0"/>
  </sheetPr>
  <dimension ref="A1:L54"/>
  <sheetViews>
    <sheetView topLeftCell="A37" workbookViewId="0">
      <selection activeCell="A58" sqref="A58:IV59"/>
    </sheetView>
  </sheetViews>
  <sheetFormatPr defaultRowHeight="12.75" outlineLevelRow="1" outlineLevelCol="1" x14ac:dyDescent="0.2"/>
  <cols>
    <col min="1" max="1" width="6" style="49" customWidth="1"/>
    <col min="2" max="2" width="52.140625" style="49" customWidth="1"/>
    <col min="3" max="3" width="12.28515625" style="49" customWidth="1"/>
    <col min="4" max="4" width="14.85546875" style="49" customWidth="1"/>
    <col min="5" max="5" width="13.7109375" style="49" customWidth="1"/>
    <col min="6" max="6" width="15" style="49" customWidth="1"/>
    <col min="7" max="7" width="14.5703125" style="49" customWidth="1"/>
    <col min="8" max="9" width="11.5703125" style="49" hidden="1" customWidth="1" outlineLevel="1"/>
    <col min="10" max="10" width="10" style="49" hidden="1" customWidth="1" outlineLevel="1"/>
    <col min="11" max="11" width="15.85546875" style="49" hidden="1" customWidth="1" outlineLevel="1"/>
    <col min="12" max="12" width="9.140625" style="49" collapsed="1"/>
    <col min="13" max="16384" width="9.140625" style="49"/>
  </cols>
  <sheetData>
    <row r="1" spans="1:11" x14ac:dyDescent="0.2">
      <c r="A1" s="370" t="s">
        <v>0</v>
      </c>
      <c r="B1" s="370"/>
      <c r="C1" s="370"/>
      <c r="D1" s="370"/>
      <c r="E1" s="370"/>
      <c r="F1" s="370"/>
      <c r="G1" s="370"/>
      <c r="H1" s="370"/>
      <c r="I1" s="370"/>
    </row>
    <row r="2" spans="1:11" ht="12.75" customHeight="1" x14ac:dyDescent="0.2">
      <c r="A2" s="370" t="s">
        <v>279</v>
      </c>
      <c r="B2" s="370"/>
      <c r="C2" s="370"/>
      <c r="D2" s="370"/>
      <c r="E2" s="370"/>
      <c r="F2" s="370"/>
      <c r="G2" s="370"/>
      <c r="H2" s="370"/>
      <c r="I2" s="370"/>
      <c r="J2" s="370"/>
      <c r="K2" s="370"/>
    </row>
    <row r="3" spans="1:11" ht="13.5" customHeight="1" x14ac:dyDescent="0.2">
      <c r="A3" s="370" t="s">
        <v>426</v>
      </c>
      <c r="B3" s="370"/>
      <c r="C3" s="370"/>
      <c r="D3" s="370"/>
      <c r="E3" s="370"/>
      <c r="F3" s="370"/>
      <c r="G3" s="370"/>
      <c r="H3" s="370"/>
      <c r="I3" s="370"/>
      <c r="J3" s="370"/>
      <c r="K3" s="370"/>
    </row>
    <row r="4" spans="1:11" ht="9" customHeight="1" x14ac:dyDescent="0.2">
      <c r="A4" s="48"/>
      <c r="B4" s="48"/>
      <c r="C4" s="48"/>
      <c r="D4" s="48"/>
      <c r="E4" s="48"/>
      <c r="F4" s="48"/>
      <c r="G4" s="48"/>
      <c r="H4" s="48"/>
      <c r="I4" s="48"/>
    </row>
    <row r="5" spans="1:11" ht="16.5" customHeight="1" x14ac:dyDescent="0.2">
      <c r="A5" s="371" t="s">
        <v>1</v>
      </c>
      <c r="B5" s="370"/>
      <c r="C5" s="370"/>
      <c r="D5" s="370"/>
      <c r="E5" s="370"/>
      <c r="F5" s="370"/>
      <c r="G5" s="370"/>
      <c r="H5" s="370"/>
      <c r="I5" s="370"/>
    </row>
    <row r="7" spans="1:11" s="51" customFormat="1" ht="16.5" customHeight="1" x14ac:dyDescent="0.2">
      <c r="A7" s="51" t="s">
        <v>2</v>
      </c>
      <c r="F7" s="52" t="s">
        <v>321</v>
      </c>
      <c r="H7" s="52"/>
    </row>
    <row r="8" spans="1:11" s="51" customFormat="1" x14ac:dyDescent="0.2">
      <c r="A8" s="51" t="s">
        <v>3</v>
      </c>
      <c r="F8" s="242" t="s">
        <v>570</v>
      </c>
      <c r="H8" s="231">
        <f>31.3+31.1</f>
        <v>62.400000000000006</v>
      </c>
      <c r="I8" s="51">
        <f>J8-H8</f>
        <v>2546.7999999999997</v>
      </c>
      <c r="J8" s="276">
        <v>2609.1999999999998</v>
      </c>
    </row>
    <row r="9" spans="1:11" s="51" customFormat="1" x14ac:dyDescent="0.2">
      <c r="B9" s="51" t="s">
        <v>252</v>
      </c>
      <c r="F9" s="242" t="s">
        <v>425</v>
      </c>
      <c r="H9" s="231"/>
      <c r="J9" s="276"/>
    </row>
    <row r="10" spans="1:11" s="51" customFormat="1" x14ac:dyDescent="0.2">
      <c r="A10" s="372" t="s">
        <v>8</v>
      </c>
      <c r="B10" s="372"/>
      <c r="C10" s="372"/>
      <c r="D10" s="372"/>
      <c r="E10" s="372"/>
      <c r="F10" s="372"/>
      <c r="G10" s="372"/>
      <c r="H10" s="372"/>
      <c r="I10" s="372"/>
    </row>
    <row r="11" spans="1:11" s="51" customFormat="1" x14ac:dyDescent="0.2">
      <c r="A11" s="372" t="s">
        <v>9</v>
      </c>
      <c r="B11" s="372"/>
      <c r="C11" s="372"/>
      <c r="D11" s="372"/>
      <c r="E11" s="372"/>
      <c r="F11" s="372"/>
      <c r="G11" s="372"/>
      <c r="H11" s="372"/>
      <c r="I11" s="372"/>
    </row>
    <row r="12" spans="1:11" s="51" customFormat="1" ht="15.75" customHeight="1" x14ac:dyDescent="0.2">
      <c r="A12" s="372" t="s">
        <v>10</v>
      </c>
      <c r="B12" s="372"/>
      <c r="C12" s="372"/>
      <c r="D12" s="372"/>
      <c r="E12" s="372"/>
      <c r="F12" s="372"/>
      <c r="G12" s="372"/>
      <c r="H12" s="372"/>
      <c r="I12" s="372"/>
    </row>
    <row r="13" spans="1:11" s="59" customFormat="1" ht="6" customHeight="1" thickBot="1" x14ac:dyDescent="0.3">
      <c r="A13" s="60"/>
      <c r="B13" s="60"/>
      <c r="C13" s="60"/>
      <c r="D13" s="38"/>
      <c r="E13" s="58"/>
      <c r="F13" s="58"/>
      <c r="G13" s="58"/>
      <c r="H13" s="54"/>
      <c r="I13" s="54"/>
    </row>
    <row r="14" spans="1:11" s="59" customFormat="1" ht="15.75" thickBot="1" x14ac:dyDescent="0.3">
      <c r="A14" s="217" t="s">
        <v>381</v>
      </c>
      <c r="B14" s="218"/>
      <c r="C14" s="218"/>
      <c r="D14" s="61"/>
      <c r="E14" s="62"/>
      <c r="F14" s="62"/>
      <c r="G14" s="57">
        <f>'[1]Огарева 9 дробь 7'!$G$37</f>
        <v>272779.29160000006</v>
      </c>
      <c r="H14" s="54"/>
      <c r="I14" s="54"/>
    </row>
    <row r="15" spans="1:11" s="51" customFormat="1" ht="6.75" customHeight="1" x14ac:dyDescent="0.2"/>
    <row r="16" spans="1:11" s="66" customFormat="1" ht="52.5" customHeight="1" x14ac:dyDescent="0.25">
      <c r="A16" s="64" t="s">
        <v>11</v>
      </c>
      <c r="B16" s="64" t="s">
        <v>12</v>
      </c>
      <c r="C16" s="64" t="s">
        <v>61</v>
      </c>
      <c r="D16" s="64" t="s">
        <v>432</v>
      </c>
      <c r="E16" s="64" t="s">
        <v>433</v>
      </c>
      <c r="F16" s="65" t="s">
        <v>434</v>
      </c>
      <c r="G16" s="64" t="s">
        <v>435</v>
      </c>
    </row>
    <row r="17" spans="1:11" s="51" customFormat="1" ht="14.25" x14ac:dyDescent="0.2">
      <c r="A17" s="67" t="s">
        <v>14</v>
      </c>
      <c r="B17" s="39" t="s">
        <v>379</v>
      </c>
      <c r="C17" s="43">
        <v>23.85</v>
      </c>
      <c r="D17" s="68">
        <v>728896.08</v>
      </c>
      <c r="E17" s="68">
        <v>730208.13</v>
      </c>
      <c r="F17" s="68">
        <f t="shared" ref="F17:F23" si="0">D17</f>
        <v>728896.08</v>
      </c>
      <c r="G17" s="69">
        <f>D17-E17</f>
        <v>-1312.0500000000466</v>
      </c>
      <c r="H17" s="70">
        <f t="shared" ref="H17:H22" si="1">C17</f>
        <v>23.85</v>
      </c>
      <c r="J17" s="70"/>
      <c r="K17" s="72"/>
    </row>
    <row r="18" spans="1:11" s="51" customFormat="1" ht="15" hidden="1" outlineLevel="1" x14ac:dyDescent="0.25">
      <c r="A18" s="73" t="s">
        <v>16</v>
      </c>
      <c r="B18" s="34" t="s">
        <v>17</v>
      </c>
      <c r="C18" s="74">
        <v>3.46</v>
      </c>
      <c r="D18" s="75">
        <f>D17*I18</f>
        <v>105743.41454088049</v>
      </c>
      <c r="E18" s="75">
        <f>E17*I18</f>
        <v>105933.75806289307</v>
      </c>
      <c r="F18" s="75">
        <f t="shared" si="0"/>
        <v>105743.41454088049</v>
      </c>
      <c r="G18" s="76">
        <f>D18-E18</f>
        <v>-190.34352201258298</v>
      </c>
      <c r="H18" s="70">
        <f t="shared" si="1"/>
        <v>3.46</v>
      </c>
      <c r="I18" s="51">
        <f>H18/H17</f>
        <v>0.14507337526205449</v>
      </c>
    </row>
    <row r="19" spans="1:11" s="51" customFormat="1" ht="15" hidden="1" outlineLevel="1" x14ac:dyDescent="0.25">
      <c r="A19" s="73" t="s">
        <v>18</v>
      </c>
      <c r="B19" s="34" t="s">
        <v>19</v>
      </c>
      <c r="C19" s="77">
        <v>1.69</v>
      </c>
      <c r="D19" s="75">
        <f>D17*I19</f>
        <v>51649.240050314453</v>
      </c>
      <c r="E19" s="75">
        <f>E17*I19</f>
        <v>51742.211308176091</v>
      </c>
      <c r="F19" s="75">
        <f t="shared" si="0"/>
        <v>51649.240050314453</v>
      </c>
      <c r="G19" s="76">
        <f>D19-E19</f>
        <v>-92.971257861638151</v>
      </c>
      <c r="H19" s="70">
        <f t="shared" si="1"/>
        <v>1.69</v>
      </c>
      <c r="I19" s="51">
        <f>H19/H17</f>
        <v>7.0859538784067075E-2</v>
      </c>
    </row>
    <row r="20" spans="1:11" s="51" customFormat="1" ht="15" hidden="1" outlineLevel="1" x14ac:dyDescent="0.25">
      <c r="A20" s="73" t="s">
        <v>20</v>
      </c>
      <c r="B20" s="34" t="s">
        <v>21</v>
      </c>
      <c r="C20" s="77">
        <v>2.15</v>
      </c>
      <c r="D20" s="75">
        <f>D17*I20</f>
        <v>65707.613081760996</v>
      </c>
      <c r="E20" s="75">
        <f>E17*I20</f>
        <v>65825.890125786158</v>
      </c>
      <c r="F20" s="75">
        <f t="shared" si="0"/>
        <v>65707.613081760996</v>
      </c>
      <c r="G20" s="76">
        <f>D20-E20</f>
        <v>-118.27704402516247</v>
      </c>
      <c r="H20" s="70">
        <f t="shared" si="1"/>
        <v>2.15</v>
      </c>
      <c r="I20" s="51">
        <f>H20/H17</f>
        <v>9.0146750524109004E-2</v>
      </c>
    </row>
    <row r="21" spans="1:11" s="51" customFormat="1" ht="15" hidden="1" outlineLevel="1" x14ac:dyDescent="0.25">
      <c r="A21" s="73" t="s">
        <v>22</v>
      </c>
      <c r="B21" s="34" t="s">
        <v>23</v>
      </c>
      <c r="C21" s="77">
        <v>3.04</v>
      </c>
      <c r="D21" s="75">
        <f>D17*I21</f>
        <v>92907.508729559733</v>
      </c>
      <c r="E21" s="75">
        <f>E17*I21</f>
        <v>93074.74696855346</v>
      </c>
      <c r="F21" s="75">
        <f t="shared" si="0"/>
        <v>92907.508729559733</v>
      </c>
      <c r="G21" s="76">
        <f>D21-E21</f>
        <v>-167.23823899372655</v>
      </c>
      <c r="H21" s="70">
        <f t="shared" si="1"/>
        <v>3.04</v>
      </c>
      <c r="I21" s="51">
        <f>H21/H17</f>
        <v>0.12746331236897274</v>
      </c>
    </row>
    <row r="22" spans="1:11" s="51" customFormat="1" ht="14.25" collapsed="1" x14ac:dyDescent="0.2">
      <c r="A22" s="67" t="s">
        <v>25</v>
      </c>
      <c r="B22" s="39" t="s">
        <v>145</v>
      </c>
      <c r="C22" s="46">
        <v>110</v>
      </c>
      <c r="D22" s="68">
        <v>0</v>
      </c>
      <c r="E22" s="68">
        <v>995.16</v>
      </c>
      <c r="F22" s="68">
        <f t="shared" si="0"/>
        <v>0</v>
      </c>
      <c r="G22" s="69">
        <f t="shared" ref="G22:G33" si="2">D22-E22</f>
        <v>-995.16</v>
      </c>
      <c r="H22" s="70">
        <f t="shared" si="1"/>
        <v>110</v>
      </c>
    </row>
    <row r="23" spans="1:11" s="81" customFormat="1" ht="14.25" x14ac:dyDescent="0.2">
      <c r="A23" s="78" t="s">
        <v>27</v>
      </c>
      <c r="B23" s="78" t="s">
        <v>26</v>
      </c>
      <c r="C23" s="43">
        <v>0</v>
      </c>
      <c r="D23" s="79">
        <v>0</v>
      </c>
      <c r="E23" s="79">
        <v>0</v>
      </c>
      <c r="F23" s="79">
        <f t="shared" si="0"/>
        <v>0</v>
      </c>
      <c r="G23" s="69">
        <f t="shared" si="2"/>
        <v>0</v>
      </c>
    </row>
    <row r="24" spans="1:11" s="81" customFormat="1" ht="14.25" x14ac:dyDescent="0.2">
      <c r="A24" s="78" t="s">
        <v>29</v>
      </c>
      <c r="B24" s="78" t="s">
        <v>28</v>
      </c>
      <c r="C24" s="43">
        <v>0</v>
      </c>
      <c r="D24" s="79">
        <v>0</v>
      </c>
      <c r="E24" s="79">
        <v>0</v>
      </c>
      <c r="F24" s="79">
        <f>D24</f>
        <v>0</v>
      </c>
      <c r="G24" s="69">
        <f t="shared" si="2"/>
        <v>0</v>
      </c>
    </row>
    <row r="25" spans="1:11" s="81" customFormat="1" ht="14.25" x14ac:dyDescent="0.2">
      <c r="A25" s="78" t="s">
        <v>31</v>
      </c>
      <c r="B25" s="78" t="s">
        <v>97</v>
      </c>
      <c r="C25" s="43">
        <v>0</v>
      </c>
      <c r="D25" s="82">
        <v>0</v>
      </c>
      <c r="E25" s="82">
        <v>0</v>
      </c>
      <c r="F25" s="82">
        <f>D25</f>
        <v>0</v>
      </c>
      <c r="G25" s="69">
        <f t="shared" si="2"/>
        <v>0</v>
      </c>
    </row>
    <row r="26" spans="1:11" s="81" customFormat="1" ht="14.25" x14ac:dyDescent="0.2">
      <c r="A26" s="78" t="s">
        <v>111</v>
      </c>
      <c r="B26" s="78" t="s">
        <v>80</v>
      </c>
      <c r="C26" s="86">
        <v>2.36</v>
      </c>
      <c r="D26" s="79">
        <f>72125.4+D27</f>
        <v>73841.239999999991</v>
      </c>
      <c r="E26" s="79">
        <f>72353+E27</f>
        <v>73239.42</v>
      </c>
      <c r="F26" s="79">
        <f>F45</f>
        <v>96453.224199999997</v>
      </c>
      <c r="G26" s="69">
        <f>D26-E26</f>
        <v>601.81999999999243</v>
      </c>
    </row>
    <row r="27" spans="1:11" s="81" customFormat="1" ht="14.25" x14ac:dyDescent="0.2">
      <c r="A27" s="78"/>
      <c r="B27" s="292" t="s">
        <v>244</v>
      </c>
      <c r="C27" s="293"/>
      <c r="D27" s="294">
        <f>846.42+869.42</f>
        <v>1715.84</v>
      </c>
      <c r="E27" s="294">
        <f>886.42+0</f>
        <v>886.42</v>
      </c>
      <c r="F27" s="294">
        <v>0</v>
      </c>
      <c r="G27" s="248"/>
    </row>
    <row r="28" spans="1:11" ht="14.25" x14ac:dyDescent="0.2">
      <c r="A28" s="39" t="s">
        <v>123</v>
      </c>
      <c r="B28" s="39" t="s">
        <v>34</v>
      </c>
      <c r="C28" s="87">
        <v>0</v>
      </c>
      <c r="D28" s="69">
        <v>0</v>
      </c>
      <c r="E28" s="69">
        <v>0</v>
      </c>
      <c r="F28" s="79">
        <v>0</v>
      </c>
      <c r="G28" s="69">
        <f t="shared" si="2"/>
        <v>0</v>
      </c>
    </row>
    <row r="29" spans="1:11" ht="14.25" x14ac:dyDescent="0.2">
      <c r="A29" s="39" t="s">
        <v>112</v>
      </c>
      <c r="B29" s="39" t="s">
        <v>36</v>
      </c>
      <c r="C29" s="87">
        <v>0</v>
      </c>
      <c r="D29" s="69">
        <f>SUM(D30:D33)</f>
        <v>2391988.5999999996</v>
      </c>
      <c r="E29" s="69">
        <f>SUM(E30:E33)</f>
        <v>2319449.38</v>
      </c>
      <c r="F29" s="69">
        <f>SUM(F30:F33)</f>
        <v>2391988.5999999996</v>
      </c>
      <c r="G29" s="69">
        <f t="shared" si="2"/>
        <v>72539.219999999739</v>
      </c>
      <c r="K29" s="324"/>
    </row>
    <row r="30" spans="1:11" ht="15" x14ac:dyDescent="0.25">
      <c r="A30" s="34" t="s">
        <v>114</v>
      </c>
      <c r="B30" s="34" t="s">
        <v>101</v>
      </c>
      <c r="C30" s="89">
        <v>7.36</v>
      </c>
      <c r="D30" s="76">
        <v>39425.14</v>
      </c>
      <c r="E30" s="76">
        <v>38575.919999999998</v>
      </c>
      <c r="F30" s="76">
        <f>D30</f>
        <v>39425.14</v>
      </c>
      <c r="G30" s="76">
        <f t="shared" si="2"/>
        <v>849.22000000000116</v>
      </c>
    </row>
    <row r="31" spans="1:11" ht="15" x14ac:dyDescent="0.25">
      <c r="A31" s="34" t="s">
        <v>115</v>
      </c>
      <c r="B31" s="34" t="s">
        <v>84</v>
      </c>
      <c r="C31" s="89">
        <v>88.38</v>
      </c>
      <c r="D31" s="76">
        <v>467338.3</v>
      </c>
      <c r="E31" s="76">
        <v>424192.45</v>
      </c>
      <c r="F31" s="76">
        <f>D31</f>
        <v>467338.3</v>
      </c>
      <c r="G31" s="76">
        <f t="shared" si="2"/>
        <v>43145.849999999977</v>
      </c>
    </row>
    <row r="32" spans="1:11" ht="15" x14ac:dyDescent="0.25">
      <c r="A32" s="34" t="s">
        <v>116</v>
      </c>
      <c r="B32" s="34" t="s">
        <v>135</v>
      </c>
      <c r="C32" s="128">
        <v>262.18</v>
      </c>
      <c r="D32" s="76">
        <v>587571.96</v>
      </c>
      <c r="E32" s="76">
        <v>569018.64</v>
      </c>
      <c r="F32" s="76">
        <f>D32</f>
        <v>587571.96</v>
      </c>
      <c r="G32" s="76">
        <f t="shared" si="2"/>
        <v>18553.319999999949</v>
      </c>
    </row>
    <row r="33" spans="1:11" ht="15" x14ac:dyDescent="0.25">
      <c r="A33" s="34" t="s">
        <v>117</v>
      </c>
      <c r="B33" s="34" t="s">
        <v>43</v>
      </c>
      <c r="C33" s="89">
        <v>3352.42</v>
      </c>
      <c r="D33" s="76">
        <v>1297653.2</v>
      </c>
      <c r="E33" s="76">
        <v>1287662.3700000001</v>
      </c>
      <c r="F33" s="76">
        <f>D33</f>
        <v>1297653.2</v>
      </c>
      <c r="G33" s="76">
        <f t="shared" si="2"/>
        <v>9990.8299999998417</v>
      </c>
    </row>
    <row r="34" spans="1:11" s="92" customFormat="1" ht="15.75" thickBot="1" x14ac:dyDescent="0.3">
      <c r="A34" s="373"/>
      <c r="B34" s="374"/>
      <c r="C34" s="374"/>
      <c r="D34" s="375"/>
      <c r="E34" s="375"/>
      <c r="F34" s="375"/>
      <c r="G34" s="91"/>
      <c r="H34" s="91"/>
      <c r="I34" s="91"/>
    </row>
    <row r="35" spans="1:11" s="59" customFormat="1" ht="15.75" thickBot="1" x14ac:dyDescent="0.3">
      <c r="A35" s="387" t="s">
        <v>427</v>
      </c>
      <c r="B35" s="388"/>
      <c r="C35" s="388"/>
      <c r="D35" s="57">
        <v>70833.83</v>
      </c>
      <c r="E35" s="58"/>
      <c r="F35" s="58"/>
      <c r="G35" s="58"/>
      <c r="H35" s="54"/>
      <c r="I35" s="54"/>
    </row>
    <row r="36" spans="1:11" s="59" customFormat="1" ht="15.75" thickBot="1" x14ac:dyDescent="0.3">
      <c r="A36" s="60"/>
      <c r="B36" s="60"/>
      <c r="C36" s="60"/>
      <c r="D36" s="38"/>
      <c r="E36" s="58"/>
      <c r="F36" s="58"/>
      <c r="G36" s="58"/>
      <c r="H36" s="54"/>
      <c r="I36" s="54"/>
    </row>
    <row r="37" spans="1:11" s="59" customFormat="1" ht="15.75" thickBot="1" x14ac:dyDescent="0.3">
      <c r="A37" s="55" t="s">
        <v>428</v>
      </c>
      <c r="B37" s="56"/>
      <c r="C37" s="56"/>
      <c r="D37" s="61"/>
      <c r="E37" s="62"/>
      <c r="F37" s="62"/>
      <c r="G37" s="129">
        <f>G14+E26-F26</f>
        <v>249565.48740000004</v>
      </c>
      <c r="H37" s="54"/>
      <c r="I37" s="54"/>
    </row>
    <row r="38" spans="1:11" s="59" customFormat="1" ht="15" x14ac:dyDescent="0.25">
      <c r="A38" s="555" t="s">
        <v>134</v>
      </c>
      <c r="B38" s="558"/>
      <c r="C38" s="363"/>
      <c r="D38" s="363"/>
      <c r="E38" s="364"/>
      <c r="F38" s="364"/>
      <c r="G38" s="38"/>
      <c r="H38" s="54"/>
      <c r="I38" s="54"/>
    </row>
    <row r="39" spans="1:11" s="59" customFormat="1" ht="15" x14ac:dyDescent="0.25">
      <c r="A39" s="465" t="s">
        <v>91</v>
      </c>
      <c r="B39" s="465"/>
      <c r="C39" s="41" t="s">
        <v>92</v>
      </c>
      <c r="D39" s="41" t="s">
        <v>93</v>
      </c>
      <c r="E39" s="42" t="s">
        <v>94</v>
      </c>
      <c r="F39" s="40" t="s">
        <v>95</v>
      </c>
      <c r="G39" s="327" t="s">
        <v>387</v>
      </c>
      <c r="H39" s="54"/>
      <c r="I39" s="54">
        <f>30.7</f>
        <v>30.7</v>
      </c>
    </row>
    <row r="40" spans="1:11" s="59" customFormat="1" ht="15" x14ac:dyDescent="0.25">
      <c r="A40" s="465"/>
      <c r="B40" s="465"/>
      <c r="C40" s="342">
        <f>31.3+30.7</f>
        <v>62</v>
      </c>
      <c r="D40" s="138">
        <f>E40/C40/12</f>
        <v>26.210161290322585</v>
      </c>
      <c r="E40" s="358">
        <f>9844.56+9655.8</f>
        <v>19500.36</v>
      </c>
      <c r="F40" s="358">
        <f>12375.75+0</f>
        <v>12375.75</v>
      </c>
      <c r="G40" s="327">
        <f>F40-E40</f>
        <v>-7124.6100000000006</v>
      </c>
      <c r="H40" s="335">
        <f>C17+C26</f>
        <v>26.21</v>
      </c>
      <c r="I40" s="54">
        <v>31.3</v>
      </c>
      <c r="J40" s="59">
        <f>6661.32+6528.9</f>
        <v>13190.22</v>
      </c>
      <c r="K40" s="59">
        <f>3478.08+5772.75</f>
        <v>9250.83</v>
      </c>
    </row>
    <row r="41" spans="1:11" s="92" customFormat="1" ht="13.5" x14ac:dyDescent="0.25">
      <c r="A41" s="93"/>
      <c r="B41" s="93"/>
      <c r="C41" s="93"/>
      <c r="D41" s="93"/>
      <c r="E41" s="91"/>
      <c r="F41" s="91"/>
      <c r="G41" s="91"/>
      <c r="H41" s="91"/>
      <c r="I41" s="91">
        <f>I40*H40*3</f>
        <v>2461.1190000000001</v>
      </c>
    </row>
    <row r="42" spans="1:11" ht="26.25" customHeight="1" x14ac:dyDescent="0.2">
      <c r="A42" s="371" t="s">
        <v>106</v>
      </c>
      <c r="B42" s="371"/>
      <c r="C42" s="371"/>
      <c r="D42" s="371"/>
      <c r="E42" s="371"/>
      <c r="F42" s="371"/>
      <c r="G42" s="371"/>
      <c r="H42" s="132"/>
      <c r="I42" s="132"/>
    </row>
    <row r="44" spans="1:11" s="66" customFormat="1" ht="28.5" x14ac:dyDescent="0.25">
      <c r="A44" s="94" t="s">
        <v>11</v>
      </c>
      <c r="B44" s="416" t="s">
        <v>45</v>
      </c>
      <c r="C44" s="425"/>
      <c r="D44" s="94" t="s">
        <v>99</v>
      </c>
      <c r="E44" s="94" t="s">
        <v>98</v>
      </c>
      <c r="F44" s="416" t="s">
        <v>46</v>
      </c>
      <c r="G44" s="425"/>
    </row>
    <row r="45" spans="1:11" s="103" customFormat="1" ht="15" x14ac:dyDescent="0.25">
      <c r="A45" s="98" t="s">
        <v>47</v>
      </c>
      <c r="B45" s="418" t="s">
        <v>75</v>
      </c>
      <c r="C45" s="430"/>
      <c r="D45" s="99"/>
      <c r="E45" s="99"/>
      <c r="F45" s="436">
        <f>SUM(F46:G49)</f>
        <v>96453.224199999997</v>
      </c>
      <c r="G45" s="424"/>
    </row>
    <row r="46" spans="1:11" ht="15" x14ac:dyDescent="0.25">
      <c r="A46" s="34" t="s">
        <v>16</v>
      </c>
      <c r="B46" s="406" t="s">
        <v>571</v>
      </c>
      <c r="C46" s="407"/>
      <c r="D46" s="176" t="s">
        <v>137</v>
      </c>
      <c r="E46" s="176">
        <v>0.21</v>
      </c>
      <c r="F46" s="435">
        <v>64580.83</v>
      </c>
      <c r="G46" s="435"/>
    </row>
    <row r="47" spans="1:11" ht="15" x14ac:dyDescent="0.25">
      <c r="A47" s="34" t="s">
        <v>18</v>
      </c>
      <c r="B47" s="406" t="s">
        <v>408</v>
      </c>
      <c r="C47" s="407"/>
      <c r="D47" s="176" t="s">
        <v>100</v>
      </c>
      <c r="E47" s="355" t="s">
        <v>572</v>
      </c>
      <c r="F47" s="435">
        <v>31140</v>
      </c>
      <c r="G47" s="435"/>
    </row>
    <row r="48" spans="1:11" ht="15" x14ac:dyDescent="0.25">
      <c r="A48" s="34" t="s">
        <v>20</v>
      </c>
      <c r="B48" s="412"/>
      <c r="C48" s="413"/>
      <c r="D48" s="260"/>
      <c r="E48" s="260"/>
      <c r="F48" s="463"/>
      <c r="G48" s="463"/>
    </row>
    <row r="49" spans="1:7" ht="15" x14ac:dyDescent="0.25">
      <c r="A49" s="34" t="s">
        <v>22</v>
      </c>
      <c r="B49" s="458" t="s">
        <v>108</v>
      </c>
      <c r="C49" s="459"/>
      <c r="D49" s="108"/>
      <c r="E49" s="108"/>
      <c r="F49" s="435">
        <f>E26*1%</f>
        <v>732.39419999999996</v>
      </c>
      <c r="G49" s="435"/>
    </row>
    <row r="50" spans="1:7" ht="15" x14ac:dyDescent="0.25">
      <c r="A50" s="153"/>
      <c r="B50" s="84"/>
      <c r="C50" s="84"/>
      <c r="D50" s="222"/>
      <c r="E50" s="222"/>
      <c r="F50" s="164"/>
      <c r="G50" s="164"/>
    </row>
    <row r="51" spans="1:7" ht="15" x14ac:dyDescent="0.25">
      <c r="A51" s="51" t="s">
        <v>372</v>
      </c>
      <c r="B51" s="59"/>
      <c r="C51" s="110" t="s">
        <v>49</v>
      </c>
      <c r="D51" s="59"/>
      <c r="E51" s="59"/>
      <c r="F51" s="59" t="s">
        <v>60</v>
      </c>
      <c r="G51" s="59"/>
    </row>
    <row r="52" spans="1:7" ht="15" x14ac:dyDescent="0.25">
      <c r="A52" s="59"/>
      <c r="B52" s="59"/>
      <c r="C52" s="110"/>
      <c r="D52" s="59"/>
      <c r="E52" s="59"/>
      <c r="F52" s="111" t="s">
        <v>438</v>
      </c>
      <c r="G52" s="59"/>
    </row>
    <row r="53" spans="1:7" ht="15" x14ac:dyDescent="0.25">
      <c r="A53" s="59" t="s">
        <v>50</v>
      </c>
      <c r="B53" s="59"/>
      <c r="C53" s="110"/>
      <c r="D53" s="59"/>
      <c r="E53" s="59"/>
      <c r="F53" s="59"/>
      <c r="G53" s="59"/>
    </row>
    <row r="54" spans="1:7" ht="15" x14ac:dyDescent="0.25">
      <c r="A54" s="59"/>
      <c r="B54" s="59"/>
      <c r="C54" s="112" t="s">
        <v>51</v>
      </c>
      <c r="D54" s="59"/>
      <c r="E54" s="113"/>
      <c r="F54" s="113"/>
      <c r="G54" s="113"/>
    </row>
  </sheetData>
  <mergeCells count="24">
    <mergeCell ref="A1:I1"/>
    <mergeCell ref="A5:I5"/>
    <mergeCell ref="A10:I10"/>
    <mergeCell ref="A2:K2"/>
    <mergeCell ref="A3:K3"/>
    <mergeCell ref="A11:I11"/>
    <mergeCell ref="A12:I12"/>
    <mergeCell ref="A35:C35"/>
    <mergeCell ref="A34:F34"/>
    <mergeCell ref="F47:G47"/>
    <mergeCell ref="F48:G48"/>
    <mergeCell ref="A38:B38"/>
    <mergeCell ref="A39:B40"/>
    <mergeCell ref="A42:G42"/>
    <mergeCell ref="B49:C49"/>
    <mergeCell ref="F49:G49"/>
    <mergeCell ref="B46:C46"/>
    <mergeCell ref="F46:G46"/>
    <mergeCell ref="F45:G45"/>
    <mergeCell ref="F44:G44"/>
    <mergeCell ref="B45:C45"/>
    <mergeCell ref="B44:C44"/>
    <mergeCell ref="B47:C47"/>
    <mergeCell ref="B48:C48"/>
  </mergeCells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D26246-1318-47A9-81A3-8DA1A2B80AC5}">
  <sheetPr>
    <tabColor rgb="FF7030A0"/>
  </sheetPr>
  <dimension ref="A1:K48"/>
  <sheetViews>
    <sheetView topLeftCell="A27" workbookViewId="0">
      <selection activeCell="A52" sqref="A52:IV53"/>
    </sheetView>
  </sheetViews>
  <sheetFormatPr defaultRowHeight="12.75" outlineLevelRow="1" outlineLevelCol="1" x14ac:dyDescent="0.2"/>
  <cols>
    <col min="1" max="1" width="5.5703125" style="49" customWidth="1"/>
    <col min="2" max="2" width="51.85546875" style="49" customWidth="1"/>
    <col min="3" max="3" width="15.7109375" style="49" customWidth="1"/>
    <col min="4" max="4" width="14.85546875" style="49" customWidth="1"/>
    <col min="5" max="5" width="13.28515625" style="49" customWidth="1"/>
    <col min="6" max="6" width="12.85546875" style="49" customWidth="1"/>
    <col min="7" max="7" width="14.5703125" style="49" customWidth="1"/>
    <col min="8" max="9" width="11.5703125" style="49" hidden="1" customWidth="1" outlineLevel="1"/>
    <col min="10" max="10" width="15.85546875" style="49" customWidth="1" collapsed="1"/>
    <col min="11" max="16384" width="9.140625" style="49"/>
  </cols>
  <sheetData>
    <row r="1" spans="1:11" x14ac:dyDescent="0.2">
      <c r="A1" s="370" t="s">
        <v>0</v>
      </c>
      <c r="B1" s="370"/>
      <c r="C1" s="370"/>
      <c r="D1" s="370"/>
      <c r="E1" s="370"/>
      <c r="F1" s="370"/>
      <c r="G1" s="370"/>
      <c r="H1" s="370"/>
      <c r="I1" s="370"/>
    </row>
    <row r="2" spans="1:11" ht="12.75" customHeight="1" x14ac:dyDescent="0.2">
      <c r="A2" s="370" t="s">
        <v>279</v>
      </c>
      <c r="B2" s="370"/>
      <c r="C2" s="370"/>
      <c r="D2" s="370"/>
      <c r="E2" s="370"/>
      <c r="F2" s="370"/>
      <c r="G2" s="370"/>
      <c r="H2" s="370"/>
      <c r="I2" s="370"/>
      <c r="J2" s="370"/>
      <c r="K2" s="370"/>
    </row>
    <row r="3" spans="1:11" ht="13.5" customHeight="1" x14ac:dyDescent="0.2">
      <c r="A3" s="370" t="s">
        <v>426</v>
      </c>
      <c r="B3" s="370"/>
      <c r="C3" s="370"/>
      <c r="D3" s="370"/>
      <c r="E3" s="370"/>
      <c r="F3" s="370"/>
      <c r="G3" s="370"/>
      <c r="H3" s="370"/>
      <c r="I3" s="370"/>
      <c r="J3" s="370"/>
      <c r="K3" s="370"/>
    </row>
    <row r="4" spans="1:11" ht="9" customHeight="1" x14ac:dyDescent="0.2">
      <c r="A4" s="48"/>
      <c r="B4" s="48"/>
      <c r="C4" s="48"/>
      <c r="D4" s="48"/>
      <c r="E4" s="48"/>
      <c r="F4" s="48"/>
      <c r="G4" s="48"/>
      <c r="H4" s="48"/>
      <c r="I4" s="48"/>
    </row>
    <row r="5" spans="1:11" ht="16.5" customHeight="1" x14ac:dyDescent="0.2">
      <c r="A5" s="371" t="s">
        <v>1</v>
      </c>
      <c r="B5" s="370"/>
      <c r="C5" s="370"/>
      <c r="D5" s="370"/>
      <c r="E5" s="370"/>
      <c r="F5" s="370"/>
      <c r="G5" s="370"/>
      <c r="H5" s="370"/>
      <c r="I5" s="370"/>
    </row>
    <row r="7" spans="1:11" s="51" customFormat="1" ht="16.5" customHeight="1" x14ac:dyDescent="0.2">
      <c r="A7" s="51" t="s">
        <v>2</v>
      </c>
      <c r="F7" s="52" t="s">
        <v>322</v>
      </c>
      <c r="H7" s="52"/>
    </row>
    <row r="8" spans="1:11" s="51" customFormat="1" x14ac:dyDescent="0.2">
      <c r="A8" s="51" t="s">
        <v>3</v>
      </c>
      <c r="F8" s="242" t="s">
        <v>323</v>
      </c>
      <c r="H8" s="52"/>
    </row>
    <row r="9" spans="1:11" s="51" customFormat="1" x14ac:dyDescent="0.2">
      <c r="A9" s="372" t="s">
        <v>8</v>
      </c>
      <c r="B9" s="372"/>
      <c r="C9" s="372"/>
      <c r="D9" s="372"/>
      <c r="E9" s="372"/>
      <c r="F9" s="372"/>
      <c r="G9" s="372"/>
      <c r="H9" s="372"/>
      <c r="I9" s="372"/>
    </row>
    <row r="10" spans="1:11" s="51" customFormat="1" x14ac:dyDescent="0.2">
      <c r="A10" s="372" t="s">
        <v>9</v>
      </c>
      <c r="B10" s="372"/>
      <c r="C10" s="372"/>
      <c r="D10" s="372"/>
      <c r="E10" s="372"/>
      <c r="F10" s="372"/>
      <c r="G10" s="372"/>
      <c r="H10" s="372"/>
      <c r="I10" s="372"/>
    </row>
    <row r="11" spans="1:11" s="51" customFormat="1" x14ac:dyDescent="0.2">
      <c r="A11" s="372" t="s">
        <v>10</v>
      </c>
      <c r="B11" s="372"/>
      <c r="C11" s="372"/>
      <c r="D11" s="372"/>
      <c r="E11" s="372"/>
      <c r="F11" s="372"/>
      <c r="G11" s="372"/>
      <c r="H11" s="372"/>
      <c r="I11" s="372"/>
    </row>
    <row r="12" spans="1:11" s="59" customFormat="1" ht="6" customHeight="1" thickBot="1" x14ac:dyDescent="0.3">
      <c r="A12" s="60"/>
      <c r="B12" s="60"/>
      <c r="C12" s="60"/>
      <c r="D12" s="38"/>
      <c r="E12" s="58"/>
      <c r="F12" s="58"/>
      <c r="G12" s="58"/>
      <c r="H12" s="54"/>
      <c r="I12" s="54"/>
    </row>
    <row r="13" spans="1:11" s="59" customFormat="1" ht="15.75" thickBot="1" x14ac:dyDescent="0.3">
      <c r="A13" s="217" t="s">
        <v>381</v>
      </c>
      <c r="B13" s="218"/>
      <c r="C13" s="218"/>
      <c r="D13" s="61"/>
      <c r="E13" s="62"/>
      <c r="F13" s="62"/>
      <c r="G13" s="57">
        <f>'[1]Труда пер 4 корп.5'!$G$34</f>
        <v>64337.763799999993</v>
      </c>
      <c r="H13" s="54"/>
      <c r="I13" s="54"/>
    </row>
    <row r="14" spans="1:11" s="51" customFormat="1" ht="6.75" customHeight="1" x14ac:dyDescent="0.2"/>
    <row r="15" spans="1:11" s="66" customFormat="1" ht="38.25" x14ac:dyDescent="0.25">
      <c r="A15" s="64" t="s">
        <v>11</v>
      </c>
      <c r="B15" s="64" t="s">
        <v>12</v>
      </c>
      <c r="C15" s="64" t="s">
        <v>61</v>
      </c>
      <c r="D15" s="64" t="s">
        <v>432</v>
      </c>
      <c r="E15" s="64" t="s">
        <v>433</v>
      </c>
      <c r="F15" s="65" t="s">
        <v>434</v>
      </c>
      <c r="G15" s="64" t="s">
        <v>435</v>
      </c>
    </row>
    <row r="16" spans="1:11" s="51" customFormat="1" ht="14.25" x14ac:dyDescent="0.2">
      <c r="A16" s="67" t="s">
        <v>14</v>
      </c>
      <c r="B16" s="39" t="s">
        <v>379</v>
      </c>
      <c r="C16" s="179">
        <v>20.66</v>
      </c>
      <c r="D16" s="68">
        <v>64501.919999999998</v>
      </c>
      <c r="E16" s="68">
        <v>57577.19</v>
      </c>
      <c r="F16" s="68">
        <f>D16</f>
        <v>64501.919999999998</v>
      </c>
      <c r="G16" s="69">
        <f>D16-E16</f>
        <v>6924.7299999999959</v>
      </c>
      <c r="H16" s="70">
        <f>C16</f>
        <v>20.66</v>
      </c>
      <c r="I16" s="71"/>
      <c r="J16" s="72"/>
    </row>
    <row r="17" spans="1:9" s="51" customFormat="1" ht="15" hidden="1" outlineLevel="1" x14ac:dyDescent="0.25">
      <c r="A17" s="73" t="s">
        <v>16</v>
      </c>
      <c r="B17" s="34" t="s">
        <v>17</v>
      </c>
      <c r="C17" s="74">
        <v>3.46</v>
      </c>
      <c r="D17" s="75">
        <f>D16*I17</f>
        <v>10802.354462729912</v>
      </c>
      <c r="E17" s="75">
        <f>E16*I17</f>
        <v>9642.6465343659256</v>
      </c>
      <c r="F17" s="75">
        <f>D17</f>
        <v>10802.354462729912</v>
      </c>
      <c r="G17" s="76">
        <f>D17-E17</f>
        <v>1159.7079283639869</v>
      </c>
      <c r="H17" s="70">
        <f>C17</f>
        <v>3.46</v>
      </c>
      <c r="I17" s="51">
        <f>H17/H16</f>
        <v>0.16747337850919652</v>
      </c>
    </row>
    <row r="18" spans="1:9" s="51" customFormat="1" ht="15" hidden="1" outlineLevel="1" x14ac:dyDescent="0.25">
      <c r="A18" s="73" t="s">
        <v>18</v>
      </c>
      <c r="B18" s="34" t="s">
        <v>19</v>
      </c>
      <c r="C18" s="74">
        <v>1.69</v>
      </c>
      <c r="D18" s="75">
        <f>D16*I18</f>
        <v>5276.294520813165</v>
      </c>
      <c r="E18" s="75">
        <f>E16*I18</f>
        <v>4709.847584704743</v>
      </c>
      <c r="F18" s="75">
        <f>D18</f>
        <v>5276.294520813165</v>
      </c>
      <c r="G18" s="76">
        <f>D18-E18</f>
        <v>566.44693610842205</v>
      </c>
      <c r="H18" s="70">
        <f>C18</f>
        <v>1.69</v>
      </c>
      <c r="I18" s="51">
        <f>H18/H16</f>
        <v>8.1800580832526615E-2</v>
      </c>
    </row>
    <row r="19" spans="1:9" s="51" customFormat="1" ht="15" hidden="1" outlineLevel="1" x14ac:dyDescent="0.25">
      <c r="A19" s="73" t="s">
        <v>20</v>
      </c>
      <c r="B19" s="34" t="s">
        <v>21</v>
      </c>
      <c r="C19" s="74">
        <v>1.69</v>
      </c>
      <c r="D19" s="75">
        <f>D16*I19</f>
        <v>5276.294520813165</v>
      </c>
      <c r="E19" s="75">
        <f>E16*I19</f>
        <v>4709.847584704743</v>
      </c>
      <c r="F19" s="75">
        <f>D19</f>
        <v>5276.294520813165</v>
      </c>
      <c r="G19" s="76">
        <f>D19-E19</f>
        <v>566.44693610842205</v>
      </c>
      <c r="H19" s="70">
        <f>C19</f>
        <v>1.69</v>
      </c>
      <c r="I19" s="51">
        <f>H19/H16</f>
        <v>8.1800580832526615E-2</v>
      </c>
    </row>
    <row r="20" spans="1:9" s="51" customFormat="1" ht="15" hidden="1" outlineLevel="1" x14ac:dyDescent="0.25">
      <c r="A20" s="73" t="s">
        <v>22</v>
      </c>
      <c r="B20" s="34" t="s">
        <v>23</v>
      </c>
      <c r="C20" s="74">
        <v>3.04</v>
      </c>
      <c r="D20" s="75">
        <f>D16*I20</f>
        <v>9491.086001936108</v>
      </c>
      <c r="E20" s="75">
        <f>E16*I20</f>
        <v>8472.1518683446284</v>
      </c>
      <c r="F20" s="75">
        <f>D20</f>
        <v>9491.086001936108</v>
      </c>
      <c r="G20" s="76">
        <f>D20-E20</f>
        <v>1018.9341335914796</v>
      </c>
      <c r="H20" s="70">
        <f>C20</f>
        <v>3.04</v>
      </c>
      <c r="I20" s="51">
        <f>H20/H16</f>
        <v>0.14714424007744434</v>
      </c>
    </row>
    <row r="21" spans="1:9" s="81" customFormat="1" ht="14.25" collapsed="1" x14ac:dyDescent="0.2">
      <c r="A21" s="78" t="s">
        <v>25</v>
      </c>
      <c r="B21" s="78" t="s">
        <v>26</v>
      </c>
      <c r="C21" s="79">
        <v>0</v>
      </c>
      <c r="D21" s="79">
        <v>0</v>
      </c>
      <c r="E21" s="79">
        <v>0</v>
      </c>
      <c r="F21" s="79">
        <v>0</v>
      </c>
      <c r="G21" s="69">
        <f t="shared" ref="G21:G30" si="0">D21-E21</f>
        <v>0</v>
      </c>
      <c r="H21" s="80"/>
      <c r="I21" s="80"/>
    </row>
    <row r="22" spans="1:9" s="81" customFormat="1" ht="14.25" x14ac:dyDescent="0.2">
      <c r="A22" s="78" t="s">
        <v>27</v>
      </c>
      <c r="B22" s="78" t="s">
        <v>283</v>
      </c>
      <c r="C22" s="79">
        <v>0</v>
      </c>
      <c r="D22" s="79">
        <v>0</v>
      </c>
      <c r="E22" s="79">
        <v>0</v>
      </c>
      <c r="F22" s="79">
        <f>D22</f>
        <v>0</v>
      </c>
      <c r="G22" s="69">
        <f t="shared" si="0"/>
        <v>0</v>
      </c>
      <c r="H22" s="80"/>
      <c r="I22" s="80"/>
    </row>
    <row r="23" spans="1:9" s="81" customFormat="1" ht="14.25" x14ac:dyDescent="0.2">
      <c r="A23" s="78" t="s">
        <v>29</v>
      </c>
      <c r="B23" s="78" t="s">
        <v>30</v>
      </c>
      <c r="C23" s="79">
        <v>0</v>
      </c>
      <c r="D23" s="79">
        <v>0</v>
      </c>
      <c r="E23" s="79">
        <v>0</v>
      </c>
      <c r="F23" s="79">
        <v>0</v>
      </c>
      <c r="G23" s="69">
        <f t="shared" si="0"/>
        <v>0</v>
      </c>
      <c r="H23" s="80"/>
      <c r="I23" s="80"/>
    </row>
    <row r="24" spans="1:9" s="81" customFormat="1" ht="14.25" x14ac:dyDescent="0.2">
      <c r="A24" s="78" t="s">
        <v>31</v>
      </c>
      <c r="B24" s="78" t="s">
        <v>80</v>
      </c>
      <c r="C24" s="223">
        <v>2.04</v>
      </c>
      <c r="D24" s="79">
        <v>6962.16</v>
      </c>
      <c r="E24" s="79">
        <v>6214.71</v>
      </c>
      <c r="F24" s="79">
        <f>F39</f>
        <v>62.147100000000002</v>
      </c>
      <c r="G24" s="69">
        <f t="shared" si="0"/>
        <v>747.44999999999982</v>
      </c>
      <c r="H24" s="80"/>
      <c r="I24" s="80"/>
    </row>
    <row r="25" spans="1:9" ht="14.25" x14ac:dyDescent="0.2">
      <c r="A25" s="39" t="s">
        <v>33</v>
      </c>
      <c r="B25" s="39" t="s">
        <v>97</v>
      </c>
      <c r="C25" s="69">
        <v>0</v>
      </c>
      <c r="D25" s="69">
        <v>0</v>
      </c>
      <c r="E25" s="69">
        <v>0</v>
      </c>
      <c r="F25" s="79">
        <f>D25</f>
        <v>0</v>
      </c>
      <c r="G25" s="69">
        <f t="shared" si="0"/>
        <v>0</v>
      </c>
      <c r="H25" s="88"/>
      <c r="I25" s="88"/>
    </row>
    <row r="26" spans="1:9" ht="14.25" x14ac:dyDescent="0.2">
      <c r="A26" s="39" t="s">
        <v>35</v>
      </c>
      <c r="B26" s="39" t="s">
        <v>36</v>
      </c>
      <c r="C26" s="69"/>
      <c r="D26" s="69">
        <f>SUM(D27:D30)</f>
        <v>52824.479999999996</v>
      </c>
      <c r="E26" s="69">
        <f>SUM(E27:E30)</f>
        <v>50831.11</v>
      </c>
      <c r="F26" s="69">
        <f>SUM(F27:F30)</f>
        <v>52824.479999999996</v>
      </c>
      <c r="G26" s="69">
        <f t="shared" si="0"/>
        <v>1993.3699999999953</v>
      </c>
      <c r="H26" s="88"/>
      <c r="I26" s="88"/>
    </row>
    <row r="27" spans="1:9" ht="15" x14ac:dyDescent="0.25">
      <c r="A27" s="34" t="s">
        <v>37</v>
      </c>
      <c r="B27" s="34" t="s">
        <v>101</v>
      </c>
      <c r="C27" s="89">
        <v>7.36</v>
      </c>
      <c r="D27" s="76">
        <v>6565.74</v>
      </c>
      <c r="E27" s="76">
        <v>5854.74</v>
      </c>
      <c r="F27" s="76">
        <f>D27</f>
        <v>6565.74</v>
      </c>
      <c r="G27" s="76">
        <f t="shared" si="0"/>
        <v>711</v>
      </c>
    </row>
    <row r="28" spans="1:9" ht="15" x14ac:dyDescent="0.25">
      <c r="A28" s="34" t="s">
        <v>39</v>
      </c>
      <c r="B28" s="34" t="s">
        <v>84</v>
      </c>
      <c r="C28" s="89">
        <v>88.38</v>
      </c>
      <c r="D28" s="76">
        <v>46258.74</v>
      </c>
      <c r="E28" s="76">
        <v>44976.37</v>
      </c>
      <c r="F28" s="76">
        <f>D28</f>
        <v>46258.74</v>
      </c>
      <c r="G28" s="76">
        <f>D28-E28</f>
        <v>1282.3699999999953</v>
      </c>
    </row>
    <row r="29" spans="1:9" ht="15" x14ac:dyDescent="0.25">
      <c r="A29" s="34" t="s">
        <v>42</v>
      </c>
      <c r="B29" s="34" t="s">
        <v>135</v>
      </c>
      <c r="C29" s="128">
        <v>0</v>
      </c>
      <c r="D29" s="76">
        <v>0</v>
      </c>
      <c r="E29" s="76">
        <v>0</v>
      </c>
      <c r="F29" s="76">
        <f>D29</f>
        <v>0</v>
      </c>
      <c r="G29" s="76">
        <f t="shared" si="0"/>
        <v>0</v>
      </c>
    </row>
    <row r="30" spans="1:9" ht="15" x14ac:dyDescent="0.25">
      <c r="A30" s="34" t="s">
        <v>41</v>
      </c>
      <c r="B30" s="34" t="s">
        <v>43</v>
      </c>
      <c r="C30" s="89">
        <v>0</v>
      </c>
      <c r="D30" s="76">
        <v>0</v>
      </c>
      <c r="E30" s="76">
        <v>0</v>
      </c>
      <c r="F30" s="76">
        <f>D30</f>
        <v>0</v>
      </c>
      <c r="G30" s="76">
        <f t="shared" si="0"/>
        <v>0</v>
      </c>
    </row>
    <row r="31" spans="1:9" s="92" customFormat="1" ht="18" customHeight="1" thickBot="1" x14ac:dyDescent="0.3">
      <c r="A31" s="373"/>
      <c r="B31" s="374"/>
      <c r="C31" s="374"/>
      <c r="D31" s="375"/>
      <c r="E31" s="375"/>
      <c r="F31" s="375"/>
      <c r="G31" s="91"/>
      <c r="H31" s="91"/>
      <c r="I31" s="91"/>
    </row>
    <row r="32" spans="1:9" s="59" customFormat="1" ht="15.75" thickBot="1" x14ac:dyDescent="0.3">
      <c r="A32" s="387" t="s">
        <v>427</v>
      </c>
      <c r="B32" s="388"/>
      <c r="C32" s="388"/>
      <c r="D32" s="57">
        <v>9665.5499999999993</v>
      </c>
      <c r="E32" s="58"/>
      <c r="F32" s="58"/>
      <c r="G32" s="58"/>
      <c r="H32" s="54"/>
      <c r="I32" s="54"/>
    </row>
    <row r="33" spans="1:9" s="59" customFormat="1" ht="6" customHeight="1" thickBot="1" x14ac:dyDescent="0.3">
      <c r="A33" s="60"/>
      <c r="B33" s="60"/>
      <c r="C33" s="60"/>
      <c r="D33" s="38"/>
      <c r="E33" s="58"/>
      <c r="F33" s="58"/>
      <c r="G33" s="58"/>
      <c r="H33" s="54"/>
      <c r="I33" s="54"/>
    </row>
    <row r="34" spans="1:9" s="59" customFormat="1" ht="15.75" thickBot="1" x14ac:dyDescent="0.3">
      <c r="A34" s="55" t="s">
        <v>428</v>
      </c>
      <c r="B34" s="56"/>
      <c r="C34" s="56"/>
      <c r="D34" s="61"/>
      <c r="E34" s="62"/>
      <c r="F34" s="62"/>
      <c r="G34" s="129">
        <f>G13+E24-F24</f>
        <v>70490.326699999991</v>
      </c>
      <c r="H34" s="54"/>
      <c r="I34" s="54"/>
    </row>
    <row r="35" spans="1:9" s="92" customFormat="1" ht="13.5" x14ac:dyDescent="0.25">
      <c r="A35" s="93"/>
      <c r="B35" s="93"/>
      <c r="C35" s="93"/>
      <c r="D35" s="93"/>
      <c r="E35" s="91"/>
      <c r="F35" s="91"/>
      <c r="G35" s="91"/>
      <c r="H35" s="91"/>
      <c r="I35" s="91"/>
    </row>
    <row r="36" spans="1:9" s="92" customFormat="1" ht="27" customHeight="1" x14ac:dyDescent="0.25">
      <c r="A36" s="371" t="s">
        <v>44</v>
      </c>
      <c r="B36" s="371"/>
      <c r="C36" s="371"/>
      <c r="D36" s="371"/>
      <c r="E36" s="371"/>
      <c r="F36" s="371"/>
      <c r="G36" s="371"/>
      <c r="H36" s="371"/>
      <c r="I36" s="371"/>
    </row>
    <row r="38" spans="1:9" ht="28.5" x14ac:dyDescent="0.2">
      <c r="A38" s="94" t="s">
        <v>11</v>
      </c>
      <c r="B38" s="416" t="s">
        <v>45</v>
      </c>
      <c r="C38" s="425"/>
      <c r="D38" s="94" t="s">
        <v>99</v>
      </c>
      <c r="E38" s="94" t="s">
        <v>98</v>
      </c>
      <c r="F38" s="416" t="s">
        <v>46</v>
      </c>
      <c r="G38" s="425"/>
    </row>
    <row r="39" spans="1:9" s="66" customFormat="1" ht="15" x14ac:dyDescent="0.25">
      <c r="A39" s="98" t="s">
        <v>47</v>
      </c>
      <c r="B39" s="418" t="s">
        <v>75</v>
      </c>
      <c r="C39" s="430"/>
      <c r="D39" s="99"/>
      <c r="E39" s="99"/>
      <c r="F39" s="436">
        <f>SUM(F40:G43)</f>
        <v>62.147100000000002</v>
      </c>
      <c r="G39" s="424"/>
    </row>
    <row r="40" spans="1:9" s="103" customFormat="1" ht="15" x14ac:dyDescent="0.25">
      <c r="A40" s="34" t="s">
        <v>16</v>
      </c>
      <c r="B40" s="412"/>
      <c r="C40" s="413"/>
      <c r="D40" s="260"/>
      <c r="E40" s="260"/>
      <c r="F40" s="463"/>
      <c r="G40" s="463"/>
    </row>
    <row r="41" spans="1:9" s="103" customFormat="1" ht="15" x14ac:dyDescent="0.25">
      <c r="A41" s="34" t="s">
        <v>18</v>
      </c>
      <c r="B41" s="406"/>
      <c r="C41" s="454"/>
      <c r="D41" s="105"/>
      <c r="E41" s="107"/>
      <c r="F41" s="466"/>
      <c r="G41" s="467"/>
    </row>
    <row r="42" spans="1:9" s="51" customFormat="1" ht="15" x14ac:dyDescent="0.25">
      <c r="A42" s="34" t="s">
        <v>20</v>
      </c>
      <c r="B42" s="406"/>
      <c r="C42" s="454"/>
      <c r="D42" s="105"/>
      <c r="E42" s="107"/>
      <c r="F42" s="466"/>
      <c r="G42" s="467"/>
    </row>
    <row r="43" spans="1:9" ht="15" x14ac:dyDescent="0.25">
      <c r="A43" s="34" t="s">
        <v>22</v>
      </c>
      <c r="B43" s="458" t="s">
        <v>108</v>
      </c>
      <c r="C43" s="459"/>
      <c r="D43" s="108"/>
      <c r="E43" s="108"/>
      <c r="F43" s="435">
        <f>E24*1%</f>
        <v>62.147100000000002</v>
      </c>
      <c r="G43" s="435"/>
    </row>
    <row r="44" spans="1:9" x14ac:dyDescent="0.2">
      <c r="A44" s="51"/>
      <c r="B44" s="51"/>
      <c r="C44" s="51"/>
      <c r="D44" s="51"/>
      <c r="E44" s="51"/>
      <c r="F44" s="51"/>
      <c r="G44" s="51"/>
    </row>
    <row r="45" spans="1:9" ht="15" x14ac:dyDescent="0.25">
      <c r="A45" s="51" t="s">
        <v>372</v>
      </c>
      <c r="B45" s="59"/>
      <c r="C45" s="110" t="s">
        <v>49</v>
      </c>
      <c r="D45" s="59"/>
      <c r="E45" s="59"/>
      <c r="F45" s="59" t="s">
        <v>60</v>
      </c>
      <c r="G45" s="59"/>
    </row>
    <row r="46" spans="1:9" ht="15" x14ac:dyDescent="0.25">
      <c r="A46" s="59"/>
      <c r="B46" s="59"/>
      <c r="C46" s="110"/>
      <c r="D46" s="59"/>
      <c r="E46" s="59"/>
      <c r="F46" s="111" t="s">
        <v>438</v>
      </c>
      <c r="G46" s="59"/>
    </row>
    <row r="47" spans="1:9" ht="15" x14ac:dyDescent="0.25">
      <c r="A47" s="59" t="s">
        <v>50</v>
      </c>
      <c r="B47" s="59"/>
      <c r="C47" s="110"/>
      <c r="D47" s="59"/>
      <c r="E47" s="59"/>
      <c r="F47" s="59"/>
      <c r="G47" s="59"/>
    </row>
    <row r="48" spans="1:9" ht="15" x14ac:dyDescent="0.25">
      <c r="A48" s="59"/>
      <c r="B48" s="59"/>
      <c r="C48" s="112" t="s">
        <v>51</v>
      </c>
      <c r="D48" s="59"/>
      <c r="E48" s="113"/>
      <c r="F48" s="113"/>
      <c r="G48" s="113"/>
    </row>
  </sheetData>
  <mergeCells count="22">
    <mergeCell ref="B38:C38"/>
    <mergeCell ref="F39:G39"/>
    <mergeCell ref="B41:C41"/>
    <mergeCell ref="F41:G41"/>
    <mergeCell ref="A1:I1"/>
    <mergeCell ref="A5:I5"/>
    <mergeCell ref="A9:I9"/>
    <mergeCell ref="F40:G40"/>
    <mergeCell ref="F38:G38"/>
    <mergeCell ref="A31:F31"/>
    <mergeCell ref="A2:K2"/>
    <mergeCell ref="A11:I11"/>
    <mergeCell ref="A32:C32"/>
    <mergeCell ref="A10:I10"/>
    <mergeCell ref="A36:I36"/>
    <mergeCell ref="A3:K3"/>
    <mergeCell ref="B43:C43"/>
    <mergeCell ref="F43:G43"/>
    <mergeCell ref="B42:C42"/>
    <mergeCell ref="F42:G42"/>
    <mergeCell ref="B39:C39"/>
    <mergeCell ref="B40:C40"/>
  </mergeCells>
  <pageMargins left="0.7" right="0.7" top="0.75" bottom="0.75" header="0.3" footer="0.3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B1166B-4D90-4EA3-9FC3-D9DB149FC76F}">
  <sheetPr>
    <tabColor rgb="FF7030A0"/>
  </sheetPr>
  <dimension ref="A1:N48"/>
  <sheetViews>
    <sheetView topLeftCell="A30" workbookViewId="0">
      <selection activeCell="A51" sqref="A51:IV52"/>
    </sheetView>
  </sheetViews>
  <sheetFormatPr defaultRowHeight="12.75" outlineLevelRow="1" outlineLevelCol="1" x14ac:dyDescent="0.2"/>
  <cols>
    <col min="1" max="1" width="6" style="49" customWidth="1"/>
    <col min="2" max="2" width="48.140625" style="49" customWidth="1"/>
    <col min="3" max="3" width="14" style="49" customWidth="1"/>
    <col min="4" max="4" width="14.85546875" style="49" customWidth="1"/>
    <col min="5" max="6" width="13.28515625" style="49" customWidth="1"/>
    <col min="7" max="7" width="14.5703125" style="49" customWidth="1"/>
    <col min="8" max="9" width="11.5703125" style="49" hidden="1" customWidth="1" outlineLevel="1"/>
    <col min="10" max="10" width="10.140625" style="49" hidden="1" customWidth="1" outlineLevel="1"/>
    <col min="11" max="11" width="10.42578125" style="49" customWidth="1" collapsed="1"/>
    <col min="12" max="12" width="9.140625" style="49"/>
    <col min="13" max="13" width="10" style="49" bestFit="1" customWidth="1"/>
    <col min="14" max="14" width="15.85546875" style="49" customWidth="1"/>
    <col min="15" max="16384" width="9.140625" style="49"/>
  </cols>
  <sheetData>
    <row r="1" spans="1:14" x14ac:dyDescent="0.2">
      <c r="A1" s="370" t="s">
        <v>0</v>
      </c>
      <c r="B1" s="370"/>
      <c r="C1" s="370"/>
      <c r="D1" s="370"/>
      <c r="E1" s="370"/>
      <c r="F1" s="370"/>
      <c r="G1" s="370"/>
      <c r="H1" s="370"/>
      <c r="I1" s="370"/>
      <c r="J1" s="370"/>
      <c r="K1" s="370"/>
    </row>
    <row r="2" spans="1:14" ht="12.75" customHeight="1" x14ac:dyDescent="0.2">
      <c r="A2" s="370" t="s">
        <v>279</v>
      </c>
      <c r="B2" s="370"/>
      <c r="C2" s="370"/>
      <c r="D2" s="370"/>
      <c r="E2" s="370"/>
      <c r="F2" s="370"/>
      <c r="G2" s="370"/>
      <c r="H2" s="370"/>
      <c r="I2" s="370"/>
      <c r="J2" s="370"/>
      <c r="K2" s="370"/>
    </row>
    <row r="3" spans="1:14" ht="13.5" customHeight="1" x14ac:dyDescent="0.2">
      <c r="A3" s="370" t="s">
        <v>426</v>
      </c>
      <c r="B3" s="370"/>
      <c r="C3" s="370"/>
      <c r="D3" s="370"/>
      <c r="E3" s="370"/>
      <c r="F3" s="370"/>
      <c r="G3" s="370"/>
      <c r="H3" s="370"/>
      <c r="I3" s="370"/>
      <c r="J3" s="370"/>
      <c r="K3" s="370"/>
    </row>
    <row r="4" spans="1:14" ht="9" customHeight="1" x14ac:dyDescent="0.2">
      <c r="A4" s="48"/>
      <c r="B4" s="48"/>
      <c r="C4" s="48"/>
      <c r="D4" s="48"/>
      <c r="E4" s="48"/>
      <c r="F4" s="48"/>
      <c r="G4" s="48"/>
      <c r="H4" s="48"/>
      <c r="I4" s="48"/>
      <c r="J4" s="48"/>
      <c r="K4" s="48"/>
    </row>
    <row r="5" spans="1:14" ht="16.5" customHeight="1" x14ac:dyDescent="0.2">
      <c r="A5" s="371" t="s">
        <v>1</v>
      </c>
      <c r="B5" s="370"/>
      <c r="C5" s="370"/>
      <c r="D5" s="370"/>
      <c r="E5" s="370"/>
      <c r="F5" s="370"/>
      <c r="G5" s="370"/>
      <c r="H5" s="370"/>
      <c r="I5" s="370"/>
      <c r="J5" s="370"/>
      <c r="K5" s="370"/>
    </row>
    <row r="7" spans="1:14" s="51" customFormat="1" ht="16.5" customHeight="1" x14ac:dyDescent="0.2">
      <c r="A7" s="51" t="s">
        <v>2</v>
      </c>
      <c r="F7" s="52" t="s">
        <v>324</v>
      </c>
      <c r="H7" s="52"/>
    </row>
    <row r="8" spans="1:14" s="51" customFormat="1" x14ac:dyDescent="0.2">
      <c r="A8" s="51" t="s">
        <v>3</v>
      </c>
      <c r="F8" s="242" t="s">
        <v>325</v>
      </c>
      <c r="H8" s="52"/>
    </row>
    <row r="9" spans="1:14" s="51" customFormat="1" x14ac:dyDescent="0.2">
      <c r="A9" s="372" t="s">
        <v>8</v>
      </c>
      <c r="B9" s="372"/>
      <c r="C9" s="372"/>
      <c r="D9" s="372"/>
      <c r="E9" s="372"/>
      <c r="F9" s="372"/>
      <c r="G9" s="372"/>
      <c r="H9" s="372"/>
      <c r="I9" s="372"/>
      <c r="J9" s="372"/>
      <c r="K9" s="372"/>
    </row>
    <row r="10" spans="1:14" s="51" customFormat="1" x14ac:dyDescent="0.2">
      <c r="A10" s="372" t="s">
        <v>9</v>
      </c>
      <c r="B10" s="372"/>
      <c r="C10" s="372"/>
      <c r="D10" s="372"/>
      <c r="E10" s="372"/>
      <c r="F10" s="372"/>
      <c r="G10" s="372"/>
      <c r="H10" s="372"/>
      <c r="I10" s="372"/>
      <c r="J10" s="372"/>
      <c r="K10" s="372"/>
    </row>
    <row r="11" spans="1:14" s="51" customFormat="1" x14ac:dyDescent="0.2">
      <c r="A11" s="372" t="s">
        <v>10</v>
      </c>
      <c r="B11" s="372"/>
      <c r="C11" s="372"/>
      <c r="D11" s="372"/>
      <c r="E11" s="372"/>
      <c r="F11" s="372"/>
      <c r="G11" s="372"/>
      <c r="H11" s="372"/>
      <c r="I11" s="372"/>
      <c r="J11" s="372"/>
      <c r="K11" s="372"/>
    </row>
    <row r="12" spans="1:14" s="59" customFormat="1" ht="6" customHeight="1" thickBot="1" x14ac:dyDescent="0.3">
      <c r="A12" s="60"/>
      <c r="B12" s="60"/>
      <c r="C12" s="60"/>
      <c r="D12" s="38"/>
      <c r="E12" s="58"/>
      <c r="F12" s="58"/>
      <c r="G12" s="58"/>
      <c r="H12" s="54"/>
      <c r="I12" s="54"/>
    </row>
    <row r="13" spans="1:14" s="59" customFormat="1" ht="15.75" thickBot="1" x14ac:dyDescent="0.3">
      <c r="A13" s="217" t="s">
        <v>381</v>
      </c>
      <c r="B13" s="218"/>
      <c r="C13" s="218"/>
      <c r="D13" s="61"/>
      <c r="E13" s="62"/>
      <c r="F13" s="62"/>
      <c r="G13" s="63">
        <f>'[1]Чичерина 28'!$G$34</f>
        <v>46199.183500000006</v>
      </c>
      <c r="H13" s="54"/>
      <c r="I13" s="54"/>
    </row>
    <row r="14" spans="1:14" s="51" customFormat="1" ht="6.75" customHeight="1" x14ac:dyDescent="0.2"/>
    <row r="15" spans="1:14" s="66" customFormat="1" ht="38.25" x14ac:dyDescent="0.25">
      <c r="A15" s="64" t="s">
        <v>11</v>
      </c>
      <c r="B15" s="64" t="s">
        <v>12</v>
      </c>
      <c r="C15" s="64" t="s">
        <v>61</v>
      </c>
      <c r="D15" s="64" t="s">
        <v>432</v>
      </c>
      <c r="E15" s="64" t="s">
        <v>433</v>
      </c>
      <c r="F15" s="65" t="s">
        <v>434</v>
      </c>
      <c r="G15" s="64" t="s">
        <v>435</v>
      </c>
    </row>
    <row r="16" spans="1:14" s="51" customFormat="1" ht="14.25" x14ac:dyDescent="0.2">
      <c r="A16" s="67" t="s">
        <v>14</v>
      </c>
      <c r="B16" s="39" t="s">
        <v>379</v>
      </c>
      <c r="C16" s="87">
        <v>20.66</v>
      </c>
      <c r="D16" s="68">
        <v>131475.96</v>
      </c>
      <c r="E16" s="68">
        <v>128192.47</v>
      </c>
      <c r="F16" s="68">
        <f t="shared" ref="F16:F23" si="0">D16</f>
        <v>131475.96</v>
      </c>
      <c r="G16" s="69">
        <f>D16-E16</f>
        <v>3283.4899999999907</v>
      </c>
      <c r="H16" s="70">
        <f>C16</f>
        <v>20.66</v>
      </c>
      <c r="I16" s="71"/>
      <c r="J16" s="71"/>
      <c r="K16" s="71"/>
      <c r="M16" s="70"/>
      <c r="N16" s="72"/>
    </row>
    <row r="17" spans="1:11" s="51" customFormat="1" ht="15" hidden="1" outlineLevel="1" x14ac:dyDescent="0.25">
      <c r="A17" s="73" t="s">
        <v>16</v>
      </c>
      <c r="B17" s="34" t="s">
        <v>17</v>
      </c>
      <c r="C17" s="74">
        <v>3.46</v>
      </c>
      <c r="D17" s="75">
        <f>D16*I17</f>
        <v>22018.723213939982</v>
      </c>
      <c r="E17" s="75">
        <f>E16*I17</f>
        <v>21468.826050338819</v>
      </c>
      <c r="F17" s="75">
        <f t="shared" si="0"/>
        <v>22018.723213939982</v>
      </c>
      <c r="G17" s="76">
        <f>D17-E17</f>
        <v>549.8971636011629</v>
      </c>
      <c r="H17" s="70">
        <f>C17</f>
        <v>3.46</v>
      </c>
      <c r="I17" s="51">
        <f>H17/H16</f>
        <v>0.16747337850919652</v>
      </c>
    </row>
    <row r="18" spans="1:11" s="51" customFormat="1" ht="15" hidden="1" outlineLevel="1" x14ac:dyDescent="0.25">
      <c r="A18" s="73" t="s">
        <v>18</v>
      </c>
      <c r="B18" s="34" t="s">
        <v>19</v>
      </c>
      <c r="C18" s="74">
        <v>1.69</v>
      </c>
      <c r="D18" s="75">
        <f>D16*I18</f>
        <v>10754.809893514035</v>
      </c>
      <c r="E18" s="75">
        <f>E16*I18</f>
        <v>10486.218504356244</v>
      </c>
      <c r="F18" s="75">
        <f t="shared" si="0"/>
        <v>10754.809893514035</v>
      </c>
      <c r="G18" s="76">
        <f>D18-E18</f>
        <v>268.59138915779113</v>
      </c>
      <c r="H18" s="70">
        <f>C18</f>
        <v>1.69</v>
      </c>
      <c r="I18" s="51">
        <f>H18/H16</f>
        <v>8.1800580832526615E-2</v>
      </c>
    </row>
    <row r="19" spans="1:11" s="51" customFormat="1" ht="15" hidden="1" outlineLevel="1" x14ac:dyDescent="0.25">
      <c r="A19" s="73" t="s">
        <v>20</v>
      </c>
      <c r="B19" s="34" t="s">
        <v>21</v>
      </c>
      <c r="C19" s="74">
        <v>1.1499999999999999</v>
      </c>
      <c r="D19" s="75">
        <f>D16*I19</f>
        <v>7318.3617618586622</v>
      </c>
      <c r="E19" s="75">
        <f>E16*I19</f>
        <v>7135.5924733785087</v>
      </c>
      <c r="F19" s="75">
        <f t="shared" si="0"/>
        <v>7318.3617618586622</v>
      </c>
      <c r="G19" s="76">
        <f>D19-E19</f>
        <v>182.76928848015359</v>
      </c>
      <c r="H19" s="70">
        <f>C19</f>
        <v>1.1499999999999999</v>
      </c>
      <c r="I19" s="51">
        <f>H19/H16</f>
        <v>5.5663117134559528E-2</v>
      </c>
    </row>
    <row r="20" spans="1:11" s="51" customFormat="1" ht="15" hidden="1" outlineLevel="1" x14ac:dyDescent="0.25">
      <c r="A20" s="73" t="s">
        <v>22</v>
      </c>
      <c r="B20" s="34" t="s">
        <v>23</v>
      </c>
      <c r="C20" s="74">
        <v>3.04</v>
      </c>
      <c r="D20" s="75">
        <f>D16*I20</f>
        <v>19345.930222652467</v>
      </c>
      <c r="E20" s="75">
        <f>E16*I20</f>
        <v>18862.783581800581</v>
      </c>
      <c r="F20" s="75">
        <f t="shared" si="0"/>
        <v>19345.930222652467</v>
      </c>
      <c r="G20" s="76">
        <f>D20-E20</f>
        <v>483.14664085188633</v>
      </c>
      <c r="H20" s="70">
        <f>C20</f>
        <v>3.04</v>
      </c>
      <c r="I20" s="51">
        <f>H20/H16</f>
        <v>0.14714424007744434</v>
      </c>
    </row>
    <row r="21" spans="1:11" s="81" customFormat="1" ht="14.25" collapsed="1" x14ac:dyDescent="0.2">
      <c r="A21" s="78" t="s">
        <v>25</v>
      </c>
      <c r="B21" s="78" t="s">
        <v>26</v>
      </c>
      <c r="C21" s="43">
        <v>0</v>
      </c>
      <c r="D21" s="79">
        <v>0</v>
      </c>
      <c r="E21" s="79">
        <v>0</v>
      </c>
      <c r="F21" s="79">
        <f t="shared" si="0"/>
        <v>0</v>
      </c>
      <c r="G21" s="69">
        <f t="shared" ref="G21:G30" si="1">D21-E21</f>
        <v>0</v>
      </c>
      <c r="H21" s="80"/>
      <c r="I21" s="80"/>
      <c r="J21" s="80"/>
      <c r="K21" s="80"/>
    </row>
    <row r="22" spans="1:11" s="81" customFormat="1" ht="14.25" x14ac:dyDescent="0.2">
      <c r="A22" s="78" t="s">
        <v>27</v>
      </c>
      <c r="B22" s="78" t="s">
        <v>129</v>
      </c>
      <c r="C22" s="43">
        <v>0</v>
      </c>
      <c r="D22" s="79">
        <v>0</v>
      </c>
      <c r="E22" s="79">
        <v>0</v>
      </c>
      <c r="F22" s="79">
        <f t="shared" si="0"/>
        <v>0</v>
      </c>
      <c r="G22" s="69">
        <f t="shared" si="1"/>
        <v>0</v>
      </c>
      <c r="H22" s="80"/>
      <c r="I22" s="80"/>
      <c r="J22" s="80"/>
      <c r="K22" s="80"/>
    </row>
    <row r="23" spans="1:11" s="81" customFormat="1" ht="14.25" x14ac:dyDescent="0.2">
      <c r="A23" s="78" t="s">
        <v>29</v>
      </c>
      <c r="B23" s="78" t="s">
        <v>30</v>
      </c>
      <c r="C23" s="43">
        <v>0</v>
      </c>
      <c r="D23" s="79">
        <v>0</v>
      </c>
      <c r="E23" s="79">
        <v>0</v>
      </c>
      <c r="F23" s="79">
        <f t="shared" si="0"/>
        <v>0</v>
      </c>
      <c r="G23" s="69">
        <f t="shared" si="1"/>
        <v>0</v>
      </c>
      <c r="H23" s="80"/>
      <c r="I23" s="80"/>
      <c r="J23" s="80"/>
      <c r="K23" s="80"/>
    </row>
    <row r="24" spans="1:11" s="81" customFormat="1" ht="14.25" x14ac:dyDescent="0.2">
      <c r="A24" s="78" t="s">
        <v>31</v>
      </c>
      <c r="B24" s="78" t="s">
        <v>80</v>
      </c>
      <c r="C24" s="86">
        <v>2.04</v>
      </c>
      <c r="D24" s="79">
        <v>14191.08</v>
      </c>
      <c r="E24" s="79">
        <v>14087.09</v>
      </c>
      <c r="F24" s="79">
        <f>F39</f>
        <v>140.87090000000001</v>
      </c>
      <c r="G24" s="69">
        <f t="shared" si="1"/>
        <v>103.98999999999978</v>
      </c>
      <c r="H24" s="80"/>
      <c r="I24" s="80"/>
      <c r="J24" s="80"/>
      <c r="K24" s="80"/>
    </row>
    <row r="25" spans="1:11" ht="14.25" x14ac:dyDescent="0.2">
      <c r="A25" s="39" t="s">
        <v>33</v>
      </c>
      <c r="B25" s="39" t="s">
        <v>97</v>
      </c>
      <c r="C25" s="87">
        <v>0</v>
      </c>
      <c r="D25" s="69">
        <v>0</v>
      </c>
      <c r="E25" s="69">
        <v>0</v>
      </c>
      <c r="F25" s="79">
        <v>0</v>
      </c>
      <c r="G25" s="69">
        <f t="shared" si="1"/>
        <v>0</v>
      </c>
      <c r="H25" s="88"/>
      <c r="I25" s="88"/>
      <c r="J25" s="88"/>
      <c r="K25" s="88"/>
    </row>
    <row r="26" spans="1:11" ht="14.25" x14ac:dyDescent="0.2">
      <c r="A26" s="39" t="s">
        <v>35</v>
      </c>
      <c r="B26" s="39" t="s">
        <v>36</v>
      </c>
      <c r="C26" s="87">
        <v>0</v>
      </c>
      <c r="D26" s="69">
        <f>SUM(D27:D30)</f>
        <v>143116.01999999999</v>
      </c>
      <c r="E26" s="69">
        <f>SUM(E27:E30)</f>
        <v>128061.94</v>
      </c>
      <c r="F26" s="69">
        <f>SUM(F27:F30)</f>
        <v>143116.01999999999</v>
      </c>
      <c r="G26" s="69">
        <f t="shared" si="1"/>
        <v>15054.079999999987</v>
      </c>
      <c r="H26" s="88"/>
      <c r="I26" s="88"/>
      <c r="J26" s="88"/>
      <c r="K26" s="88"/>
    </row>
    <row r="27" spans="1:11" ht="15" x14ac:dyDescent="0.25">
      <c r="A27" s="34" t="s">
        <v>37</v>
      </c>
      <c r="B27" s="34" t="s">
        <v>101</v>
      </c>
      <c r="C27" s="89">
        <v>7.36</v>
      </c>
      <c r="D27" s="76">
        <v>17568.54</v>
      </c>
      <c r="E27" s="76">
        <v>17184.560000000001</v>
      </c>
      <c r="F27" s="76">
        <f>D27</f>
        <v>17568.54</v>
      </c>
      <c r="G27" s="76">
        <f t="shared" si="1"/>
        <v>383.97999999999956</v>
      </c>
    </row>
    <row r="28" spans="1:11" ht="15" x14ac:dyDescent="0.25">
      <c r="A28" s="34" t="s">
        <v>39</v>
      </c>
      <c r="B28" s="34" t="s">
        <v>84</v>
      </c>
      <c r="C28" s="89">
        <v>88.38</v>
      </c>
      <c r="D28" s="76">
        <v>125547.48</v>
      </c>
      <c r="E28" s="76">
        <v>109823.67</v>
      </c>
      <c r="F28" s="76">
        <f>D28</f>
        <v>125547.48</v>
      </c>
      <c r="G28" s="76">
        <f t="shared" si="1"/>
        <v>15723.809999999998</v>
      </c>
    </row>
    <row r="29" spans="1:11" ht="15" x14ac:dyDescent="0.25">
      <c r="A29" s="34" t="s">
        <v>42</v>
      </c>
      <c r="B29" s="34" t="s">
        <v>135</v>
      </c>
      <c r="C29" s="128">
        <v>0</v>
      </c>
      <c r="D29" s="76">
        <v>0</v>
      </c>
      <c r="E29" s="76">
        <v>0</v>
      </c>
      <c r="F29" s="76">
        <f>D29</f>
        <v>0</v>
      </c>
      <c r="G29" s="76">
        <f t="shared" si="1"/>
        <v>0</v>
      </c>
    </row>
    <row r="30" spans="1:11" ht="15" x14ac:dyDescent="0.25">
      <c r="A30" s="34" t="s">
        <v>41</v>
      </c>
      <c r="B30" s="34" t="s">
        <v>43</v>
      </c>
      <c r="C30" s="89">
        <v>0</v>
      </c>
      <c r="D30" s="76">
        <v>0</v>
      </c>
      <c r="E30" s="76">
        <v>1053.71</v>
      </c>
      <c r="F30" s="76">
        <f>D30</f>
        <v>0</v>
      </c>
      <c r="G30" s="76">
        <f t="shared" si="1"/>
        <v>-1053.71</v>
      </c>
    </row>
    <row r="31" spans="1:11" s="92" customFormat="1" ht="15.75" customHeight="1" thickBot="1" x14ac:dyDescent="0.3">
      <c r="A31" s="373"/>
      <c r="B31" s="374"/>
      <c r="C31" s="374"/>
      <c r="D31" s="375"/>
      <c r="E31" s="375"/>
      <c r="F31" s="375"/>
      <c r="G31" s="91"/>
      <c r="H31" s="91"/>
      <c r="I31" s="91"/>
    </row>
    <row r="32" spans="1:11" s="59" customFormat="1" ht="15.75" thickBot="1" x14ac:dyDescent="0.3">
      <c r="A32" s="387" t="s">
        <v>427</v>
      </c>
      <c r="B32" s="388"/>
      <c r="C32" s="388"/>
      <c r="D32" s="57">
        <v>18441.560000000001</v>
      </c>
      <c r="E32" s="58"/>
      <c r="F32" s="58"/>
      <c r="G32" s="58"/>
      <c r="H32" s="54"/>
      <c r="I32" s="54"/>
    </row>
    <row r="33" spans="1:12" s="59" customFormat="1" ht="6" customHeight="1" thickBot="1" x14ac:dyDescent="0.3">
      <c r="A33" s="60"/>
      <c r="B33" s="60"/>
      <c r="C33" s="60"/>
      <c r="D33" s="38"/>
      <c r="E33" s="58"/>
      <c r="F33" s="58"/>
      <c r="G33" s="58"/>
      <c r="H33" s="54"/>
      <c r="I33" s="54"/>
    </row>
    <row r="34" spans="1:12" s="59" customFormat="1" ht="15.75" thickBot="1" x14ac:dyDescent="0.3">
      <c r="A34" s="55" t="s">
        <v>428</v>
      </c>
      <c r="B34" s="56"/>
      <c r="C34" s="56"/>
      <c r="D34" s="61"/>
      <c r="E34" s="62"/>
      <c r="F34" s="62"/>
      <c r="G34" s="63">
        <f>G13+E24-F24</f>
        <v>60145.402600000009</v>
      </c>
      <c r="H34" s="54"/>
      <c r="I34" s="54"/>
      <c r="K34" s="130"/>
    </row>
    <row r="35" spans="1:12" s="92" customFormat="1" ht="13.5" x14ac:dyDescent="0.25">
      <c r="A35" s="93"/>
      <c r="B35" s="93"/>
      <c r="C35" s="93"/>
      <c r="D35" s="93"/>
      <c r="E35" s="91"/>
      <c r="F35" s="91"/>
      <c r="G35" s="91"/>
      <c r="H35" s="91"/>
      <c r="I35" s="91"/>
      <c r="J35" s="91"/>
      <c r="K35" s="91"/>
    </row>
    <row r="36" spans="1:12" ht="31.5" customHeight="1" x14ac:dyDescent="0.2">
      <c r="A36" s="371" t="s">
        <v>106</v>
      </c>
      <c r="B36" s="371"/>
      <c r="C36" s="371"/>
      <c r="D36" s="371"/>
      <c r="E36" s="371"/>
      <c r="F36" s="371"/>
      <c r="G36" s="371"/>
      <c r="H36" s="371"/>
      <c r="I36" s="371"/>
      <c r="J36" s="371"/>
      <c r="K36" s="371"/>
    </row>
    <row r="38" spans="1:12" s="66" customFormat="1" ht="37.5" customHeight="1" x14ac:dyDescent="0.2">
      <c r="A38" s="94" t="s">
        <v>11</v>
      </c>
      <c r="B38" s="416" t="s">
        <v>45</v>
      </c>
      <c r="C38" s="425"/>
      <c r="D38" s="94" t="s">
        <v>99</v>
      </c>
      <c r="E38" s="94" t="s">
        <v>98</v>
      </c>
      <c r="F38" s="416" t="s">
        <v>46</v>
      </c>
      <c r="G38" s="425"/>
      <c r="H38" s="207"/>
      <c r="I38" s="208"/>
      <c r="L38" s="97"/>
    </row>
    <row r="39" spans="1:12" s="103" customFormat="1" ht="15" customHeight="1" x14ac:dyDescent="0.25">
      <c r="A39" s="98" t="s">
        <v>47</v>
      </c>
      <c r="B39" s="418" t="s">
        <v>75</v>
      </c>
      <c r="C39" s="430"/>
      <c r="D39" s="99"/>
      <c r="E39" s="99"/>
      <c r="F39" s="436">
        <f>SUM(F40:G43)</f>
        <v>140.87090000000001</v>
      </c>
      <c r="G39" s="424"/>
      <c r="H39" s="209"/>
      <c r="I39" s="210"/>
      <c r="L39" s="104"/>
    </row>
    <row r="40" spans="1:12" ht="15" customHeight="1" x14ac:dyDescent="0.25">
      <c r="A40" s="34" t="s">
        <v>16</v>
      </c>
      <c r="B40" s="412"/>
      <c r="C40" s="413"/>
      <c r="D40" s="260"/>
      <c r="E40" s="260"/>
      <c r="F40" s="463"/>
      <c r="G40" s="463"/>
      <c r="H40" s="211"/>
      <c r="I40" s="212"/>
      <c r="L40" s="106"/>
    </row>
    <row r="41" spans="1:12" ht="15" customHeight="1" x14ac:dyDescent="0.25">
      <c r="A41" s="34" t="s">
        <v>18</v>
      </c>
      <c r="B41" s="412"/>
      <c r="C41" s="517"/>
      <c r="D41" s="267"/>
      <c r="E41" s="267"/>
      <c r="F41" s="562"/>
      <c r="G41" s="563"/>
      <c r="H41" s="38"/>
      <c r="I41" s="38"/>
      <c r="L41" s="106"/>
    </row>
    <row r="42" spans="1:12" ht="15" x14ac:dyDescent="0.25">
      <c r="A42" s="34" t="s">
        <v>20</v>
      </c>
      <c r="B42" s="406"/>
      <c r="C42" s="455"/>
      <c r="D42" s="194"/>
      <c r="E42" s="194"/>
      <c r="F42" s="564"/>
      <c r="G42" s="565"/>
      <c r="H42" s="38"/>
      <c r="I42" s="38"/>
      <c r="L42" s="106"/>
    </row>
    <row r="43" spans="1:12" ht="15" x14ac:dyDescent="0.25">
      <c r="A43" s="34" t="s">
        <v>22</v>
      </c>
      <c r="B43" s="458" t="s">
        <v>108</v>
      </c>
      <c r="C43" s="459"/>
      <c r="D43" s="108"/>
      <c r="E43" s="108"/>
      <c r="F43" s="435">
        <f>E24*1%</f>
        <v>140.87090000000001</v>
      </c>
      <c r="G43" s="435"/>
    </row>
    <row r="44" spans="1:12" x14ac:dyDescent="0.2">
      <c r="A44" s="51"/>
      <c r="B44" s="51"/>
      <c r="C44" s="51"/>
      <c r="D44" s="51"/>
      <c r="E44" s="51"/>
      <c r="F44" s="51"/>
      <c r="G44" s="51"/>
    </row>
    <row r="45" spans="1:12" ht="15" x14ac:dyDescent="0.25">
      <c r="A45" s="51" t="s">
        <v>372</v>
      </c>
      <c r="B45" s="59"/>
      <c r="C45" s="110" t="s">
        <v>49</v>
      </c>
      <c r="D45" s="59"/>
      <c r="E45" s="59"/>
      <c r="F45" s="59" t="s">
        <v>60</v>
      </c>
      <c r="G45" s="59"/>
    </row>
    <row r="46" spans="1:12" ht="15" x14ac:dyDescent="0.25">
      <c r="A46" s="59"/>
      <c r="B46" s="59"/>
      <c r="C46" s="110"/>
      <c r="D46" s="59"/>
      <c r="E46" s="59"/>
      <c r="F46" s="111" t="s">
        <v>438</v>
      </c>
      <c r="G46" s="59"/>
    </row>
    <row r="47" spans="1:12" ht="15" x14ac:dyDescent="0.25">
      <c r="A47" s="59" t="s">
        <v>50</v>
      </c>
      <c r="B47" s="59"/>
      <c r="C47" s="110"/>
      <c r="D47" s="59"/>
      <c r="E47" s="59"/>
      <c r="F47" s="59"/>
      <c r="G47" s="59"/>
    </row>
    <row r="48" spans="1:12" ht="15" x14ac:dyDescent="0.25">
      <c r="A48" s="59"/>
      <c r="B48" s="59"/>
      <c r="C48" s="112" t="s">
        <v>51</v>
      </c>
      <c r="D48" s="59"/>
      <c r="E48" s="113"/>
      <c r="F48" s="113"/>
      <c r="G48" s="113"/>
    </row>
  </sheetData>
  <mergeCells count="22">
    <mergeCell ref="A11:K11"/>
    <mergeCell ref="A31:F31"/>
    <mergeCell ref="F39:G39"/>
    <mergeCell ref="F41:G41"/>
    <mergeCell ref="F42:G42"/>
    <mergeCell ref="A32:C32"/>
    <mergeCell ref="A36:K36"/>
    <mergeCell ref="B38:C38"/>
    <mergeCell ref="F38:G38"/>
    <mergeCell ref="A10:K10"/>
    <mergeCell ref="A1:K1"/>
    <mergeCell ref="A2:K2"/>
    <mergeCell ref="A3:K3"/>
    <mergeCell ref="A5:K5"/>
    <mergeCell ref="A9:K9"/>
    <mergeCell ref="B43:C43"/>
    <mergeCell ref="F43:G43"/>
    <mergeCell ref="B39:C39"/>
    <mergeCell ref="B40:C40"/>
    <mergeCell ref="B41:C41"/>
    <mergeCell ref="B42:C42"/>
    <mergeCell ref="F40:G40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8F86A5-E675-44FD-8EBA-8A7A802CFFC3}">
  <sheetPr>
    <tabColor rgb="FF7030A0"/>
  </sheetPr>
  <dimension ref="A1:P52"/>
  <sheetViews>
    <sheetView topLeftCell="A30" workbookViewId="0">
      <selection activeCell="A56" sqref="A56:IV57"/>
    </sheetView>
  </sheetViews>
  <sheetFormatPr defaultRowHeight="12.75" outlineLevelRow="1" outlineLevelCol="1" x14ac:dyDescent="0.2"/>
  <cols>
    <col min="1" max="1" width="5.5703125" style="49" customWidth="1"/>
    <col min="2" max="2" width="51.85546875" style="49" customWidth="1"/>
    <col min="3" max="3" width="15.7109375" style="49" customWidth="1"/>
    <col min="4" max="4" width="14.85546875" style="49" customWidth="1"/>
    <col min="5" max="5" width="13.28515625" style="49" customWidth="1"/>
    <col min="6" max="6" width="12.85546875" style="49" customWidth="1"/>
    <col min="7" max="7" width="14.5703125" style="49" customWidth="1"/>
    <col min="8" max="9" width="11.5703125" style="49" hidden="1" customWidth="1" outlineLevel="1"/>
    <col min="10" max="10" width="10.140625" style="49" hidden="1" customWidth="1" outlineLevel="1"/>
    <col min="11" max="11" width="10.42578125" style="49" hidden="1" customWidth="1" outlineLevel="1"/>
    <col min="12" max="13" width="9.140625" style="49" hidden="1" customWidth="1" outlineLevel="1"/>
    <col min="14" max="14" width="9.140625" style="49" collapsed="1"/>
    <col min="15" max="15" width="10" style="49" bestFit="1" customWidth="1"/>
    <col min="16" max="16" width="15.85546875" style="49" customWidth="1"/>
    <col min="17" max="16384" width="9.140625" style="49"/>
  </cols>
  <sheetData>
    <row r="1" spans="1:16" x14ac:dyDescent="0.2">
      <c r="A1" s="370" t="s">
        <v>0</v>
      </c>
      <c r="B1" s="370"/>
      <c r="C1" s="370"/>
      <c r="D1" s="370"/>
      <c r="E1" s="370"/>
      <c r="F1" s="370"/>
      <c r="G1" s="370"/>
      <c r="H1" s="370"/>
      <c r="I1" s="370"/>
      <c r="J1" s="370"/>
      <c r="K1" s="370"/>
    </row>
    <row r="2" spans="1:16" ht="12.75" customHeight="1" x14ac:dyDescent="0.2">
      <c r="A2" s="370" t="s">
        <v>279</v>
      </c>
      <c r="B2" s="370"/>
      <c r="C2" s="370"/>
      <c r="D2" s="370"/>
      <c r="E2" s="370"/>
      <c r="F2" s="370"/>
      <c r="G2" s="370"/>
      <c r="H2" s="370"/>
      <c r="I2" s="370"/>
      <c r="J2" s="370"/>
      <c r="K2" s="370"/>
    </row>
    <row r="3" spans="1:16" ht="13.5" customHeight="1" x14ac:dyDescent="0.2">
      <c r="A3" s="370" t="s">
        <v>426</v>
      </c>
      <c r="B3" s="370"/>
      <c r="C3" s="370"/>
      <c r="D3" s="370"/>
      <c r="E3" s="370"/>
      <c r="F3" s="370"/>
      <c r="G3" s="370"/>
      <c r="H3" s="370"/>
      <c r="I3" s="370"/>
      <c r="J3" s="370"/>
      <c r="K3" s="370"/>
    </row>
    <row r="4" spans="1:16" ht="9" customHeight="1" x14ac:dyDescent="0.2">
      <c r="A4" s="48"/>
      <c r="B4" s="48"/>
      <c r="C4" s="48"/>
      <c r="D4" s="48"/>
      <c r="E4" s="48"/>
      <c r="F4" s="48"/>
      <c r="G4" s="48"/>
      <c r="H4" s="48"/>
      <c r="I4" s="48"/>
      <c r="J4" s="48"/>
      <c r="K4" s="48"/>
    </row>
    <row r="5" spans="1:16" ht="16.5" customHeight="1" x14ac:dyDescent="0.2">
      <c r="A5" s="371" t="s">
        <v>1</v>
      </c>
      <c r="B5" s="370"/>
      <c r="C5" s="370"/>
      <c r="D5" s="370"/>
      <c r="E5" s="370"/>
      <c r="F5" s="370"/>
      <c r="G5" s="370"/>
      <c r="H5" s="370"/>
      <c r="I5" s="370"/>
      <c r="J5" s="370"/>
      <c r="K5" s="370"/>
    </row>
    <row r="7" spans="1:16" s="51" customFormat="1" ht="16.5" customHeight="1" x14ac:dyDescent="0.2">
      <c r="A7" s="51" t="s">
        <v>2</v>
      </c>
      <c r="F7" s="52" t="s">
        <v>326</v>
      </c>
      <c r="H7" s="52"/>
      <c r="L7" s="214"/>
      <c r="M7" s="214"/>
    </row>
    <row r="8" spans="1:16" s="51" customFormat="1" x14ac:dyDescent="0.2">
      <c r="A8" s="51" t="s">
        <v>3</v>
      </c>
      <c r="F8" s="242" t="s">
        <v>327</v>
      </c>
      <c r="H8" s="52"/>
    </row>
    <row r="9" spans="1:16" s="51" customFormat="1" x14ac:dyDescent="0.2">
      <c r="A9" s="372" t="s">
        <v>8</v>
      </c>
      <c r="B9" s="372"/>
      <c r="C9" s="372"/>
      <c r="D9" s="372"/>
      <c r="E9" s="372"/>
      <c r="F9" s="372"/>
      <c r="G9" s="372"/>
      <c r="H9" s="372"/>
      <c r="I9" s="372"/>
      <c r="J9" s="372"/>
      <c r="K9" s="372"/>
    </row>
    <row r="10" spans="1:16" s="51" customFormat="1" x14ac:dyDescent="0.2">
      <c r="A10" s="372" t="s">
        <v>9</v>
      </c>
      <c r="B10" s="372"/>
      <c r="C10" s="372"/>
      <c r="D10" s="372"/>
      <c r="E10" s="372"/>
      <c r="F10" s="372"/>
      <c r="G10" s="372"/>
      <c r="H10" s="372"/>
      <c r="I10" s="372"/>
      <c r="J10" s="372"/>
      <c r="K10" s="372"/>
    </row>
    <row r="11" spans="1:16" s="51" customFormat="1" x14ac:dyDescent="0.2">
      <c r="A11" s="372" t="s">
        <v>10</v>
      </c>
      <c r="B11" s="372"/>
      <c r="C11" s="372"/>
      <c r="D11" s="372"/>
      <c r="E11" s="372"/>
      <c r="F11" s="372"/>
      <c r="G11" s="372"/>
      <c r="H11" s="372"/>
      <c r="I11" s="372"/>
      <c r="J11" s="372"/>
      <c r="K11" s="372"/>
    </row>
    <row r="12" spans="1:16" s="59" customFormat="1" ht="6" customHeight="1" thickBot="1" x14ac:dyDescent="0.3">
      <c r="A12" s="60"/>
      <c r="B12" s="60"/>
      <c r="C12" s="60"/>
      <c r="D12" s="38"/>
      <c r="E12" s="58"/>
      <c r="F12" s="58"/>
      <c r="G12" s="58"/>
      <c r="H12" s="54"/>
      <c r="I12" s="54"/>
    </row>
    <row r="13" spans="1:16" s="59" customFormat="1" ht="15.75" thickBot="1" x14ac:dyDescent="0.3">
      <c r="A13" s="217" t="s">
        <v>381</v>
      </c>
      <c r="B13" s="218"/>
      <c r="C13" s="218"/>
      <c r="D13" s="61"/>
      <c r="E13" s="62"/>
      <c r="F13" s="62"/>
      <c r="G13" s="57">
        <f>'[1]Пухова 7'!$G$34</f>
        <v>184429.88310000004</v>
      </c>
      <c r="H13" s="54"/>
      <c r="I13" s="54"/>
    </row>
    <row r="14" spans="1:16" s="51" customFormat="1" ht="6.75" customHeight="1" x14ac:dyDescent="0.2"/>
    <row r="15" spans="1:16" s="66" customFormat="1" ht="38.25" x14ac:dyDescent="0.25">
      <c r="A15" s="64" t="s">
        <v>11</v>
      </c>
      <c r="B15" s="64" t="s">
        <v>12</v>
      </c>
      <c r="C15" s="64" t="s">
        <v>61</v>
      </c>
      <c r="D15" s="64" t="s">
        <v>432</v>
      </c>
      <c r="E15" s="64" t="s">
        <v>433</v>
      </c>
      <c r="F15" s="65" t="s">
        <v>434</v>
      </c>
      <c r="G15" s="64" t="s">
        <v>435</v>
      </c>
    </row>
    <row r="16" spans="1:16" s="51" customFormat="1" ht="14.25" x14ac:dyDescent="0.2">
      <c r="A16" s="67" t="s">
        <v>14</v>
      </c>
      <c r="B16" s="39" t="s">
        <v>379</v>
      </c>
      <c r="C16" s="179">
        <v>23.01</v>
      </c>
      <c r="D16" s="68">
        <v>1256318.8799999999</v>
      </c>
      <c r="E16" s="68">
        <v>1240737.3</v>
      </c>
      <c r="F16" s="68">
        <f t="shared" ref="F16:F22" si="0">D16</f>
        <v>1256318.8799999999</v>
      </c>
      <c r="G16" s="69">
        <f>D16-E16</f>
        <v>15581.579999999842</v>
      </c>
      <c r="H16" s="70">
        <f>C16</f>
        <v>23.01</v>
      </c>
      <c r="I16" s="71"/>
      <c r="J16" s="71"/>
      <c r="K16" s="71"/>
      <c r="O16" s="70"/>
      <c r="P16" s="72"/>
    </row>
    <row r="17" spans="1:11" s="51" customFormat="1" ht="15" hidden="1" outlineLevel="1" x14ac:dyDescent="0.25">
      <c r="A17" s="73" t="s">
        <v>16</v>
      </c>
      <c r="B17" s="34" t="s">
        <v>17</v>
      </c>
      <c r="C17" s="76">
        <v>3.46</v>
      </c>
      <c r="D17" s="75">
        <f>D16*I17</f>
        <v>188911.92198174703</v>
      </c>
      <c r="E17" s="75">
        <f>E16*I17</f>
        <v>186568.9290743155</v>
      </c>
      <c r="F17" s="75">
        <f t="shared" si="0"/>
        <v>188911.92198174703</v>
      </c>
      <c r="G17" s="76">
        <f>D17-E17</f>
        <v>2342.9929074315296</v>
      </c>
      <c r="H17" s="70">
        <f>C17</f>
        <v>3.46</v>
      </c>
      <c r="I17" s="51">
        <f>H17/H16</f>
        <v>0.15036940460669274</v>
      </c>
    </row>
    <row r="18" spans="1:11" s="51" customFormat="1" ht="15" hidden="1" outlineLevel="1" x14ac:dyDescent="0.25">
      <c r="A18" s="73" t="s">
        <v>18</v>
      </c>
      <c r="B18" s="34" t="s">
        <v>19</v>
      </c>
      <c r="C18" s="76">
        <v>1.69</v>
      </c>
      <c r="D18" s="75">
        <f>D16*I18</f>
        <v>92272.008135593205</v>
      </c>
      <c r="E18" s="75">
        <f>E16*I18</f>
        <v>91127.598305084743</v>
      </c>
      <c r="F18" s="75">
        <f t="shared" si="0"/>
        <v>92272.008135593205</v>
      </c>
      <c r="G18" s="76">
        <f>D18-E18</f>
        <v>1144.4098305084626</v>
      </c>
      <c r="H18" s="70">
        <f>C18</f>
        <v>1.69</v>
      </c>
      <c r="I18" s="51">
        <f>H18/H16</f>
        <v>7.3446327683615809E-2</v>
      </c>
    </row>
    <row r="19" spans="1:11" s="51" customFormat="1" ht="15" hidden="1" outlineLevel="1" x14ac:dyDescent="0.25">
      <c r="A19" s="73" t="s">
        <v>20</v>
      </c>
      <c r="B19" s="34" t="s">
        <v>21</v>
      </c>
      <c r="C19" s="76">
        <v>1.69</v>
      </c>
      <c r="D19" s="75">
        <f>D16*I19</f>
        <v>92272.008135593205</v>
      </c>
      <c r="E19" s="75">
        <f>E16*I19</f>
        <v>91127.598305084743</v>
      </c>
      <c r="F19" s="75">
        <f t="shared" si="0"/>
        <v>92272.008135593205</v>
      </c>
      <c r="G19" s="76">
        <f>D19-E19</f>
        <v>1144.4098305084626</v>
      </c>
      <c r="H19" s="70">
        <f>C19</f>
        <v>1.69</v>
      </c>
      <c r="I19" s="51">
        <f>H19/H16</f>
        <v>7.3446327683615809E-2</v>
      </c>
    </row>
    <row r="20" spans="1:11" s="51" customFormat="1" ht="15" hidden="1" outlineLevel="1" x14ac:dyDescent="0.25">
      <c r="A20" s="73" t="s">
        <v>22</v>
      </c>
      <c r="B20" s="34" t="s">
        <v>23</v>
      </c>
      <c r="C20" s="76">
        <v>3.04</v>
      </c>
      <c r="D20" s="75">
        <f>D16*I20</f>
        <v>165980.41700130375</v>
      </c>
      <c r="E20" s="75">
        <f>E16*I20</f>
        <v>163921.83363754887</v>
      </c>
      <c r="F20" s="75">
        <f t="shared" si="0"/>
        <v>165980.41700130375</v>
      </c>
      <c r="G20" s="76">
        <f>D20-E20</f>
        <v>2058.5833637548785</v>
      </c>
      <c r="H20" s="70">
        <f>C20</f>
        <v>3.04</v>
      </c>
      <c r="I20" s="51">
        <f>H20/H16</f>
        <v>0.13211647109952193</v>
      </c>
    </row>
    <row r="21" spans="1:11" s="81" customFormat="1" ht="14.25" collapsed="1" x14ac:dyDescent="0.2">
      <c r="A21" s="78" t="s">
        <v>25</v>
      </c>
      <c r="B21" s="78" t="s">
        <v>145</v>
      </c>
      <c r="C21" s="82">
        <v>120</v>
      </c>
      <c r="D21" s="79">
        <v>0</v>
      </c>
      <c r="E21" s="79">
        <v>1911.28</v>
      </c>
      <c r="F21" s="79">
        <f t="shared" si="0"/>
        <v>0</v>
      </c>
      <c r="G21" s="69">
        <f t="shared" ref="G21:G30" si="1">D21-E21</f>
        <v>-1911.28</v>
      </c>
      <c r="H21" s="80"/>
      <c r="I21" s="80"/>
      <c r="J21" s="80"/>
      <c r="K21" s="80"/>
    </row>
    <row r="22" spans="1:11" s="81" customFormat="1" ht="14.25" x14ac:dyDescent="0.2">
      <c r="A22" s="78" t="s">
        <v>27</v>
      </c>
      <c r="B22" s="78" t="s">
        <v>62</v>
      </c>
      <c r="C22" s="79">
        <v>0</v>
      </c>
      <c r="D22" s="79">
        <v>0</v>
      </c>
      <c r="E22" s="79">
        <v>13.94</v>
      </c>
      <c r="F22" s="79">
        <f t="shared" si="0"/>
        <v>0</v>
      </c>
      <c r="G22" s="69">
        <f t="shared" si="1"/>
        <v>-13.94</v>
      </c>
      <c r="H22" s="80"/>
      <c r="I22" s="80"/>
      <c r="J22" s="80"/>
      <c r="K22" s="80"/>
    </row>
    <row r="23" spans="1:11" s="81" customFormat="1" ht="14.25" x14ac:dyDescent="0.2">
      <c r="A23" s="78" t="s">
        <v>29</v>
      </c>
      <c r="B23" s="78" t="s">
        <v>30</v>
      </c>
      <c r="C23" s="79">
        <v>0</v>
      </c>
      <c r="D23" s="79">
        <v>0</v>
      </c>
      <c r="E23" s="79">
        <v>0</v>
      </c>
      <c r="F23" s="79">
        <v>0</v>
      </c>
      <c r="G23" s="69">
        <f t="shared" si="1"/>
        <v>0</v>
      </c>
      <c r="H23" s="80"/>
      <c r="I23" s="80"/>
      <c r="J23" s="80"/>
      <c r="K23" s="80"/>
    </row>
    <row r="24" spans="1:11" s="81" customFormat="1" ht="14.25" x14ac:dyDescent="0.2">
      <c r="A24" s="78" t="s">
        <v>31</v>
      </c>
      <c r="B24" s="78" t="s">
        <v>80</v>
      </c>
      <c r="C24" s="223">
        <v>2.2799999999999998</v>
      </c>
      <c r="D24" s="79">
        <v>124485.12</v>
      </c>
      <c r="E24" s="79">
        <v>123674.5</v>
      </c>
      <c r="F24" s="79">
        <f>F39</f>
        <v>179178.465</v>
      </c>
      <c r="G24" s="69">
        <f t="shared" si="1"/>
        <v>810.61999999999534</v>
      </c>
      <c r="H24" s="80"/>
      <c r="I24" s="80"/>
      <c r="J24" s="80"/>
      <c r="K24" s="80"/>
    </row>
    <row r="25" spans="1:11" ht="14.25" x14ac:dyDescent="0.2">
      <c r="A25" s="39" t="s">
        <v>33</v>
      </c>
      <c r="B25" s="39" t="s">
        <v>97</v>
      </c>
      <c r="C25" s="82">
        <v>0</v>
      </c>
      <c r="D25" s="69">
        <v>0</v>
      </c>
      <c r="E25" s="69">
        <v>0</v>
      </c>
      <c r="F25" s="79">
        <f>D25</f>
        <v>0</v>
      </c>
      <c r="G25" s="69">
        <f t="shared" si="1"/>
        <v>0</v>
      </c>
      <c r="H25" s="88"/>
      <c r="I25" s="88"/>
      <c r="J25" s="88"/>
      <c r="K25" s="88"/>
    </row>
    <row r="26" spans="1:11" ht="14.25" x14ac:dyDescent="0.2">
      <c r="A26" s="39" t="s">
        <v>35</v>
      </c>
      <c r="B26" s="39" t="s">
        <v>36</v>
      </c>
      <c r="C26" s="69"/>
      <c r="D26" s="69">
        <f>SUM(D27:D30)</f>
        <v>2917621.1</v>
      </c>
      <c r="E26" s="69">
        <f>SUM(E27:E30)</f>
        <v>2886082.5999999996</v>
      </c>
      <c r="F26" s="69">
        <f>SUM(F27:F30)</f>
        <v>2917621.1</v>
      </c>
      <c r="G26" s="69">
        <f t="shared" si="1"/>
        <v>31538.500000000466</v>
      </c>
      <c r="H26" s="88"/>
      <c r="I26" s="88"/>
      <c r="J26" s="88"/>
      <c r="K26" s="88"/>
    </row>
    <row r="27" spans="1:11" ht="15" x14ac:dyDescent="0.25">
      <c r="A27" s="34" t="s">
        <v>37</v>
      </c>
      <c r="B27" s="34" t="s">
        <v>101</v>
      </c>
      <c r="C27" s="89">
        <v>7.36</v>
      </c>
      <c r="D27" s="76">
        <v>56695.199999999997</v>
      </c>
      <c r="E27" s="76">
        <v>56164.62</v>
      </c>
      <c r="F27" s="76">
        <f>D27</f>
        <v>56695.199999999997</v>
      </c>
      <c r="G27" s="76">
        <f t="shared" si="1"/>
        <v>530.57999999999447</v>
      </c>
    </row>
    <row r="28" spans="1:11" ht="15" x14ac:dyDescent="0.25">
      <c r="A28" s="34" t="s">
        <v>39</v>
      </c>
      <c r="B28" s="34" t="s">
        <v>84</v>
      </c>
      <c r="C28" s="89">
        <v>88.38</v>
      </c>
      <c r="D28" s="76">
        <v>1019148.83</v>
      </c>
      <c r="E28" s="76">
        <v>992640.34</v>
      </c>
      <c r="F28" s="76">
        <f>D28</f>
        <v>1019148.83</v>
      </c>
      <c r="G28" s="76">
        <f t="shared" si="1"/>
        <v>26508.489999999991</v>
      </c>
    </row>
    <row r="29" spans="1:11" ht="15" x14ac:dyDescent="0.25">
      <c r="A29" s="34" t="s">
        <v>42</v>
      </c>
      <c r="B29" s="34" t="s">
        <v>40</v>
      </c>
      <c r="C29" s="128">
        <v>0</v>
      </c>
      <c r="D29" s="76">
        <v>0</v>
      </c>
      <c r="E29" s="76">
        <v>0</v>
      </c>
      <c r="F29" s="76">
        <f>D29</f>
        <v>0</v>
      </c>
      <c r="G29" s="76">
        <f t="shared" si="1"/>
        <v>0</v>
      </c>
    </row>
    <row r="30" spans="1:11" ht="15" x14ac:dyDescent="0.25">
      <c r="A30" s="34" t="s">
        <v>41</v>
      </c>
      <c r="B30" s="34" t="s">
        <v>43</v>
      </c>
      <c r="C30" s="89">
        <v>3352.42</v>
      </c>
      <c r="D30" s="76">
        <v>1841777.07</v>
      </c>
      <c r="E30" s="76">
        <v>1837277.64</v>
      </c>
      <c r="F30" s="76">
        <f>D30</f>
        <v>1841777.07</v>
      </c>
      <c r="G30" s="76">
        <f t="shared" si="1"/>
        <v>4499.4300000001676</v>
      </c>
    </row>
    <row r="31" spans="1:11" s="92" customFormat="1" ht="18" customHeight="1" thickBot="1" x14ac:dyDescent="0.3">
      <c r="A31" s="373"/>
      <c r="B31" s="374"/>
      <c r="C31" s="374"/>
      <c r="D31" s="375"/>
      <c r="E31" s="375"/>
      <c r="F31" s="375"/>
      <c r="G31" s="91"/>
      <c r="H31" s="91"/>
      <c r="I31" s="91"/>
    </row>
    <row r="32" spans="1:11" s="59" customFormat="1" ht="15.75" thickBot="1" x14ac:dyDescent="0.3">
      <c r="A32" s="387" t="s">
        <v>427</v>
      </c>
      <c r="B32" s="388"/>
      <c r="C32" s="388"/>
      <c r="D32" s="57">
        <v>46005.48</v>
      </c>
      <c r="E32" s="58"/>
      <c r="F32" s="58"/>
      <c r="G32" s="58"/>
      <c r="H32" s="54"/>
      <c r="I32" s="54"/>
    </row>
    <row r="33" spans="1:14" s="59" customFormat="1" ht="6" customHeight="1" thickBot="1" x14ac:dyDescent="0.3">
      <c r="A33" s="60"/>
      <c r="B33" s="60"/>
      <c r="C33" s="60"/>
      <c r="D33" s="38"/>
      <c r="E33" s="58"/>
      <c r="F33" s="58"/>
      <c r="G33" s="58"/>
      <c r="H33" s="54"/>
      <c r="I33" s="54"/>
    </row>
    <row r="34" spans="1:14" s="59" customFormat="1" ht="15.75" thickBot="1" x14ac:dyDescent="0.3">
      <c r="A34" s="55" t="s">
        <v>428</v>
      </c>
      <c r="B34" s="56"/>
      <c r="C34" s="56"/>
      <c r="D34" s="61"/>
      <c r="E34" s="62"/>
      <c r="F34" s="62"/>
      <c r="G34" s="129">
        <f>G13+E24-F24</f>
        <v>128925.91810000004</v>
      </c>
      <c r="H34" s="54"/>
      <c r="I34" s="54"/>
    </row>
    <row r="35" spans="1:14" s="92" customFormat="1" ht="13.5" x14ac:dyDescent="0.25">
      <c r="A35" s="93"/>
      <c r="B35" s="93"/>
      <c r="C35" s="93"/>
      <c r="D35" s="93"/>
      <c r="E35" s="91"/>
      <c r="F35" s="91"/>
      <c r="G35" s="91"/>
      <c r="H35" s="91"/>
      <c r="I35" s="91"/>
      <c r="J35" s="91"/>
      <c r="K35" s="91"/>
      <c r="L35" s="91"/>
      <c r="M35" s="91"/>
    </row>
    <row r="36" spans="1:14" s="92" customFormat="1" ht="27" customHeight="1" x14ac:dyDescent="0.25">
      <c r="A36" s="371" t="s">
        <v>44</v>
      </c>
      <c r="B36" s="371"/>
      <c r="C36" s="371"/>
      <c r="D36" s="371"/>
      <c r="E36" s="371"/>
      <c r="F36" s="371"/>
      <c r="G36" s="371"/>
      <c r="H36" s="371"/>
      <c r="I36" s="371"/>
      <c r="J36" s="371"/>
      <c r="K36" s="371"/>
      <c r="L36" s="91"/>
      <c r="M36" s="91"/>
    </row>
    <row r="38" spans="1:14" ht="28.5" x14ac:dyDescent="0.2">
      <c r="A38" s="94" t="s">
        <v>11</v>
      </c>
      <c r="B38" s="416" t="s">
        <v>45</v>
      </c>
      <c r="C38" s="425"/>
      <c r="D38" s="94" t="s">
        <v>99</v>
      </c>
      <c r="E38" s="94" t="s">
        <v>98</v>
      </c>
      <c r="F38" s="416" t="s">
        <v>46</v>
      </c>
      <c r="G38" s="425"/>
      <c r="H38" s="207"/>
      <c r="I38" s="208"/>
      <c r="J38" s="66"/>
      <c r="K38" s="66"/>
    </row>
    <row r="39" spans="1:14" s="66" customFormat="1" ht="15" x14ac:dyDescent="0.25">
      <c r="A39" s="98" t="s">
        <v>47</v>
      </c>
      <c r="B39" s="418" t="s">
        <v>75</v>
      </c>
      <c r="C39" s="430"/>
      <c r="D39" s="99"/>
      <c r="E39" s="99"/>
      <c r="F39" s="436">
        <f>SUM(F40:G47)</f>
        <v>179178.465</v>
      </c>
      <c r="G39" s="424"/>
      <c r="H39" s="209"/>
      <c r="I39" s="210"/>
      <c r="J39" s="103"/>
      <c r="K39" s="103"/>
      <c r="N39" s="97"/>
    </row>
    <row r="40" spans="1:14" s="51" customFormat="1" ht="15" x14ac:dyDescent="0.25">
      <c r="A40" s="34" t="s">
        <v>16</v>
      </c>
      <c r="B40" s="406" t="s">
        <v>573</v>
      </c>
      <c r="C40" s="407"/>
      <c r="D40" s="176" t="s">
        <v>100</v>
      </c>
      <c r="E40" s="176">
        <v>1</v>
      </c>
      <c r="F40" s="435">
        <v>8000</v>
      </c>
      <c r="G40" s="435"/>
    </row>
    <row r="41" spans="1:14" s="51" customFormat="1" ht="15" x14ac:dyDescent="0.25">
      <c r="A41" s="34" t="s">
        <v>18</v>
      </c>
      <c r="B41" s="406" t="s">
        <v>574</v>
      </c>
      <c r="C41" s="407"/>
      <c r="D41" s="176" t="s">
        <v>137</v>
      </c>
      <c r="E41" s="176">
        <v>0.08</v>
      </c>
      <c r="F41" s="435">
        <v>27738.25</v>
      </c>
      <c r="G41" s="435"/>
    </row>
    <row r="42" spans="1:14" s="51" customFormat="1" ht="15" x14ac:dyDescent="0.25">
      <c r="A42" s="34" t="s">
        <v>20</v>
      </c>
      <c r="B42" s="406" t="s">
        <v>575</v>
      </c>
      <c r="C42" s="407"/>
      <c r="D42" s="176" t="s">
        <v>100</v>
      </c>
      <c r="E42" s="176">
        <v>1</v>
      </c>
      <c r="F42" s="435">
        <v>93100</v>
      </c>
      <c r="G42" s="435"/>
    </row>
    <row r="43" spans="1:14" s="51" customFormat="1" ht="15" x14ac:dyDescent="0.25">
      <c r="A43" s="34" t="s">
        <v>22</v>
      </c>
      <c r="B43" s="406" t="s">
        <v>576</v>
      </c>
      <c r="C43" s="407"/>
      <c r="D43" s="176" t="s">
        <v>137</v>
      </c>
      <c r="E43" s="176">
        <v>0.04</v>
      </c>
      <c r="F43" s="435">
        <v>7489.39</v>
      </c>
      <c r="G43" s="435"/>
    </row>
    <row r="44" spans="1:14" s="51" customFormat="1" ht="15" x14ac:dyDescent="0.25">
      <c r="A44" s="34" t="s">
        <v>24</v>
      </c>
      <c r="B44" s="406" t="s">
        <v>577</v>
      </c>
      <c r="C44" s="407"/>
      <c r="D44" s="176" t="s">
        <v>137</v>
      </c>
      <c r="E44" s="176">
        <v>0.02</v>
      </c>
      <c r="F44" s="435">
        <v>6975.53</v>
      </c>
      <c r="G44" s="435"/>
    </row>
    <row r="45" spans="1:14" s="51" customFormat="1" ht="15" x14ac:dyDescent="0.25">
      <c r="A45" s="34" t="s">
        <v>73</v>
      </c>
      <c r="B45" s="406" t="s">
        <v>578</v>
      </c>
      <c r="C45" s="407"/>
      <c r="D45" s="176" t="s">
        <v>137</v>
      </c>
      <c r="E45" s="176">
        <v>4.4999999999999998E-2</v>
      </c>
      <c r="F45" s="435">
        <v>15038</v>
      </c>
      <c r="G45" s="435"/>
    </row>
    <row r="46" spans="1:14" s="51" customFormat="1" ht="15" x14ac:dyDescent="0.25">
      <c r="A46" s="34" t="s">
        <v>74</v>
      </c>
      <c r="B46" s="406" t="s">
        <v>579</v>
      </c>
      <c r="C46" s="407"/>
      <c r="D46" s="176" t="s">
        <v>103</v>
      </c>
      <c r="E46" s="176">
        <v>8.5000000000000006E-2</v>
      </c>
      <c r="F46" s="435">
        <v>19600.55</v>
      </c>
      <c r="G46" s="435"/>
    </row>
    <row r="47" spans="1:14" s="51" customFormat="1" ht="15" x14ac:dyDescent="0.25">
      <c r="A47" s="34" t="s">
        <v>81</v>
      </c>
      <c r="B47" s="458" t="s">
        <v>108</v>
      </c>
      <c r="C47" s="459"/>
      <c r="D47" s="108"/>
      <c r="E47" s="108"/>
      <c r="F47" s="435">
        <f>E24*1%</f>
        <v>1236.7450000000001</v>
      </c>
      <c r="G47" s="435"/>
      <c r="H47" s="141"/>
      <c r="I47" s="141"/>
      <c r="J47" s="141"/>
    </row>
    <row r="48" spans="1:14" s="51" customFormat="1" x14ac:dyDescent="0.2"/>
    <row r="49" spans="1:11" ht="15" x14ac:dyDescent="0.25">
      <c r="A49" s="51" t="s">
        <v>372</v>
      </c>
      <c r="B49" s="59"/>
      <c r="C49" s="110" t="s">
        <v>49</v>
      </c>
      <c r="D49" s="59"/>
      <c r="E49" s="59"/>
      <c r="F49" s="59" t="s">
        <v>60</v>
      </c>
      <c r="G49" s="59"/>
      <c r="H49" s="51"/>
      <c r="I49" s="51"/>
      <c r="J49" s="51"/>
      <c r="K49" s="51"/>
    </row>
    <row r="50" spans="1:11" ht="15" x14ac:dyDescent="0.25">
      <c r="A50" s="59"/>
      <c r="B50" s="59"/>
      <c r="C50" s="110"/>
      <c r="D50" s="59"/>
      <c r="E50" s="59"/>
      <c r="F50" s="111" t="s">
        <v>438</v>
      </c>
      <c r="G50" s="59"/>
    </row>
    <row r="51" spans="1:11" ht="15" x14ac:dyDescent="0.25">
      <c r="A51" s="59" t="s">
        <v>50</v>
      </c>
      <c r="B51" s="59"/>
      <c r="C51" s="110"/>
      <c r="D51" s="59"/>
      <c r="E51" s="59"/>
      <c r="F51" s="59"/>
      <c r="G51" s="59"/>
    </row>
    <row r="52" spans="1:11" ht="15" x14ac:dyDescent="0.25">
      <c r="A52" s="59"/>
      <c r="B52" s="59"/>
      <c r="C52" s="112" t="s">
        <v>51</v>
      </c>
      <c r="D52" s="59"/>
      <c r="E52" s="113"/>
      <c r="F52" s="113"/>
      <c r="G52" s="113"/>
    </row>
  </sheetData>
  <mergeCells count="30">
    <mergeCell ref="F44:G44"/>
    <mergeCell ref="F45:G45"/>
    <mergeCell ref="B44:C44"/>
    <mergeCell ref="B45:C45"/>
    <mergeCell ref="B46:C46"/>
    <mergeCell ref="F46:G46"/>
    <mergeCell ref="A10:K10"/>
    <mergeCell ref="A1:K1"/>
    <mergeCell ref="A2:K2"/>
    <mergeCell ref="A3:K3"/>
    <mergeCell ref="A5:K5"/>
    <mergeCell ref="A9:K9"/>
    <mergeCell ref="A11:K11"/>
    <mergeCell ref="A32:C32"/>
    <mergeCell ref="A31:F31"/>
    <mergeCell ref="B43:C43"/>
    <mergeCell ref="F41:G41"/>
    <mergeCell ref="A36:K36"/>
    <mergeCell ref="B38:C38"/>
    <mergeCell ref="F38:G38"/>
    <mergeCell ref="B47:C47"/>
    <mergeCell ref="F47:G47"/>
    <mergeCell ref="B39:C39"/>
    <mergeCell ref="F39:G39"/>
    <mergeCell ref="B40:C40"/>
    <mergeCell ref="F40:G40"/>
    <mergeCell ref="F42:G42"/>
    <mergeCell ref="F43:G43"/>
    <mergeCell ref="B41:C41"/>
    <mergeCell ref="B42:C42"/>
  </mergeCells>
  <pageMargins left="0.7" right="0.7" top="0.75" bottom="0.75" header="0.3" footer="0.3"/>
  <pageSetup paperSize="9" orientation="portrait" horizontalDpi="0" verticalDpi="0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295DEF-6607-4AD4-AAC7-96963288EFF8}">
  <sheetPr>
    <tabColor rgb="FF7030A0"/>
  </sheetPr>
  <dimension ref="A1:N51"/>
  <sheetViews>
    <sheetView topLeftCell="A37" workbookViewId="0">
      <selection activeCell="A53" sqref="A53:IV54"/>
    </sheetView>
  </sheetViews>
  <sheetFormatPr defaultRowHeight="12.75" outlineLevelRow="1" outlineLevelCol="1" x14ac:dyDescent="0.2"/>
  <cols>
    <col min="1" max="1" width="6" style="49" customWidth="1"/>
    <col min="2" max="2" width="48.140625" style="49" customWidth="1"/>
    <col min="3" max="3" width="14" style="49" customWidth="1"/>
    <col min="4" max="4" width="14.85546875" style="49" customWidth="1"/>
    <col min="5" max="6" width="13.28515625" style="49" customWidth="1"/>
    <col min="7" max="7" width="14.5703125" style="49" customWidth="1"/>
    <col min="8" max="9" width="11.5703125" style="49" hidden="1" customWidth="1" outlineLevel="1"/>
    <col min="10" max="10" width="10.140625" style="49" hidden="1" customWidth="1" outlineLevel="1"/>
    <col min="11" max="11" width="10.42578125" style="49" hidden="1" customWidth="1" outlineLevel="1"/>
    <col min="12" max="12" width="9.140625" style="49" collapsed="1"/>
    <col min="13" max="13" width="10" style="49" bestFit="1" customWidth="1"/>
    <col min="14" max="14" width="15.85546875" style="49" customWidth="1"/>
    <col min="15" max="16384" width="9.140625" style="49"/>
  </cols>
  <sheetData>
    <row r="1" spans="1:11" x14ac:dyDescent="0.2">
      <c r="A1" s="370" t="s">
        <v>0</v>
      </c>
      <c r="B1" s="370"/>
      <c r="C1" s="370"/>
      <c r="D1" s="370"/>
      <c r="E1" s="370"/>
      <c r="F1" s="370"/>
      <c r="G1" s="370"/>
      <c r="H1" s="370"/>
      <c r="I1" s="370"/>
      <c r="J1" s="370"/>
      <c r="K1" s="370"/>
    </row>
    <row r="2" spans="1:11" ht="12.75" customHeight="1" x14ac:dyDescent="0.2">
      <c r="A2" s="370" t="s">
        <v>279</v>
      </c>
      <c r="B2" s="370"/>
      <c r="C2" s="370"/>
      <c r="D2" s="370"/>
      <c r="E2" s="370"/>
      <c r="F2" s="370"/>
      <c r="G2" s="370"/>
      <c r="H2" s="370"/>
      <c r="I2" s="370"/>
      <c r="J2" s="370"/>
      <c r="K2" s="370"/>
    </row>
    <row r="3" spans="1:11" ht="13.5" customHeight="1" x14ac:dyDescent="0.2">
      <c r="A3" s="370" t="s">
        <v>426</v>
      </c>
      <c r="B3" s="370"/>
      <c r="C3" s="370"/>
      <c r="D3" s="370"/>
      <c r="E3" s="370"/>
      <c r="F3" s="370"/>
      <c r="G3" s="370"/>
      <c r="H3" s="370"/>
      <c r="I3" s="370"/>
      <c r="J3" s="370"/>
      <c r="K3" s="370"/>
    </row>
    <row r="4" spans="1:11" ht="9" customHeight="1" x14ac:dyDescent="0.2">
      <c r="A4" s="48"/>
      <c r="B4" s="48"/>
      <c r="C4" s="48"/>
      <c r="D4" s="48"/>
      <c r="E4" s="48"/>
      <c r="F4" s="48"/>
      <c r="G4" s="48"/>
      <c r="H4" s="48"/>
      <c r="I4" s="48"/>
      <c r="J4" s="48"/>
      <c r="K4" s="48"/>
    </row>
    <row r="5" spans="1:11" ht="16.5" customHeight="1" x14ac:dyDescent="0.2">
      <c r="A5" s="371" t="s">
        <v>1</v>
      </c>
      <c r="B5" s="370"/>
      <c r="C5" s="370"/>
      <c r="D5" s="370"/>
      <c r="E5" s="370"/>
      <c r="F5" s="370"/>
      <c r="G5" s="370"/>
      <c r="H5" s="370"/>
      <c r="I5" s="370"/>
      <c r="J5" s="370"/>
      <c r="K5" s="370"/>
    </row>
    <row r="7" spans="1:11" s="51" customFormat="1" ht="16.5" customHeight="1" x14ac:dyDescent="0.2">
      <c r="A7" s="51" t="s">
        <v>2</v>
      </c>
      <c r="F7" s="52" t="s">
        <v>374</v>
      </c>
      <c r="H7" s="52"/>
    </row>
    <row r="8" spans="1:11" s="51" customFormat="1" x14ac:dyDescent="0.2">
      <c r="A8" s="51" t="s">
        <v>3</v>
      </c>
      <c r="F8" s="242" t="s">
        <v>389</v>
      </c>
      <c r="H8" s="206"/>
      <c r="I8" s="214"/>
      <c r="J8" s="304"/>
    </row>
    <row r="9" spans="1:11" s="51" customFormat="1" x14ac:dyDescent="0.2">
      <c r="B9" s="51" t="s">
        <v>252</v>
      </c>
      <c r="F9" s="242" t="s">
        <v>390</v>
      </c>
      <c r="H9" s="231">
        <f>226.4+42</f>
        <v>268.39999999999998</v>
      </c>
      <c r="I9" s="51">
        <f>J9-H9</f>
        <v>253.89999999999998</v>
      </c>
      <c r="J9" s="276">
        <v>522.29999999999995</v>
      </c>
    </row>
    <row r="10" spans="1:11" s="51" customFormat="1" x14ac:dyDescent="0.2">
      <c r="A10" s="372" t="s">
        <v>8</v>
      </c>
      <c r="B10" s="372"/>
      <c r="C10" s="372"/>
      <c r="D10" s="372"/>
      <c r="E10" s="372"/>
      <c r="F10" s="372"/>
      <c r="G10" s="372"/>
      <c r="H10" s="372"/>
      <c r="I10" s="372"/>
      <c r="J10" s="372"/>
      <c r="K10" s="372"/>
    </row>
    <row r="11" spans="1:11" s="51" customFormat="1" x14ac:dyDescent="0.2">
      <c r="A11" s="372" t="s">
        <v>9</v>
      </c>
      <c r="B11" s="372"/>
      <c r="C11" s="372"/>
      <c r="D11" s="372"/>
      <c r="E11" s="372"/>
      <c r="F11" s="372"/>
      <c r="G11" s="372"/>
      <c r="H11" s="372"/>
      <c r="I11" s="372"/>
      <c r="J11" s="372"/>
      <c r="K11" s="372"/>
    </row>
    <row r="12" spans="1:11" s="51" customFormat="1" x14ac:dyDescent="0.2">
      <c r="A12" s="372" t="s">
        <v>10</v>
      </c>
      <c r="B12" s="372"/>
      <c r="C12" s="372"/>
      <c r="D12" s="372"/>
      <c r="E12" s="372"/>
      <c r="F12" s="372"/>
      <c r="G12" s="372"/>
      <c r="H12" s="372"/>
      <c r="I12" s="372"/>
      <c r="J12" s="372"/>
      <c r="K12" s="372"/>
    </row>
    <row r="13" spans="1:11" s="59" customFormat="1" ht="6" customHeight="1" thickBot="1" x14ac:dyDescent="0.3">
      <c r="A13" s="60"/>
      <c r="B13" s="60"/>
      <c r="C13" s="60"/>
      <c r="D13" s="38"/>
      <c r="E13" s="58"/>
      <c r="F13" s="58"/>
      <c r="G13" s="58"/>
      <c r="H13" s="54"/>
      <c r="I13" s="54"/>
    </row>
    <row r="14" spans="1:11" s="59" customFormat="1" ht="15.75" thickBot="1" x14ac:dyDescent="0.3">
      <c r="A14" s="217" t="s">
        <v>381</v>
      </c>
      <c r="B14" s="218"/>
      <c r="C14" s="218"/>
      <c r="D14" s="61"/>
      <c r="E14" s="62"/>
      <c r="F14" s="62"/>
      <c r="G14" s="57">
        <f>'[1]Суворова 119 дробь 38'!$G$35</f>
        <v>28759.226699999999</v>
      </c>
      <c r="H14" s="54"/>
      <c r="I14" s="54"/>
    </row>
    <row r="15" spans="1:11" s="51" customFormat="1" ht="6.75" customHeight="1" x14ac:dyDescent="0.2"/>
    <row r="16" spans="1:11" s="66" customFormat="1" ht="38.25" x14ac:dyDescent="0.25">
      <c r="A16" s="64" t="s">
        <v>11</v>
      </c>
      <c r="B16" s="64" t="s">
        <v>12</v>
      </c>
      <c r="C16" s="64" t="s">
        <v>61</v>
      </c>
      <c r="D16" s="64" t="s">
        <v>432</v>
      </c>
      <c r="E16" s="64" t="s">
        <v>433</v>
      </c>
      <c r="F16" s="65" t="s">
        <v>434</v>
      </c>
      <c r="G16" s="64" t="s">
        <v>435</v>
      </c>
    </row>
    <row r="17" spans="1:14" s="51" customFormat="1" ht="14.25" x14ac:dyDescent="0.2">
      <c r="A17" s="67" t="s">
        <v>14</v>
      </c>
      <c r="B17" s="39" t="s">
        <v>379</v>
      </c>
      <c r="C17" s="87">
        <v>20.66</v>
      </c>
      <c r="D17" s="68">
        <v>57584.52</v>
      </c>
      <c r="E17" s="68">
        <v>39775.68</v>
      </c>
      <c r="F17" s="68">
        <f t="shared" ref="F17:F24" si="0">D17</f>
        <v>57584.52</v>
      </c>
      <c r="G17" s="69">
        <f>D17-E17</f>
        <v>17808.839999999997</v>
      </c>
      <c r="H17" s="70">
        <f>C17</f>
        <v>20.66</v>
      </c>
      <c r="I17" s="71"/>
      <c r="J17" s="71"/>
      <c r="K17" s="71"/>
      <c r="M17" s="70"/>
      <c r="N17" s="72"/>
    </row>
    <row r="18" spans="1:14" s="51" customFormat="1" ht="15" hidden="1" outlineLevel="1" x14ac:dyDescent="0.25">
      <c r="A18" s="73" t="s">
        <v>16</v>
      </c>
      <c r="B18" s="34" t="s">
        <v>17</v>
      </c>
      <c r="C18" s="74">
        <v>3.46</v>
      </c>
      <c r="D18" s="75">
        <f>D17*I18</f>
        <v>9643.874114230397</v>
      </c>
      <c r="E18" s="75">
        <f>E17*I18</f>
        <v>6661.3675121006781</v>
      </c>
      <c r="F18" s="75">
        <f t="shared" si="0"/>
        <v>9643.874114230397</v>
      </c>
      <c r="G18" s="76">
        <f>D18-E18</f>
        <v>2982.5066021297189</v>
      </c>
      <c r="H18" s="70">
        <f>C18</f>
        <v>3.46</v>
      </c>
      <c r="I18" s="51">
        <f>H18/H17</f>
        <v>0.16747337850919652</v>
      </c>
    </row>
    <row r="19" spans="1:14" s="51" customFormat="1" ht="15" hidden="1" outlineLevel="1" x14ac:dyDescent="0.25">
      <c r="A19" s="73" t="s">
        <v>18</v>
      </c>
      <c r="B19" s="34" t="s">
        <v>19</v>
      </c>
      <c r="C19" s="77">
        <v>1.69</v>
      </c>
      <c r="D19" s="75">
        <f>D17*I19</f>
        <v>4710.4471829622453</v>
      </c>
      <c r="E19" s="75">
        <f>E17*I19</f>
        <v>3253.6737270087124</v>
      </c>
      <c r="F19" s="75">
        <f t="shared" si="0"/>
        <v>4710.4471829622453</v>
      </c>
      <c r="G19" s="76">
        <f>D19-E19</f>
        <v>1456.7734559535329</v>
      </c>
      <c r="H19" s="70">
        <f>C19</f>
        <v>1.69</v>
      </c>
      <c r="I19" s="51">
        <f>H19/H17</f>
        <v>8.1800580832526615E-2</v>
      </c>
    </row>
    <row r="20" spans="1:14" s="51" customFormat="1" ht="15" hidden="1" outlineLevel="1" x14ac:dyDescent="0.25">
      <c r="A20" s="73" t="s">
        <v>20</v>
      </c>
      <c r="B20" s="34" t="s">
        <v>21</v>
      </c>
      <c r="C20" s="77">
        <v>1.69</v>
      </c>
      <c r="D20" s="75">
        <f>D17*I20</f>
        <v>4710.4471829622453</v>
      </c>
      <c r="E20" s="75">
        <f>E17*I20</f>
        <v>3253.6737270087124</v>
      </c>
      <c r="F20" s="75">
        <f t="shared" si="0"/>
        <v>4710.4471829622453</v>
      </c>
      <c r="G20" s="76">
        <f>D20-E20</f>
        <v>1456.7734559535329</v>
      </c>
      <c r="H20" s="70">
        <f>C20</f>
        <v>1.69</v>
      </c>
      <c r="I20" s="51">
        <f>H20/H17</f>
        <v>8.1800580832526615E-2</v>
      </c>
    </row>
    <row r="21" spans="1:14" s="51" customFormat="1" ht="15" hidden="1" outlineLevel="1" x14ac:dyDescent="0.25">
      <c r="A21" s="73" t="s">
        <v>22</v>
      </c>
      <c r="B21" s="34" t="s">
        <v>23</v>
      </c>
      <c r="C21" s="74">
        <v>3.04</v>
      </c>
      <c r="D21" s="75">
        <f>D17*I21</f>
        <v>8473.2304356243949</v>
      </c>
      <c r="E21" s="75">
        <f>E17*I21</f>
        <v>5852.7622071636015</v>
      </c>
      <c r="F21" s="75">
        <f t="shared" si="0"/>
        <v>8473.2304356243949</v>
      </c>
      <c r="G21" s="76">
        <f>D21-E21</f>
        <v>2620.4682284607934</v>
      </c>
      <c r="H21" s="70">
        <f>C21</f>
        <v>3.04</v>
      </c>
      <c r="I21" s="51">
        <f>H21/H17</f>
        <v>0.14714424007744434</v>
      </c>
    </row>
    <row r="22" spans="1:14" s="81" customFormat="1" ht="14.25" collapsed="1" x14ac:dyDescent="0.2">
      <c r="A22" s="78" t="s">
        <v>25</v>
      </c>
      <c r="B22" s="78" t="s">
        <v>26</v>
      </c>
      <c r="C22" s="43">
        <v>0</v>
      </c>
      <c r="D22" s="79">
        <v>0</v>
      </c>
      <c r="E22" s="79">
        <v>0</v>
      </c>
      <c r="F22" s="79">
        <v>0</v>
      </c>
      <c r="G22" s="69">
        <f t="shared" ref="G22:G32" si="1">D22-E22</f>
        <v>0</v>
      </c>
      <c r="H22" s="80"/>
      <c r="I22" s="80"/>
      <c r="J22" s="80"/>
      <c r="K22" s="80"/>
    </row>
    <row r="23" spans="1:14" s="81" customFormat="1" ht="14.25" x14ac:dyDescent="0.2">
      <c r="A23" s="78" t="s">
        <v>27</v>
      </c>
      <c r="B23" s="78" t="s">
        <v>129</v>
      </c>
      <c r="C23" s="43">
        <v>0</v>
      </c>
      <c r="D23" s="79">
        <v>0</v>
      </c>
      <c r="E23" s="79">
        <v>0</v>
      </c>
      <c r="F23" s="79">
        <f t="shared" si="0"/>
        <v>0</v>
      </c>
      <c r="G23" s="69">
        <f t="shared" si="1"/>
        <v>0</v>
      </c>
      <c r="H23" s="80"/>
      <c r="I23" s="80"/>
      <c r="J23" s="80"/>
      <c r="K23" s="80"/>
    </row>
    <row r="24" spans="1:14" s="81" customFormat="1" ht="14.25" x14ac:dyDescent="0.2">
      <c r="A24" s="78" t="s">
        <v>29</v>
      </c>
      <c r="B24" s="78" t="s">
        <v>30</v>
      </c>
      <c r="C24" s="43">
        <v>0</v>
      </c>
      <c r="D24" s="79">
        <v>0</v>
      </c>
      <c r="E24" s="79">
        <v>0</v>
      </c>
      <c r="F24" s="79">
        <f t="shared" si="0"/>
        <v>0</v>
      </c>
      <c r="G24" s="69">
        <f t="shared" si="1"/>
        <v>0</v>
      </c>
      <c r="H24" s="80"/>
      <c r="I24" s="80"/>
      <c r="J24" s="80"/>
      <c r="K24" s="80"/>
    </row>
    <row r="25" spans="1:14" s="81" customFormat="1" ht="14.25" x14ac:dyDescent="0.2">
      <c r="A25" s="78" t="s">
        <v>31</v>
      </c>
      <c r="B25" s="78" t="s">
        <v>80</v>
      </c>
      <c r="C25" s="86">
        <v>2.04</v>
      </c>
      <c r="D25" s="79">
        <f>6215.4+D26</f>
        <v>12785.83</v>
      </c>
      <c r="E25" s="79">
        <f>4307.93+E26</f>
        <v>10878.36</v>
      </c>
      <c r="F25" s="79">
        <f>F42</f>
        <v>108.78360000000001</v>
      </c>
      <c r="G25" s="69">
        <f>D25-E25</f>
        <v>1907.4699999999993</v>
      </c>
      <c r="H25" s="80"/>
      <c r="I25" s="80"/>
      <c r="J25" s="80"/>
      <c r="K25" s="80"/>
    </row>
    <row r="26" spans="1:14" s="81" customFormat="1" ht="14.25" x14ac:dyDescent="0.2">
      <c r="A26" s="78"/>
      <c r="B26" s="292" t="s">
        <v>244</v>
      </c>
      <c r="C26" s="293"/>
      <c r="D26" s="294">
        <f>5542.27+1028.16</f>
        <v>6570.43</v>
      </c>
      <c r="E26" s="294">
        <f>5542.27+1028.16</f>
        <v>6570.43</v>
      </c>
      <c r="F26" s="294"/>
      <c r="G26" s="248">
        <f>D26-E26</f>
        <v>0</v>
      </c>
      <c r="H26" s="80"/>
      <c r="I26" s="80"/>
      <c r="J26" s="80"/>
      <c r="K26" s="80"/>
    </row>
    <row r="27" spans="1:14" ht="14.25" x14ac:dyDescent="0.2">
      <c r="A27" s="39" t="s">
        <v>33</v>
      </c>
      <c r="B27" s="39" t="s">
        <v>97</v>
      </c>
      <c r="C27" s="87">
        <v>0</v>
      </c>
      <c r="D27" s="82">
        <v>0</v>
      </c>
      <c r="E27" s="82">
        <v>0</v>
      </c>
      <c r="F27" s="82">
        <f>D27</f>
        <v>0</v>
      </c>
      <c r="G27" s="69">
        <f t="shared" si="1"/>
        <v>0</v>
      </c>
      <c r="H27" s="88"/>
      <c r="I27" s="88"/>
      <c r="J27" s="88"/>
      <c r="K27" s="88"/>
    </row>
    <row r="28" spans="1:14" ht="14.25" x14ac:dyDescent="0.2">
      <c r="A28" s="39" t="s">
        <v>35</v>
      </c>
      <c r="B28" s="39" t="s">
        <v>36</v>
      </c>
      <c r="C28" s="87"/>
      <c r="D28" s="69">
        <f>SUM(D29:D32)</f>
        <v>49462.32</v>
      </c>
      <c r="E28" s="69">
        <f>SUM(E29:E32)</f>
        <v>45742.37</v>
      </c>
      <c r="F28" s="69">
        <f>SUM(F29:F32)</f>
        <v>49462.32</v>
      </c>
      <c r="G28" s="69">
        <f t="shared" si="1"/>
        <v>3719.9499999999971</v>
      </c>
      <c r="H28" s="88"/>
      <c r="I28" s="88"/>
      <c r="J28" s="88"/>
      <c r="K28" s="88"/>
    </row>
    <row r="29" spans="1:14" ht="15" x14ac:dyDescent="0.25">
      <c r="A29" s="34" t="s">
        <v>37</v>
      </c>
      <c r="B29" s="34" t="s">
        <v>101</v>
      </c>
      <c r="C29" s="89">
        <v>7.36</v>
      </c>
      <c r="D29" s="76">
        <v>4978.2</v>
      </c>
      <c r="E29" s="76">
        <v>4415.47</v>
      </c>
      <c r="F29" s="76">
        <f>D29</f>
        <v>4978.2</v>
      </c>
      <c r="G29" s="76">
        <f t="shared" si="1"/>
        <v>562.72999999999956</v>
      </c>
    </row>
    <row r="30" spans="1:14" ht="15" x14ac:dyDescent="0.25">
      <c r="A30" s="34" t="s">
        <v>39</v>
      </c>
      <c r="B30" s="34" t="s">
        <v>84</v>
      </c>
      <c r="C30" s="89">
        <v>88.38</v>
      </c>
      <c r="D30" s="76">
        <v>44484.12</v>
      </c>
      <c r="E30" s="76">
        <v>41326.9</v>
      </c>
      <c r="F30" s="76">
        <f>D30</f>
        <v>44484.12</v>
      </c>
      <c r="G30" s="76">
        <f t="shared" si="1"/>
        <v>3157.2200000000012</v>
      </c>
    </row>
    <row r="31" spans="1:14" ht="15" x14ac:dyDescent="0.25">
      <c r="A31" s="34" t="s">
        <v>42</v>
      </c>
      <c r="B31" s="34" t="s">
        <v>135</v>
      </c>
      <c r="C31" s="128">
        <v>0</v>
      </c>
      <c r="D31" s="188">
        <v>0</v>
      </c>
      <c r="E31" s="188">
        <v>0</v>
      </c>
      <c r="F31" s="76">
        <f>D31</f>
        <v>0</v>
      </c>
      <c r="G31" s="76">
        <f t="shared" si="1"/>
        <v>0</v>
      </c>
    </row>
    <row r="32" spans="1:14" ht="15" x14ac:dyDescent="0.25">
      <c r="A32" s="34" t="s">
        <v>41</v>
      </c>
      <c r="B32" s="34" t="s">
        <v>43</v>
      </c>
      <c r="C32" s="89">
        <v>0</v>
      </c>
      <c r="D32" s="76">
        <v>0</v>
      </c>
      <c r="E32" s="76">
        <v>0</v>
      </c>
      <c r="F32" s="76">
        <f>D32</f>
        <v>0</v>
      </c>
      <c r="G32" s="76">
        <f t="shared" si="1"/>
        <v>0</v>
      </c>
    </row>
    <row r="33" spans="1:12" s="92" customFormat="1" ht="15" customHeight="1" thickBot="1" x14ac:dyDescent="0.3">
      <c r="A33" s="373"/>
      <c r="B33" s="374"/>
      <c r="C33" s="374"/>
      <c r="D33" s="375"/>
      <c r="E33" s="375"/>
      <c r="F33" s="375"/>
      <c r="G33" s="91"/>
      <c r="H33" s="91"/>
      <c r="I33" s="91"/>
    </row>
    <row r="34" spans="1:12" s="59" customFormat="1" ht="15.75" thickBot="1" x14ac:dyDescent="0.3">
      <c r="A34" s="387" t="s">
        <v>427</v>
      </c>
      <c r="B34" s="388"/>
      <c r="C34" s="388"/>
      <c r="D34" s="57">
        <v>23436.26</v>
      </c>
      <c r="E34" s="58"/>
      <c r="F34" s="58"/>
      <c r="G34" s="58"/>
      <c r="H34" s="54"/>
      <c r="I34" s="54"/>
    </row>
    <row r="35" spans="1:12" s="59" customFormat="1" ht="15.75" thickBot="1" x14ac:dyDescent="0.3">
      <c r="A35" s="55" t="s">
        <v>428</v>
      </c>
      <c r="B35" s="56"/>
      <c r="C35" s="56"/>
      <c r="D35" s="61"/>
      <c r="E35" s="62"/>
      <c r="F35" s="62"/>
      <c r="G35" s="129">
        <f>G14+E25-F25</f>
        <v>39528.803099999997</v>
      </c>
      <c r="H35" s="54"/>
      <c r="I35" s="54"/>
      <c r="K35" s="130"/>
    </row>
    <row r="36" spans="1:12" s="59" customFormat="1" ht="15" x14ac:dyDescent="0.25">
      <c r="A36" s="555" t="s">
        <v>134</v>
      </c>
      <c r="B36" s="558"/>
      <c r="C36" s="363"/>
      <c r="D36" s="363"/>
      <c r="E36" s="364"/>
      <c r="F36" s="364"/>
      <c r="G36" s="38"/>
      <c r="H36" s="54"/>
      <c r="I36" s="54"/>
      <c r="K36" s="130"/>
    </row>
    <row r="37" spans="1:12" s="59" customFormat="1" ht="15" x14ac:dyDescent="0.25">
      <c r="A37" s="465" t="s">
        <v>91</v>
      </c>
      <c r="B37" s="465"/>
      <c r="C37" s="41" t="s">
        <v>92</v>
      </c>
      <c r="D37" s="41" t="s">
        <v>93</v>
      </c>
      <c r="E37" s="42" t="s">
        <v>94</v>
      </c>
      <c r="F37" s="40" t="s">
        <v>95</v>
      </c>
      <c r="G37" s="327" t="s">
        <v>387</v>
      </c>
      <c r="H37" s="54"/>
      <c r="I37" s="54">
        <f>42*H38*3</f>
        <v>2860.2</v>
      </c>
      <c r="K37" s="130"/>
    </row>
    <row r="38" spans="1:12" s="59" customFormat="1" ht="15" x14ac:dyDescent="0.25">
      <c r="A38" s="465"/>
      <c r="B38" s="465"/>
      <c r="C38" s="342">
        <f>226.4+42</f>
        <v>268.39999999999998</v>
      </c>
      <c r="D38" s="138">
        <f>E38/C38/12</f>
        <v>22.894523099850968</v>
      </c>
      <c r="E38" s="358">
        <f>12067.32+61671.36</f>
        <v>73738.679999999993</v>
      </c>
      <c r="F38" s="358">
        <f>12067.32+61671.36</f>
        <v>73738.679999999993</v>
      </c>
      <c r="G38" s="327">
        <f>F38-E38</f>
        <v>0</v>
      </c>
      <c r="H38" s="335">
        <f>C17+C25</f>
        <v>22.7</v>
      </c>
      <c r="I38" s="54">
        <f>226.4*H38*3</f>
        <v>15417.84</v>
      </c>
      <c r="J38" s="59">
        <f>41648.52+8149.44</f>
        <v>49797.96</v>
      </c>
      <c r="K38" s="130">
        <f>37043.52+6190.5</f>
        <v>43234.02</v>
      </c>
    </row>
    <row r="39" spans="1:12" ht="31.5" customHeight="1" x14ac:dyDescent="0.2">
      <c r="A39" s="371" t="s">
        <v>106</v>
      </c>
      <c r="B39" s="371"/>
      <c r="C39" s="371"/>
      <c r="D39" s="371"/>
      <c r="E39" s="371"/>
      <c r="F39" s="371"/>
      <c r="G39" s="371"/>
      <c r="H39" s="371"/>
      <c r="I39" s="371"/>
      <c r="J39" s="371"/>
      <c r="K39" s="371"/>
    </row>
    <row r="41" spans="1:12" s="66" customFormat="1" ht="37.5" customHeight="1" x14ac:dyDescent="0.2">
      <c r="A41" s="94" t="s">
        <v>11</v>
      </c>
      <c r="B41" s="416" t="s">
        <v>45</v>
      </c>
      <c r="C41" s="425"/>
      <c r="D41" s="94" t="s">
        <v>99</v>
      </c>
      <c r="E41" s="94" t="s">
        <v>98</v>
      </c>
      <c r="F41" s="550" t="s">
        <v>46</v>
      </c>
      <c r="G41" s="550"/>
      <c r="H41" s="95"/>
      <c r="I41" s="96"/>
      <c r="L41" s="97"/>
    </row>
    <row r="42" spans="1:12" s="103" customFormat="1" ht="15" customHeight="1" x14ac:dyDescent="0.25">
      <c r="A42" s="98" t="s">
        <v>47</v>
      </c>
      <c r="B42" s="418" t="s">
        <v>75</v>
      </c>
      <c r="C42" s="430"/>
      <c r="D42" s="99"/>
      <c r="E42" s="99"/>
      <c r="F42" s="548">
        <f>SUM(F43:G45)</f>
        <v>108.78360000000001</v>
      </c>
      <c r="G42" s="549"/>
      <c r="H42" s="101"/>
      <c r="I42" s="102"/>
      <c r="L42" s="104"/>
    </row>
    <row r="43" spans="1:12" ht="15" x14ac:dyDescent="0.25">
      <c r="A43" s="34" t="s">
        <v>16</v>
      </c>
      <c r="B43" s="412"/>
      <c r="C43" s="413"/>
      <c r="D43" s="260"/>
      <c r="E43" s="260"/>
      <c r="F43" s="463"/>
      <c r="G43" s="463"/>
      <c r="H43" s="38"/>
      <c r="I43" s="38"/>
      <c r="L43" s="106"/>
    </row>
    <row r="44" spans="1:12" ht="15" x14ac:dyDescent="0.25">
      <c r="A44" s="34" t="s">
        <v>18</v>
      </c>
      <c r="B44" s="412"/>
      <c r="C44" s="517"/>
      <c r="D44" s="258"/>
      <c r="E44" s="258"/>
      <c r="F44" s="463"/>
      <c r="G44" s="463"/>
      <c r="H44" s="38"/>
      <c r="I44" s="38"/>
      <c r="L44" s="106"/>
    </row>
    <row r="45" spans="1:12" s="59" customFormat="1" ht="15" x14ac:dyDescent="0.25">
      <c r="A45" s="34" t="s">
        <v>20</v>
      </c>
      <c r="B45" s="458" t="s">
        <v>108</v>
      </c>
      <c r="C45" s="459"/>
      <c r="D45" s="108"/>
      <c r="E45" s="108"/>
      <c r="F45" s="435">
        <f>E25*1%</f>
        <v>108.78360000000001</v>
      </c>
      <c r="G45" s="435"/>
      <c r="H45" s="51"/>
      <c r="I45" s="51"/>
      <c r="J45" s="51"/>
      <c r="K45" s="51"/>
    </row>
    <row r="46" spans="1:12" s="51" customFormat="1" ht="9" customHeight="1" x14ac:dyDescent="0.25">
      <c r="A46" s="153"/>
      <c r="B46" s="163"/>
      <c r="C46" s="163"/>
      <c r="D46" s="191"/>
      <c r="E46" s="191"/>
      <c r="F46" s="164"/>
      <c r="G46" s="164"/>
    </row>
    <row r="47" spans="1:12" s="51" customFormat="1" ht="15" x14ac:dyDescent="0.25">
      <c r="A47" s="51" t="s">
        <v>372</v>
      </c>
      <c r="B47" s="59"/>
      <c r="C47" s="110" t="s">
        <v>49</v>
      </c>
      <c r="D47" s="59"/>
      <c r="E47" s="59"/>
      <c r="F47" s="59" t="s">
        <v>60</v>
      </c>
      <c r="G47" s="59"/>
      <c r="H47" s="59"/>
      <c r="I47" s="59"/>
      <c r="J47" s="59"/>
      <c r="K47" s="59"/>
    </row>
    <row r="48" spans="1:12" s="51" customFormat="1" ht="15" x14ac:dyDescent="0.25">
      <c r="A48" s="59"/>
      <c r="B48" s="59"/>
      <c r="C48" s="110"/>
      <c r="D48" s="59"/>
      <c r="E48" s="59"/>
      <c r="F48" s="111" t="s">
        <v>438</v>
      </c>
      <c r="G48" s="59"/>
    </row>
    <row r="49" spans="1:11" s="51" customFormat="1" ht="15" x14ac:dyDescent="0.25">
      <c r="A49" s="59" t="s">
        <v>50</v>
      </c>
      <c r="B49" s="59"/>
      <c r="C49" s="110"/>
      <c r="D49" s="59"/>
      <c r="E49" s="59"/>
      <c r="F49" s="59"/>
      <c r="G49" s="59"/>
      <c r="H49" s="141"/>
      <c r="I49" s="141"/>
      <c r="J49" s="141"/>
    </row>
    <row r="50" spans="1:11" ht="15" x14ac:dyDescent="0.25">
      <c r="A50" s="59"/>
      <c r="B50" s="59"/>
      <c r="C50" s="112" t="s">
        <v>51</v>
      </c>
      <c r="D50" s="59"/>
      <c r="E50" s="113"/>
      <c r="F50" s="113"/>
      <c r="G50" s="113"/>
      <c r="H50" s="51"/>
      <c r="I50" s="51"/>
      <c r="J50" s="51"/>
      <c r="K50" s="51"/>
    </row>
    <row r="51" spans="1:11" x14ac:dyDescent="0.2">
      <c r="A51" s="51"/>
      <c r="B51" s="51"/>
      <c r="C51" s="51"/>
      <c r="D51" s="51"/>
      <c r="E51" s="51"/>
      <c r="F51" s="51"/>
      <c r="G51" s="51"/>
      <c r="H51" s="51"/>
      <c r="I51" s="51"/>
      <c r="J51" s="51"/>
      <c r="K51" s="51"/>
    </row>
  </sheetData>
  <mergeCells count="22">
    <mergeCell ref="B45:C45"/>
    <mergeCell ref="F45:G45"/>
    <mergeCell ref="B42:C42"/>
    <mergeCell ref="F42:G42"/>
    <mergeCell ref="B43:C43"/>
    <mergeCell ref="F43:G43"/>
    <mergeCell ref="F44:G44"/>
    <mergeCell ref="B44:C44"/>
    <mergeCell ref="A12:K12"/>
    <mergeCell ref="A34:C34"/>
    <mergeCell ref="A39:K39"/>
    <mergeCell ref="B41:C41"/>
    <mergeCell ref="F41:G41"/>
    <mergeCell ref="A33:F33"/>
    <mergeCell ref="A36:B36"/>
    <mergeCell ref="A37:B38"/>
    <mergeCell ref="A1:K1"/>
    <mergeCell ref="A2:K2"/>
    <mergeCell ref="A3:K3"/>
    <mergeCell ref="A5:K5"/>
    <mergeCell ref="A10:K10"/>
    <mergeCell ref="A11:K11"/>
  </mergeCells>
  <pageMargins left="0.7" right="0.7" top="0.75" bottom="0.75" header="0.3" footer="0.3"/>
  <pageSetup paperSize="9" orientation="portrait" verticalDpi="0" r:id="rId1"/>
  <drawing r:id="rId2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CFEF51-E4E4-4569-A44C-13D5279549ED}">
  <sheetPr>
    <tabColor rgb="FF7030A0"/>
  </sheetPr>
  <dimension ref="A1:O49"/>
  <sheetViews>
    <sheetView topLeftCell="A27" workbookViewId="0">
      <selection activeCell="A51" sqref="A51:IV52"/>
    </sheetView>
  </sheetViews>
  <sheetFormatPr defaultRowHeight="12.75" outlineLevelRow="1" outlineLevelCol="1" x14ac:dyDescent="0.2"/>
  <cols>
    <col min="1" max="1" width="6" style="49" customWidth="1"/>
    <col min="2" max="2" width="48.140625" style="49" customWidth="1"/>
    <col min="3" max="3" width="14" style="49" customWidth="1"/>
    <col min="4" max="4" width="14.85546875" style="49" customWidth="1"/>
    <col min="5" max="6" width="13.28515625" style="49" customWidth="1"/>
    <col min="7" max="7" width="14.5703125" style="49" customWidth="1"/>
    <col min="8" max="10" width="11.5703125" style="49" hidden="1" customWidth="1" outlineLevel="1"/>
    <col min="11" max="11" width="10.140625" style="49" hidden="1" customWidth="1" outlineLevel="1"/>
    <col min="12" max="12" width="10.42578125" style="49" customWidth="1" collapsed="1"/>
    <col min="13" max="13" width="9.140625" style="49"/>
    <col min="14" max="14" width="10" style="49" bestFit="1" customWidth="1"/>
    <col min="15" max="15" width="15.85546875" style="49" customWidth="1"/>
    <col min="16" max="16384" width="9.140625" style="49"/>
  </cols>
  <sheetData>
    <row r="1" spans="1:15" x14ac:dyDescent="0.2">
      <c r="A1" s="370" t="s">
        <v>0</v>
      </c>
      <c r="B1" s="370"/>
      <c r="C1" s="370"/>
      <c r="D1" s="370"/>
      <c r="E1" s="370"/>
      <c r="F1" s="370"/>
      <c r="G1" s="370"/>
      <c r="H1" s="370"/>
      <c r="I1" s="370"/>
      <c r="J1" s="370"/>
      <c r="K1" s="370"/>
      <c r="L1" s="370"/>
    </row>
    <row r="2" spans="1:15" x14ac:dyDescent="0.2">
      <c r="A2" s="370" t="s">
        <v>152</v>
      </c>
      <c r="B2" s="370"/>
      <c r="C2" s="370"/>
      <c r="D2" s="370"/>
      <c r="E2" s="370"/>
      <c r="F2" s="370"/>
      <c r="G2" s="370"/>
      <c r="H2" s="370"/>
      <c r="I2" s="370"/>
      <c r="J2" s="370"/>
      <c r="K2" s="370"/>
      <c r="L2" s="370"/>
    </row>
    <row r="3" spans="1:15" ht="13.5" customHeight="1" x14ac:dyDescent="0.2">
      <c r="A3" s="370" t="s">
        <v>426</v>
      </c>
      <c r="B3" s="370"/>
      <c r="C3" s="370"/>
      <c r="D3" s="370"/>
      <c r="E3" s="370"/>
      <c r="F3" s="370"/>
      <c r="G3" s="370"/>
      <c r="H3" s="370"/>
      <c r="I3" s="370"/>
      <c r="J3" s="370"/>
      <c r="K3" s="370"/>
      <c r="L3" s="370"/>
    </row>
    <row r="4" spans="1:15" ht="9" customHeight="1" x14ac:dyDescent="0.2">
      <c r="A4" s="48"/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</row>
    <row r="5" spans="1:15" ht="16.5" customHeight="1" x14ac:dyDescent="0.2">
      <c r="A5" s="371" t="s">
        <v>1</v>
      </c>
      <c r="B5" s="370"/>
      <c r="C5" s="370"/>
      <c r="D5" s="370"/>
      <c r="E5" s="370"/>
      <c r="F5" s="370"/>
      <c r="G5" s="370"/>
      <c r="H5" s="370"/>
      <c r="I5" s="370"/>
      <c r="J5" s="370"/>
      <c r="K5" s="370"/>
      <c r="L5" s="370"/>
    </row>
    <row r="7" spans="1:15" s="51" customFormat="1" ht="16.5" customHeight="1" x14ac:dyDescent="0.2">
      <c r="A7" s="51" t="s">
        <v>2</v>
      </c>
      <c r="F7" s="52" t="s">
        <v>328</v>
      </c>
      <c r="H7" s="52"/>
      <c r="I7" s="52"/>
    </row>
    <row r="8" spans="1:15" s="51" customFormat="1" x14ac:dyDescent="0.2">
      <c r="A8" s="51" t="s">
        <v>3</v>
      </c>
      <c r="F8" s="242" t="s">
        <v>329</v>
      </c>
      <c r="H8" s="52"/>
      <c r="I8" s="231">
        <v>0</v>
      </c>
      <c r="J8" s="53">
        <v>2888.9</v>
      </c>
      <c r="K8" s="304">
        <f>H8+J8</f>
        <v>2888.9</v>
      </c>
    </row>
    <row r="9" spans="1:15" s="51" customFormat="1" x14ac:dyDescent="0.2">
      <c r="A9" s="372" t="s">
        <v>8</v>
      </c>
      <c r="B9" s="372"/>
      <c r="C9" s="372"/>
      <c r="D9" s="372"/>
      <c r="E9" s="372"/>
      <c r="F9" s="372"/>
      <c r="G9" s="372"/>
      <c r="H9" s="372"/>
      <c r="I9" s="372"/>
      <c r="J9" s="372"/>
      <c r="K9" s="372"/>
      <c r="L9" s="372"/>
    </row>
    <row r="10" spans="1:15" s="51" customFormat="1" x14ac:dyDescent="0.2">
      <c r="A10" s="372" t="s">
        <v>9</v>
      </c>
      <c r="B10" s="372"/>
      <c r="C10" s="372"/>
      <c r="D10" s="372"/>
      <c r="E10" s="372"/>
      <c r="F10" s="372"/>
      <c r="G10" s="372"/>
      <c r="H10" s="372"/>
      <c r="I10" s="372"/>
      <c r="J10" s="372"/>
      <c r="K10" s="372"/>
      <c r="L10" s="372"/>
    </row>
    <row r="11" spans="1:15" s="51" customFormat="1" x14ac:dyDescent="0.2">
      <c r="A11" s="372" t="s">
        <v>10</v>
      </c>
      <c r="B11" s="372"/>
      <c r="C11" s="372"/>
      <c r="D11" s="372"/>
      <c r="E11" s="372"/>
      <c r="F11" s="372"/>
      <c r="G11" s="372"/>
      <c r="H11" s="372"/>
      <c r="I11" s="372"/>
      <c r="J11" s="372"/>
      <c r="K11" s="372"/>
      <c r="L11" s="372"/>
    </row>
    <row r="12" spans="1:15" s="59" customFormat="1" ht="6" customHeight="1" thickBot="1" x14ac:dyDescent="0.3">
      <c r="A12" s="60"/>
      <c r="B12" s="60"/>
      <c r="C12" s="60"/>
      <c r="D12" s="38"/>
      <c r="E12" s="58"/>
      <c r="F12" s="58"/>
      <c r="G12" s="58"/>
      <c r="H12" s="54"/>
      <c r="I12" s="54"/>
      <c r="J12" s="54"/>
    </row>
    <row r="13" spans="1:15" s="59" customFormat="1" ht="15.75" thickBot="1" x14ac:dyDescent="0.3">
      <c r="A13" s="217" t="s">
        <v>381</v>
      </c>
      <c r="B13" s="218"/>
      <c r="C13" s="218"/>
      <c r="D13" s="61"/>
      <c r="E13" s="62"/>
      <c r="F13" s="62"/>
      <c r="G13" s="57">
        <f>'[1]Герцена 17 корп.1'!$G$36</f>
        <v>255474.03610000003</v>
      </c>
      <c r="H13" s="54"/>
      <c r="I13" s="54"/>
      <c r="J13" s="54"/>
    </row>
    <row r="14" spans="1:15" s="51" customFormat="1" ht="6.75" customHeight="1" x14ac:dyDescent="0.2"/>
    <row r="15" spans="1:15" s="66" customFormat="1" ht="38.25" x14ac:dyDescent="0.25">
      <c r="A15" s="64" t="s">
        <v>11</v>
      </c>
      <c r="B15" s="64" t="s">
        <v>12</v>
      </c>
      <c r="C15" s="64" t="s">
        <v>61</v>
      </c>
      <c r="D15" s="64" t="s">
        <v>432</v>
      </c>
      <c r="E15" s="64" t="s">
        <v>433</v>
      </c>
      <c r="F15" s="65" t="s">
        <v>434</v>
      </c>
      <c r="G15" s="64" t="s">
        <v>435</v>
      </c>
    </row>
    <row r="16" spans="1:15" s="51" customFormat="1" ht="14.25" x14ac:dyDescent="0.2">
      <c r="A16" s="67" t="s">
        <v>14</v>
      </c>
      <c r="B16" s="39" t="s">
        <v>379</v>
      </c>
      <c r="C16" s="87">
        <v>20.32</v>
      </c>
      <c r="D16" s="68">
        <v>704429.16</v>
      </c>
      <c r="E16" s="68">
        <v>694356.44</v>
      </c>
      <c r="F16" s="68">
        <f t="shared" ref="F16:F23" si="0">D16</f>
        <v>704429.16</v>
      </c>
      <c r="G16" s="69">
        <f>D16-E16</f>
        <v>10072.720000000088</v>
      </c>
      <c r="H16" s="70">
        <f>C16</f>
        <v>20.32</v>
      </c>
      <c r="I16" s="70"/>
      <c r="J16" s="71"/>
      <c r="K16" s="71"/>
      <c r="L16" s="71"/>
      <c r="N16" s="70"/>
      <c r="O16" s="72"/>
    </row>
    <row r="17" spans="1:12" s="51" customFormat="1" ht="15" hidden="1" outlineLevel="1" x14ac:dyDescent="0.25">
      <c r="A17" s="73" t="s">
        <v>16</v>
      </c>
      <c r="B17" s="34" t="s">
        <v>17</v>
      </c>
      <c r="C17" s="74">
        <v>3.46</v>
      </c>
      <c r="D17" s="75">
        <f>D16*J17</f>
        <v>119947.09122047244</v>
      </c>
      <c r="E17" s="75">
        <f>E16*J17</f>
        <v>118231.95287401574</v>
      </c>
      <c r="F17" s="75">
        <f t="shared" si="0"/>
        <v>119947.09122047244</v>
      </c>
      <c r="G17" s="76">
        <f>D17-E17</f>
        <v>1715.1383464567043</v>
      </c>
      <c r="H17" s="70">
        <f>C17</f>
        <v>3.46</v>
      </c>
      <c r="I17" s="70"/>
      <c r="J17" s="51">
        <f>H17/H16</f>
        <v>0.17027559055118111</v>
      </c>
    </row>
    <row r="18" spans="1:12" s="51" customFormat="1" ht="15" hidden="1" outlineLevel="1" x14ac:dyDescent="0.25">
      <c r="A18" s="73" t="s">
        <v>18</v>
      </c>
      <c r="B18" s="34" t="s">
        <v>19</v>
      </c>
      <c r="C18" s="77">
        <v>1.69</v>
      </c>
      <c r="D18" s="75">
        <f>D16*J18</f>
        <v>58586.874035433066</v>
      </c>
      <c r="E18" s="75">
        <f>E16*J18</f>
        <v>57749.133051181088</v>
      </c>
      <c r="F18" s="75">
        <f t="shared" si="0"/>
        <v>58586.874035433066</v>
      </c>
      <c r="G18" s="76">
        <f>D18-E18</f>
        <v>837.74098425197735</v>
      </c>
      <c r="H18" s="70">
        <f>C18</f>
        <v>1.69</v>
      </c>
      <c r="I18" s="70"/>
      <c r="J18" s="51">
        <f>H18/H16</f>
        <v>8.3169291338582668E-2</v>
      </c>
    </row>
    <row r="19" spans="1:12" s="51" customFormat="1" ht="15" hidden="1" outlineLevel="1" x14ac:dyDescent="0.25">
      <c r="A19" s="73" t="s">
        <v>20</v>
      </c>
      <c r="B19" s="34" t="s">
        <v>21</v>
      </c>
      <c r="C19" s="77">
        <v>2.15</v>
      </c>
      <c r="D19" s="75">
        <f>D16*J19</f>
        <v>74533.597145669293</v>
      </c>
      <c r="E19" s="75">
        <f>E16*J19</f>
        <v>73467.831988188962</v>
      </c>
      <c r="F19" s="75">
        <f t="shared" si="0"/>
        <v>74533.597145669293</v>
      </c>
      <c r="G19" s="76">
        <f>D19-E19</f>
        <v>1065.7651574803313</v>
      </c>
      <c r="H19" s="70">
        <f>C19</f>
        <v>2.15</v>
      </c>
      <c r="I19" s="70"/>
      <c r="J19" s="51">
        <f>H19/H16</f>
        <v>0.10580708661417322</v>
      </c>
    </row>
    <row r="20" spans="1:12" s="51" customFormat="1" ht="15" hidden="1" outlineLevel="1" x14ac:dyDescent="0.25">
      <c r="A20" s="73" t="s">
        <v>22</v>
      </c>
      <c r="B20" s="34" t="s">
        <v>23</v>
      </c>
      <c r="C20" s="74">
        <v>3.04</v>
      </c>
      <c r="D20" s="75">
        <f>D16*J20</f>
        <v>105387.03968503939</v>
      </c>
      <c r="E20" s="75">
        <f>E16*J20</f>
        <v>103880.09732283464</v>
      </c>
      <c r="F20" s="75">
        <f t="shared" si="0"/>
        <v>105387.03968503939</v>
      </c>
      <c r="G20" s="76">
        <f>D20-E20</f>
        <v>1506.942362204747</v>
      </c>
      <c r="H20" s="70">
        <f>C20</f>
        <v>3.04</v>
      </c>
      <c r="I20" s="70"/>
      <c r="J20" s="51">
        <f>H20/H16</f>
        <v>0.14960629921259844</v>
      </c>
    </row>
    <row r="21" spans="1:12" s="81" customFormat="1" ht="14.25" collapsed="1" x14ac:dyDescent="0.2">
      <c r="A21" s="78" t="s">
        <v>25</v>
      </c>
      <c r="B21" s="78" t="s">
        <v>145</v>
      </c>
      <c r="C21" s="46">
        <v>150</v>
      </c>
      <c r="D21" s="79">
        <v>0</v>
      </c>
      <c r="E21" s="79">
        <v>142.28</v>
      </c>
      <c r="F21" s="79">
        <f>D21</f>
        <v>0</v>
      </c>
      <c r="G21" s="69">
        <f t="shared" ref="G21:G31" si="1">D21-E21</f>
        <v>-142.28</v>
      </c>
      <c r="H21" s="80"/>
      <c r="I21" s="80"/>
      <c r="J21" s="80"/>
      <c r="K21" s="80"/>
      <c r="L21" s="80"/>
    </row>
    <row r="22" spans="1:12" s="81" customFormat="1" ht="14.25" x14ac:dyDescent="0.2">
      <c r="A22" s="78" t="s">
        <v>27</v>
      </c>
      <c r="B22" s="78" t="s">
        <v>26</v>
      </c>
      <c r="C22" s="43">
        <v>4.3600000000000003</v>
      </c>
      <c r="D22" s="79">
        <v>151147.32</v>
      </c>
      <c r="E22" s="79">
        <v>149185.57999999999</v>
      </c>
      <c r="F22" s="79">
        <f t="shared" si="0"/>
        <v>151147.32</v>
      </c>
      <c r="G22" s="69">
        <f t="shared" si="1"/>
        <v>1961.7400000000198</v>
      </c>
      <c r="H22" s="80"/>
      <c r="I22" s="80"/>
      <c r="J22" s="80"/>
      <c r="K22" s="80"/>
      <c r="L22" s="80"/>
    </row>
    <row r="23" spans="1:12" s="81" customFormat="1" ht="14.25" x14ac:dyDescent="0.2">
      <c r="A23" s="78" t="s">
        <v>29</v>
      </c>
      <c r="B23" s="78" t="s">
        <v>30</v>
      </c>
      <c r="C23" s="43">
        <v>0</v>
      </c>
      <c r="D23" s="79">
        <v>0</v>
      </c>
      <c r="E23" s="79">
        <v>0</v>
      </c>
      <c r="F23" s="79">
        <f t="shared" si="0"/>
        <v>0</v>
      </c>
      <c r="G23" s="69">
        <f t="shared" si="1"/>
        <v>0</v>
      </c>
      <c r="H23" s="80"/>
      <c r="I23" s="80"/>
      <c r="J23" s="80"/>
      <c r="K23" s="80"/>
      <c r="L23" s="80"/>
    </row>
    <row r="24" spans="1:12" s="81" customFormat="1" ht="14.25" x14ac:dyDescent="0.2">
      <c r="A24" s="78" t="s">
        <v>31</v>
      </c>
      <c r="B24" s="78" t="s">
        <v>80</v>
      </c>
      <c r="C24" s="86">
        <v>2.0099999999999998</v>
      </c>
      <c r="D24" s="79">
        <v>69680.52</v>
      </c>
      <c r="E24" s="79">
        <v>68808.33</v>
      </c>
      <c r="F24" s="79">
        <f>F40</f>
        <v>688.08330000000001</v>
      </c>
      <c r="G24" s="69">
        <f>D24-E24</f>
        <v>872.19000000000233</v>
      </c>
      <c r="H24" s="80"/>
      <c r="I24" s="80"/>
      <c r="J24" s="80"/>
      <c r="K24" s="80"/>
      <c r="L24" s="80"/>
    </row>
    <row r="25" spans="1:12" ht="14.25" x14ac:dyDescent="0.2">
      <c r="A25" s="39" t="s">
        <v>33</v>
      </c>
      <c r="B25" s="39" t="s">
        <v>97</v>
      </c>
      <c r="C25" s="46">
        <v>0</v>
      </c>
      <c r="D25" s="82">
        <v>0</v>
      </c>
      <c r="E25" s="82">
        <v>0</v>
      </c>
      <c r="F25" s="82">
        <f>D25</f>
        <v>0</v>
      </c>
      <c r="G25" s="69">
        <f t="shared" si="1"/>
        <v>0</v>
      </c>
      <c r="H25" s="88"/>
      <c r="I25" s="88"/>
      <c r="J25" s="88"/>
      <c r="K25" s="88"/>
      <c r="L25" s="88"/>
    </row>
    <row r="26" spans="1:12" ht="14.25" x14ac:dyDescent="0.2">
      <c r="A26" s="39" t="s">
        <v>35</v>
      </c>
      <c r="B26" s="39" t="s">
        <v>36</v>
      </c>
      <c r="C26" s="87"/>
      <c r="D26" s="69">
        <f>SUM(D27:D30)</f>
        <v>1552971.62</v>
      </c>
      <c r="E26" s="69">
        <f>SUM(E27:E30)</f>
        <v>1553588.58</v>
      </c>
      <c r="F26" s="69">
        <f>SUM(F27:F30)</f>
        <v>1552971.62</v>
      </c>
      <c r="G26" s="69">
        <f t="shared" si="1"/>
        <v>-616.95999999996275</v>
      </c>
      <c r="H26" s="88"/>
      <c r="I26" s="88"/>
      <c r="J26" s="88"/>
      <c r="K26" s="88"/>
      <c r="L26" s="88"/>
    </row>
    <row r="27" spans="1:12" ht="15" x14ac:dyDescent="0.25">
      <c r="A27" s="34" t="s">
        <v>37</v>
      </c>
      <c r="B27" s="34" t="s">
        <v>101</v>
      </c>
      <c r="C27" s="89">
        <v>7.36</v>
      </c>
      <c r="D27" s="76">
        <v>112533</v>
      </c>
      <c r="E27" s="76">
        <v>110678.94</v>
      </c>
      <c r="F27" s="76">
        <f>D27</f>
        <v>112533</v>
      </c>
      <c r="G27" s="76">
        <f t="shared" si="1"/>
        <v>1854.0599999999977</v>
      </c>
    </row>
    <row r="28" spans="1:12" ht="15" x14ac:dyDescent="0.25">
      <c r="A28" s="34" t="s">
        <v>39</v>
      </c>
      <c r="B28" s="34" t="s">
        <v>84</v>
      </c>
      <c r="C28" s="89">
        <v>88.38</v>
      </c>
      <c r="D28" s="76">
        <v>219065.99</v>
      </c>
      <c r="E28" s="76">
        <v>226064.19</v>
      </c>
      <c r="F28" s="76">
        <f>D28</f>
        <v>219065.99</v>
      </c>
      <c r="G28" s="76">
        <f t="shared" si="1"/>
        <v>-6998.2000000000116</v>
      </c>
    </row>
    <row r="29" spans="1:12" ht="15" x14ac:dyDescent="0.25">
      <c r="A29" s="34" t="s">
        <v>42</v>
      </c>
      <c r="B29" s="34" t="s">
        <v>135</v>
      </c>
      <c r="C29" s="128">
        <v>278.94</v>
      </c>
      <c r="D29" s="76">
        <v>203051.01</v>
      </c>
      <c r="E29" s="76">
        <v>217635.58</v>
      </c>
      <c r="F29" s="76">
        <f>D29</f>
        <v>203051.01</v>
      </c>
      <c r="G29" s="76">
        <f t="shared" si="1"/>
        <v>-14584.569999999978</v>
      </c>
    </row>
    <row r="30" spans="1:12" ht="15" x14ac:dyDescent="0.25">
      <c r="A30" s="34" t="s">
        <v>41</v>
      </c>
      <c r="B30" s="34" t="s">
        <v>43</v>
      </c>
      <c r="C30" s="89">
        <v>3352.42</v>
      </c>
      <c r="D30" s="76">
        <v>1018321.62</v>
      </c>
      <c r="E30" s="76">
        <v>999209.87</v>
      </c>
      <c r="F30" s="76">
        <f>D30</f>
        <v>1018321.62</v>
      </c>
      <c r="G30" s="76">
        <f t="shared" si="1"/>
        <v>19111.75</v>
      </c>
    </row>
    <row r="31" spans="1:12" ht="14.25" hidden="1" outlineLevel="1" x14ac:dyDescent="0.2">
      <c r="A31" s="39" t="s">
        <v>112</v>
      </c>
      <c r="B31" s="300" t="s">
        <v>140</v>
      </c>
      <c r="C31" s="298"/>
      <c r="D31" s="248">
        <v>1800</v>
      </c>
      <c r="E31" s="248">
        <v>1800</v>
      </c>
      <c r="F31" s="248">
        <v>0</v>
      </c>
      <c r="G31" s="248">
        <f t="shared" si="1"/>
        <v>0</v>
      </c>
    </row>
    <row r="32" spans="1:12" ht="15" hidden="1" outlineLevel="1" x14ac:dyDescent="0.2">
      <c r="A32" s="90"/>
      <c r="B32" s="301"/>
      <c r="C32" s="376" t="s">
        <v>246</v>
      </c>
      <c r="D32" s="377"/>
      <c r="E32" s="377"/>
      <c r="F32" s="377"/>
      <c r="G32" s="82">
        <f>E31-(E31*15%)</f>
        <v>1530</v>
      </c>
    </row>
    <row r="33" spans="1:13" s="92" customFormat="1" ht="16.5" customHeight="1" collapsed="1" thickBot="1" x14ac:dyDescent="0.3">
      <c r="A33" s="373"/>
      <c r="B33" s="374"/>
      <c r="C33" s="374"/>
      <c r="D33" s="375"/>
      <c r="E33" s="375"/>
      <c r="F33" s="375"/>
      <c r="G33" s="91"/>
      <c r="H33" s="91"/>
      <c r="I33" s="91"/>
      <c r="J33" s="91"/>
    </row>
    <row r="34" spans="1:13" s="59" customFormat="1" ht="15.75" thickBot="1" x14ac:dyDescent="0.3">
      <c r="A34" s="387" t="s">
        <v>427</v>
      </c>
      <c r="B34" s="388"/>
      <c r="C34" s="388"/>
      <c r="D34" s="57">
        <v>12147.41</v>
      </c>
      <c r="E34" s="58"/>
      <c r="F34" s="58"/>
      <c r="G34" s="58"/>
      <c r="H34" s="54"/>
      <c r="I34" s="54"/>
      <c r="J34" s="54"/>
    </row>
    <row r="35" spans="1:13" s="59" customFormat="1" ht="6" customHeight="1" thickBot="1" x14ac:dyDescent="0.3">
      <c r="A35" s="60"/>
      <c r="B35" s="60"/>
      <c r="C35" s="60"/>
      <c r="D35" s="38"/>
      <c r="E35" s="58"/>
      <c r="F35" s="58"/>
      <c r="G35" s="58"/>
      <c r="H35" s="54"/>
      <c r="I35" s="54"/>
      <c r="J35" s="54"/>
    </row>
    <row r="36" spans="1:13" s="59" customFormat="1" ht="15.75" thickBot="1" x14ac:dyDescent="0.3">
      <c r="A36" s="55" t="s">
        <v>428</v>
      </c>
      <c r="B36" s="56"/>
      <c r="C36" s="56"/>
      <c r="D36" s="61"/>
      <c r="E36" s="62"/>
      <c r="F36" s="62"/>
      <c r="G36" s="129">
        <f>G13+E24-F24</f>
        <v>323594.28280000004</v>
      </c>
      <c r="H36" s="54"/>
      <c r="I36" s="54"/>
      <c r="J36" s="54"/>
      <c r="L36" s="130"/>
    </row>
    <row r="37" spans="1:13" ht="31.5" customHeight="1" x14ac:dyDescent="0.2">
      <c r="A37" s="371" t="s">
        <v>106</v>
      </c>
      <c r="B37" s="371"/>
      <c r="C37" s="371"/>
      <c r="D37" s="371"/>
      <c r="E37" s="371"/>
      <c r="F37" s="371"/>
      <c r="G37" s="371"/>
      <c r="H37" s="371"/>
      <c r="I37" s="371"/>
      <c r="J37" s="371"/>
      <c r="K37" s="371"/>
      <c r="L37" s="371"/>
    </row>
    <row r="39" spans="1:13" s="66" customFormat="1" ht="37.5" customHeight="1" x14ac:dyDescent="0.2">
      <c r="A39" s="94" t="s">
        <v>11</v>
      </c>
      <c r="B39" s="416" t="s">
        <v>45</v>
      </c>
      <c r="C39" s="425"/>
      <c r="D39" s="94" t="s">
        <v>99</v>
      </c>
      <c r="E39" s="94" t="s">
        <v>98</v>
      </c>
      <c r="F39" s="416" t="s">
        <v>46</v>
      </c>
      <c r="G39" s="425"/>
      <c r="H39" s="207"/>
      <c r="I39" s="207"/>
      <c r="J39" s="208"/>
      <c r="M39" s="97"/>
    </row>
    <row r="40" spans="1:13" s="103" customFormat="1" ht="15" customHeight="1" x14ac:dyDescent="0.25">
      <c r="A40" s="98" t="s">
        <v>47</v>
      </c>
      <c r="B40" s="418" t="s">
        <v>75</v>
      </c>
      <c r="C40" s="430"/>
      <c r="D40" s="99"/>
      <c r="E40" s="99"/>
      <c r="F40" s="436">
        <f>SUM(F41:G43)</f>
        <v>688.08330000000001</v>
      </c>
      <c r="G40" s="424"/>
      <c r="H40" s="209"/>
      <c r="I40" s="209"/>
      <c r="J40" s="210"/>
      <c r="M40" s="104"/>
    </row>
    <row r="41" spans="1:13" ht="15" x14ac:dyDescent="0.25">
      <c r="A41" s="34" t="s">
        <v>16</v>
      </c>
      <c r="B41" s="412"/>
      <c r="C41" s="517"/>
      <c r="D41" s="258"/>
      <c r="E41" s="263"/>
      <c r="F41" s="463"/>
      <c r="G41" s="463"/>
      <c r="H41" s="211"/>
      <c r="I41" s="211"/>
      <c r="J41" s="212"/>
      <c r="M41" s="106"/>
    </row>
    <row r="42" spans="1:13" ht="15" x14ac:dyDescent="0.25">
      <c r="A42" s="34" t="s">
        <v>18</v>
      </c>
      <c r="B42" s="412"/>
      <c r="C42" s="517"/>
      <c r="D42" s="258"/>
      <c r="E42" s="263"/>
      <c r="F42" s="463"/>
      <c r="G42" s="463"/>
      <c r="H42" s="38"/>
      <c r="I42" s="38"/>
      <c r="J42" s="38"/>
      <c r="M42" s="106"/>
    </row>
    <row r="43" spans="1:13" s="59" customFormat="1" ht="15" x14ac:dyDescent="0.25">
      <c r="A43" s="34" t="s">
        <v>20</v>
      </c>
      <c r="B43" s="458" t="s">
        <v>108</v>
      </c>
      <c r="C43" s="459"/>
      <c r="D43" s="108"/>
      <c r="E43" s="108"/>
      <c r="F43" s="435">
        <f>E24*1%</f>
        <v>688.08330000000001</v>
      </c>
      <c r="G43" s="435"/>
      <c r="H43" s="51"/>
      <c r="I43" s="51"/>
      <c r="J43" s="51"/>
      <c r="K43" s="51"/>
      <c r="L43" s="51"/>
    </row>
    <row r="44" spans="1:13" s="51" customFormat="1" ht="9" customHeight="1" x14ac:dyDescent="0.2"/>
    <row r="45" spans="1:13" s="51" customFormat="1" ht="15" x14ac:dyDescent="0.25">
      <c r="A45" s="51" t="s">
        <v>372</v>
      </c>
      <c r="B45" s="59"/>
      <c r="C45" s="110" t="s">
        <v>49</v>
      </c>
      <c r="D45" s="59"/>
      <c r="E45" s="59"/>
      <c r="F45" s="59" t="s">
        <v>60</v>
      </c>
      <c r="G45" s="59"/>
      <c r="H45" s="59"/>
      <c r="I45" s="59"/>
      <c r="J45" s="59"/>
      <c r="K45" s="59"/>
      <c r="L45" s="59"/>
    </row>
    <row r="46" spans="1:13" s="51" customFormat="1" ht="15" x14ac:dyDescent="0.25">
      <c r="A46" s="59"/>
      <c r="B46" s="59"/>
      <c r="C46" s="110"/>
      <c r="D46" s="59"/>
      <c r="E46" s="59"/>
      <c r="F46" s="111" t="s">
        <v>438</v>
      </c>
      <c r="G46" s="59"/>
    </row>
    <row r="47" spans="1:13" s="51" customFormat="1" ht="15" x14ac:dyDescent="0.25">
      <c r="A47" s="59" t="s">
        <v>50</v>
      </c>
      <c r="B47" s="59"/>
      <c r="C47" s="110"/>
      <c r="D47" s="59"/>
      <c r="E47" s="59"/>
      <c r="F47" s="59"/>
      <c r="G47" s="59"/>
      <c r="H47" s="141"/>
      <c r="I47" s="141"/>
      <c r="J47" s="141"/>
      <c r="K47" s="141"/>
    </row>
    <row r="48" spans="1:13" ht="15" x14ac:dyDescent="0.25">
      <c r="A48" s="59"/>
      <c r="B48" s="59"/>
      <c r="C48" s="112" t="s">
        <v>51</v>
      </c>
      <c r="D48" s="59"/>
      <c r="E48" s="113"/>
      <c r="F48" s="113"/>
      <c r="G48" s="113"/>
      <c r="H48" s="51"/>
      <c r="I48" s="51"/>
      <c r="J48" s="51"/>
      <c r="K48" s="51"/>
      <c r="L48" s="51"/>
    </row>
    <row r="49" spans="1:12" x14ac:dyDescent="0.2">
      <c r="A49" s="51"/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</row>
  </sheetData>
  <mergeCells count="21">
    <mergeCell ref="B39:C39"/>
    <mergeCell ref="F39:G39"/>
    <mergeCell ref="F42:G42"/>
    <mergeCell ref="F41:G41"/>
    <mergeCell ref="A33:F33"/>
    <mergeCell ref="A10:L10"/>
    <mergeCell ref="A34:C34"/>
    <mergeCell ref="A37:L37"/>
    <mergeCell ref="B43:C43"/>
    <mergeCell ref="F43:G43"/>
    <mergeCell ref="B40:C40"/>
    <mergeCell ref="F40:G40"/>
    <mergeCell ref="B41:C41"/>
    <mergeCell ref="B42:C42"/>
    <mergeCell ref="A1:L1"/>
    <mergeCell ref="A2:L2"/>
    <mergeCell ref="A3:L3"/>
    <mergeCell ref="A5:L5"/>
    <mergeCell ref="A9:L9"/>
    <mergeCell ref="C32:F32"/>
    <mergeCell ref="A11:L11"/>
  </mergeCells>
  <pageMargins left="0.7" right="0.7" top="0.75" bottom="0.75" header="0.3" footer="0.3"/>
  <pageSetup paperSize="9" orientation="portrait" verticalDpi="0" r:id="rId1"/>
  <drawing r:id="rId2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618551-0B9D-4AC9-9DC7-433FF4DA2F3C}">
  <sheetPr>
    <tabColor rgb="FF7030A0"/>
  </sheetPr>
  <dimension ref="A1:N59"/>
  <sheetViews>
    <sheetView topLeftCell="A39" workbookViewId="0">
      <selection activeCell="A62" sqref="A62:IV63"/>
    </sheetView>
  </sheetViews>
  <sheetFormatPr defaultRowHeight="12.75" outlineLevelRow="1" outlineLevelCol="1" x14ac:dyDescent="0.2"/>
  <cols>
    <col min="1" max="1" width="6" style="49" customWidth="1"/>
    <col min="2" max="2" width="48.140625" style="49" customWidth="1"/>
    <col min="3" max="3" width="14" style="49" customWidth="1"/>
    <col min="4" max="4" width="14.85546875" style="49" customWidth="1"/>
    <col min="5" max="6" width="13.28515625" style="49" customWidth="1"/>
    <col min="7" max="7" width="14.5703125" style="49" customWidth="1"/>
    <col min="8" max="9" width="11.5703125" style="49" hidden="1" customWidth="1" outlineLevel="1"/>
    <col min="10" max="10" width="10.140625" style="49" hidden="1" customWidth="1" outlineLevel="1"/>
    <col min="11" max="11" width="10.42578125" style="49" hidden="1" customWidth="1" outlineLevel="1"/>
    <col min="12" max="12" width="9.140625" style="49" collapsed="1"/>
    <col min="13" max="13" width="10" style="49" bestFit="1" customWidth="1"/>
    <col min="14" max="14" width="15.85546875" style="49" customWidth="1"/>
    <col min="15" max="16384" width="9.140625" style="49"/>
  </cols>
  <sheetData>
    <row r="1" spans="1:12" x14ac:dyDescent="0.2">
      <c r="A1" s="370" t="s">
        <v>0</v>
      </c>
      <c r="B1" s="370"/>
      <c r="C1" s="370"/>
      <c r="D1" s="370"/>
      <c r="E1" s="370"/>
      <c r="F1" s="370"/>
      <c r="G1" s="370"/>
      <c r="H1" s="370"/>
      <c r="I1" s="370"/>
      <c r="J1" s="370"/>
      <c r="K1" s="370"/>
    </row>
    <row r="2" spans="1:12" ht="12.75" customHeight="1" x14ac:dyDescent="0.2">
      <c r="A2" s="370" t="s">
        <v>152</v>
      </c>
      <c r="B2" s="370"/>
      <c r="C2" s="370"/>
      <c r="D2" s="370"/>
      <c r="E2" s="370"/>
      <c r="F2" s="370"/>
      <c r="G2" s="370"/>
      <c r="H2" s="370"/>
      <c r="I2" s="370"/>
      <c r="J2" s="370"/>
      <c r="K2" s="370"/>
      <c r="L2" s="370"/>
    </row>
    <row r="3" spans="1:12" ht="13.5" customHeight="1" x14ac:dyDescent="0.2">
      <c r="A3" s="370" t="s">
        <v>426</v>
      </c>
      <c r="B3" s="370"/>
      <c r="C3" s="370"/>
      <c r="D3" s="370"/>
      <c r="E3" s="370"/>
      <c r="F3" s="370"/>
      <c r="G3" s="370"/>
      <c r="H3" s="370"/>
      <c r="I3" s="370"/>
      <c r="J3" s="370"/>
      <c r="K3" s="370"/>
      <c r="L3" s="370"/>
    </row>
    <row r="4" spans="1:12" ht="9" customHeight="1" x14ac:dyDescent="0.2">
      <c r="A4" s="48"/>
      <c r="B4" s="48"/>
      <c r="C4" s="48"/>
      <c r="D4" s="48"/>
      <c r="E4" s="48"/>
      <c r="F4" s="48"/>
      <c r="G4" s="48"/>
      <c r="H4" s="48"/>
      <c r="I4" s="48"/>
      <c r="J4" s="48"/>
      <c r="K4" s="48"/>
    </row>
    <row r="5" spans="1:12" ht="16.5" customHeight="1" x14ac:dyDescent="0.2">
      <c r="A5" s="371" t="s">
        <v>1</v>
      </c>
      <c r="B5" s="370"/>
      <c r="C5" s="370"/>
      <c r="D5" s="370"/>
      <c r="E5" s="370"/>
      <c r="F5" s="370"/>
      <c r="G5" s="370"/>
      <c r="H5" s="370"/>
      <c r="I5" s="370"/>
      <c r="J5" s="370"/>
      <c r="K5" s="370"/>
    </row>
    <row r="7" spans="1:12" s="51" customFormat="1" ht="16.5" customHeight="1" x14ac:dyDescent="0.2">
      <c r="A7" s="51" t="s">
        <v>2</v>
      </c>
      <c r="F7" s="206" t="s">
        <v>330</v>
      </c>
      <c r="G7" s="214"/>
      <c r="H7" s="52"/>
    </row>
    <row r="8" spans="1:12" s="51" customFormat="1" x14ac:dyDescent="0.2">
      <c r="A8" s="51" t="s">
        <v>3</v>
      </c>
      <c r="F8" s="241" t="s">
        <v>331</v>
      </c>
      <c r="G8" s="214"/>
      <c r="H8" s="231">
        <v>16.8</v>
      </c>
      <c r="I8" s="214">
        <f>J8-H8</f>
        <v>3816.1</v>
      </c>
      <c r="J8" s="304">
        <v>3832.9</v>
      </c>
    </row>
    <row r="9" spans="1:12" s="51" customFormat="1" x14ac:dyDescent="0.2">
      <c r="B9" s="51" t="s">
        <v>252</v>
      </c>
      <c r="F9" s="241" t="s">
        <v>332</v>
      </c>
      <c r="G9" s="214"/>
      <c r="H9" s="231"/>
      <c r="I9" s="214"/>
      <c r="J9" s="304"/>
    </row>
    <row r="10" spans="1:12" s="51" customFormat="1" x14ac:dyDescent="0.2">
      <c r="A10" s="372" t="s">
        <v>8</v>
      </c>
      <c r="B10" s="372"/>
      <c r="C10" s="372"/>
      <c r="D10" s="372"/>
      <c r="E10" s="372"/>
      <c r="F10" s="372"/>
      <c r="G10" s="372"/>
      <c r="H10" s="372"/>
      <c r="I10" s="372"/>
      <c r="J10" s="372"/>
      <c r="K10" s="372"/>
    </row>
    <row r="11" spans="1:12" s="51" customFormat="1" x14ac:dyDescent="0.2">
      <c r="A11" s="372" t="s">
        <v>9</v>
      </c>
      <c r="B11" s="372"/>
      <c r="C11" s="372"/>
      <c r="D11" s="372"/>
      <c r="E11" s="372"/>
      <c r="F11" s="372"/>
      <c r="G11" s="372"/>
      <c r="H11" s="372"/>
      <c r="I11" s="372"/>
      <c r="J11" s="372"/>
      <c r="K11" s="372"/>
    </row>
    <row r="12" spans="1:12" s="51" customFormat="1" ht="13.5" thickBot="1" x14ac:dyDescent="0.25">
      <c r="A12" s="372" t="s">
        <v>10</v>
      </c>
      <c r="B12" s="372"/>
      <c r="C12" s="372"/>
      <c r="D12" s="372"/>
      <c r="E12" s="372"/>
      <c r="F12" s="372"/>
      <c r="G12" s="372"/>
      <c r="H12" s="372"/>
      <c r="I12" s="372"/>
      <c r="J12" s="372"/>
      <c r="K12" s="372"/>
    </row>
    <row r="13" spans="1:12" s="59" customFormat="1" ht="22.5" customHeight="1" thickBot="1" x14ac:dyDescent="0.3">
      <c r="A13" s="55" t="s">
        <v>562</v>
      </c>
      <c r="B13" s="56"/>
      <c r="C13" s="56"/>
      <c r="D13" s="61"/>
      <c r="E13" s="62"/>
      <c r="F13" s="62"/>
      <c r="G13" s="57">
        <f>'[1]Огарева 44'!$G$39</f>
        <v>76728.179999999993</v>
      </c>
      <c r="H13" s="54"/>
      <c r="I13" s="54"/>
    </row>
    <row r="14" spans="1:12" s="59" customFormat="1" ht="15.75" thickBot="1" x14ac:dyDescent="0.3">
      <c r="A14" s="217" t="s">
        <v>580</v>
      </c>
      <c r="B14" s="218"/>
      <c r="C14" s="218"/>
      <c r="D14" s="61"/>
      <c r="E14" s="62"/>
      <c r="F14" s="62"/>
      <c r="G14" s="57">
        <f>'[1]Огарева 44'!$G$40</f>
        <v>147765.39869999996</v>
      </c>
      <c r="H14" s="54"/>
      <c r="I14" s="54"/>
    </row>
    <row r="15" spans="1:12" s="51" customFormat="1" ht="6.75" customHeight="1" x14ac:dyDescent="0.2"/>
    <row r="16" spans="1:12" s="66" customFormat="1" ht="38.25" x14ac:dyDescent="0.25">
      <c r="A16" s="64" t="s">
        <v>11</v>
      </c>
      <c r="B16" s="64" t="s">
        <v>12</v>
      </c>
      <c r="C16" s="64" t="s">
        <v>61</v>
      </c>
      <c r="D16" s="64" t="s">
        <v>432</v>
      </c>
      <c r="E16" s="64" t="s">
        <v>433</v>
      </c>
      <c r="F16" s="65" t="s">
        <v>434</v>
      </c>
      <c r="G16" s="64" t="s">
        <v>435</v>
      </c>
    </row>
    <row r="17" spans="1:14" s="51" customFormat="1" ht="14.25" x14ac:dyDescent="0.2">
      <c r="A17" s="67" t="s">
        <v>14</v>
      </c>
      <c r="B17" s="39" t="s">
        <v>379</v>
      </c>
      <c r="C17" s="87">
        <v>20.32</v>
      </c>
      <c r="D17" s="68">
        <v>930517.44</v>
      </c>
      <c r="E17" s="68">
        <v>943590.85</v>
      </c>
      <c r="F17" s="68">
        <f t="shared" ref="F17:F24" si="0">D17</f>
        <v>930517.44</v>
      </c>
      <c r="G17" s="69">
        <f>D17-E17</f>
        <v>-13073.410000000033</v>
      </c>
      <c r="H17" s="70">
        <f>C17</f>
        <v>20.32</v>
      </c>
      <c r="I17" s="71"/>
      <c r="J17" s="71"/>
      <c r="K17" s="71"/>
      <c r="M17" s="70"/>
      <c r="N17" s="72"/>
    </row>
    <row r="18" spans="1:14" s="51" customFormat="1" ht="15" hidden="1" outlineLevel="1" x14ac:dyDescent="0.25">
      <c r="A18" s="73" t="s">
        <v>16</v>
      </c>
      <c r="B18" s="34" t="s">
        <v>17</v>
      </c>
      <c r="C18" s="74">
        <v>3.46</v>
      </c>
      <c r="D18" s="75">
        <f>D17*I18</f>
        <v>158444.40661417323</v>
      </c>
      <c r="E18" s="75">
        <f>E17*I18</f>
        <v>160670.48922244096</v>
      </c>
      <c r="F18" s="75">
        <f t="shared" si="0"/>
        <v>158444.40661417323</v>
      </c>
      <c r="G18" s="76">
        <f>D18-E18</f>
        <v>-2226.0826082677231</v>
      </c>
      <c r="H18" s="70">
        <f>C18</f>
        <v>3.46</v>
      </c>
      <c r="I18" s="51">
        <f>H18/H17</f>
        <v>0.17027559055118111</v>
      </c>
    </row>
    <row r="19" spans="1:14" s="51" customFormat="1" ht="15" hidden="1" outlineLevel="1" x14ac:dyDescent="0.25">
      <c r="A19" s="73" t="s">
        <v>18</v>
      </c>
      <c r="B19" s="34" t="s">
        <v>19</v>
      </c>
      <c r="C19" s="77">
        <v>1.69</v>
      </c>
      <c r="D19" s="75">
        <f>D17*I19</f>
        <v>77390.476062992107</v>
      </c>
      <c r="E19" s="75">
        <f>E17*I19</f>
        <v>78477.782308070862</v>
      </c>
      <c r="F19" s="75">
        <f t="shared" si="0"/>
        <v>77390.476062992107</v>
      </c>
      <c r="G19" s="76">
        <f>D19-E19</f>
        <v>-1087.3062450787547</v>
      </c>
      <c r="H19" s="70">
        <f>C19</f>
        <v>1.69</v>
      </c>
      <c r="I19" s="51">
        <f>H19/H17</f>
        <v>8.3169291338582668E-2</v>
      </c>
    </row>
    <row r="20" spans="1:14" s="51" customFormat="1" ht="15" hidden="1" outlineLevel="1" x14ac:dyDescent="0.25">
      <c r="A20" s="73" t="s">
        <v>20</v>
      </c>
      <c r="B20" s="34" t="s">
        <v>21</v>
      </c>
      <c r="C20" s="77">
        <v>2.15</v>
      </c>
      <c r="D20" s="75">
        <f>D17*I20</f>
        <v>98455.339370078727</v>
      </c>
      <c r="E20" s="75">
        <f>E17*I20</f>
        <v>99838.598794291334</v>
      </c>
      <c r="F20" s="75">
        <f t="shared" si="0"/>
        <v>98455.339370078727</v>
      </c>
      <c r="G20" s="76">
        <f>D20-E20</f>
        <v>-1383.259424212607</v>
      </c>
      <c r="H20" s="70">
        <f>C20</f>
        <v>2.15</v>
      </c>
      <c r="I20" s="51">
        <f>H20/H17</f>
        <v>0.10580708661417322</v>
      </c>
    </row>
    <row r="21" spans="1:14" s="51" customFormat="1" ht="15" hidden="1" outlineLevel="1" x14ac:dyDescent="0.25">
      <c r="A21" s="73" t="s">
        <v>22</v>
      </c>
      <c r="B21" s="34" t="s">
        <v>23</v>
      </c>
      <c r="C21" s="74">
        <v>3.04</v>
      </c>
      <c r="D21" s="75">
        <f>D17*I21</f>
        <v>139211.27055118111</v>
      </c>
      <c r="E21" s="75">
        <f>E17*I21</f>
        <v>141167.1350393701</v>
      </c>
      <c r="F21" s="75">
        <f t="shared" si="0"/>
        <v>139211.27055118111</v>
      </c>
      <c r="G21" s="76">
        <f>D21-E21</f>
        <v>-1955.8644881889923</v>
      </c>
      <c r="H21" s="70">
        <f>C21</f>
        <v>3.04</v>
      </c>
      <c r="I21" s="51">
        <f>H21/H17</f>
        <v>0.14960629921259844</v>
      </c>
    </row>
    <row r="22" spans="1:14" s="81" customFormat="1" ht="14.25" collapsed="1" x14ac:dyDescent="0.2">
      <c r="A22" s="78" t="s">
        <v>25</v>
      </c>
      <c r="B22" s="78" t="s">
        <v>145</v>
      </c>
      <c r="C22" s="46">
        <v>120</v>
      </c>
      <c r="D22" s="79">
        <v>0</v>
      </c>
      <c r="E22" s="79">
        <v>734.75</v>
      </c>
      <c r="F22" s="79">
        <f>D22</f>
        <v>0</v>
      </c>
      <c r="G22" s="69">
        <f t="shared" ref="G22:G34" si="1">D22-E22</f>
        <v>-734.75</v>
      </c>
      <c r="H22" s="80"/>
      <c r="I22" s="80"/>
      <c r="J22" s="80"/>
      <c r="K22" s="80"/>
    </row>
    <row r="23" spans="1:14" s="81" customFormat="1" ht="14.25" x14ac:dyDescent="0.2">
      <c r="A23" s="78" t="s">
        <v>27</v>
      </c>
      <c r="B23" s="78" t="s">
        <v>26</v>
      </c>
      <c r="C23" s="43">
        <v>4.3600000000000003</v>
      </c>
      <c r="D23" s="79">
        <v>199394.07</v>
      </c>
      <c r="E23" s="79">
        <v>202003.6</v>
      </c>
      <c r="F23" s="79">
        <f t="shared" si="0"/>
        <v>199394.07</v>
      </c>
      <c r="G23" s="69">
        <f t="shared" si="1"/>
        <v>-2609.5299999999988</v>
      </c>
      <c r="H23" s="80"/>
      <c r="I23" s="80"/>
      <c r="J23" s="80"/>
      <c r="K23" s="80"/>
    </row>
    <row r="24" spans="1:14" s="81" customFormat="1" ht="14.25" x14ac:dyDescent="0.2">
      <c r="A24" s="78" t="s">
        <v>29</v>
      </c>
      <c r="B24" s="78" t="s">
        <v>30</v>
      </c>
      <c r="C24" s="43">
        <v>0</v>
      </c>
      <c r="D24" s="79">
        <v>0</v>
      </c>
      <c r="E24" s="79">
        <v>3.55</v>
      </c>
      <c r="F24" s="79">
        <f t="shared" si="0"/>
        <v>0</v>
      </c>
      <c r="G24" s="69">
        <f t="shared" si="1"/>
        <v>-3.55</v>
      </c>
      <c r="H24" s="80"/>
      <c r="I24" s="80"/>
      <c r="J24" s="80"/>
      <c r="K24" s="80"/>
    </row>
    <row r="25" spans="1:14" s="81" customFormat="1" ht="14.25" x14ac:dyDescent="0.2">
      <c r="A25" s="78" t="s">
        <v>31</v>
      </c>
      <c r="B25" s="78" t="s">
        <v>80</v>
      </c>
      <c r="C25" s="86">
        <v>2.0099999999999998</v>
      </c>
      <c r="D25" s="79">
        <f>92044.44+D26</f>
        <v>92449.66</v>
      </c>
      <c r="E25" s="79">
        <f>93196.18+E26</f>
        <v>93263.719999999987</v>
      </c>
      <c r="F25" s="79">
        <f>F47</f>
        <v>57137.547200000001</v>
      </c>
      <c r="G25" s="69">
        <f t="shared" si="1"/>
        <v>-814.05999999998312</v>
      </c>
      <c r="H25" s="80"/>
      <c r="I25" s="80"/>
      <c r="J25" s="80"/>
      <c r="K25" s="80"/>
    </row>
    <row r="26" spans="1:14" s="81" customFormat="1" ht="14.25" x14ac:dyDescent="0.2">
      <c r="A26" s="78"/>
      <c r="B26" s="292" t="s">
        <v>244</v>
      </c>
      <c r="C26" s="293"/>
      <c r="D26" s="336">
        <v>405.22</v>
      </c>
      <c r="E26" s="336">
        <v>67.540000000000006</v>
      </c>
      <c r="F26" s="294"/>
      <c r="G26" s="248"/>
      <c r="H26" s="80"/>
      <c r="I26" s="80"/>
      <c r="J26" s="80"/>
      <c r="K26" s="80"/>
    </row>
    <row r="27" spans="1:14" ht="14.25" x14ac:dyDescent="0.2">
      <c r="A27" s="39" t="s">
        <v>33</v>
      </c>
      <c r="B27" s="39" t="s">
        <v>97</v>
      </c>
      <c r="C27" s="46">
        <v>0</v>
      </c>
      <c r="D27" s="82">
        <v>0</v>
      </c>
      <c r="E27" s="82">
        <v>0</v>
      </c>
      <c r="F27" s="82">
        <f>D27</f>
        <v>0</v>
      </c>
      <c r="G27" s="69">
        <f t="shared" si="1"/>
        <v>0</v>
      </c>
      <c r="H27" s="88"/>
      <c r="I27" s="88"/>
      <c r="J27" s="88"/>
      <c r="K27" s="88"/>
    </row>
    <row r="28" spans="1:14" ht="14.25" x14ac:dyDescent="0.2">
      <c r="A28" s="39" t="s">
        <v>35</v>
      </c>
      <c r="B28" s="39" t="s">
        <v>62</v>
      </c>
      <c r="C28" s="87">
        <v>0</v>
      </c>
      <c r="D28" s="82">
        <v>0</v>
      </c>
      <c r="E28" s="82">
        <v>0</v>
      </c>
      <c r="F28" s="82">
        <v>0</v>
      </c>
      <c r="G28" s="69">
        <f t="shared" si="1"/>
        <v>0</v>
      </c>
      <c r="H28" s="88"/>
      <c r="I28" s="88"/>
      <c r="J28" s="88"/>
      <c r="K28" s="88"/>
    </row>
    <row r="29" spans="1:14" ht="14.25" x14ac:dyDescent="0.2">
      <c r="A29" s="39" t="s">
        <v>112</v>
      </c>
      <c r="B29" s="39" t="s">
        <v>36</v>
      </c>
      <c r="C29" s="87"/>
      <c r="D29" s="69">
        <f>SUM(D30:D33)</f>
        <v>2789965.38</v>
      </c>
      <c r="E29" s="69">
        <f>SUM(E30:E33)</f>
        <v>2747546.88</v>
      </c>
      <c r="F29" s="69">
        <f>SUM(F30:F33)</f>
        <v>2789965.38</v>
      </c>
      <c r="G29" s="69">
        <f t="shared" si="1"/>
        <v>42418.5</v>
      </c>
      <c r="H29" s="88"/>
      <c r="I29" s="88"/>
      <c r="J29" s="88"/>
      <c r="K29" s="88"/>
    </row>
    <row r="30" spans="1:14" ht="15" x14ac:dyDescent="0.25">
      <c r="A30" s="34" t="s">
        <v>114</v>
      </c>
      <c r="B30" s="34" t="s">
        <v>101</v>
      </c>
      <c r="C30" s="89">
        <v>7.36</v>
      </c>
      <c r="D30" s="76">
        <v>172360.44</v>
      </c>
      <c r="E30" s="76">
        <v>173087.14</v>
      </c>
      <c r="F30" s="76">
        <f>D30</f>
        <v>172360.44</v>
      </c>
      <c r="G30" s="76">
        <f t="shared" si="1"/>
        <v>-726.70000000001164</v>
      </c>
    </row>
    <row r="31" spans="1:14" ht="15" x14ac:dyDescent="0.25">
      <c r="A31" s="34" t="s">
        <v>115</v>
      </c>
      <c r="B31" s="34" t="s">
        <v>84</v>
      </c>
      <c r="C31" s="89">
        <v>88.38</v>
      </c>
      <c r="D31" s="76">
        <v>465856.14</v>
      </c>
      <c r="E31" s="76">
        <v>470946.52</v>
      </c>
      <c r="F31" s="76">
        <f>D31</f>
        <v>465856.14</v>
      </c>
      <c r="G31" s="76">
        <f t="shared" si="1"/>
        <v>-5090.3800000000047</v>
      </c>
    </row>
    <row r="32" spans="1:14" ht="15" x14ac:dyDescent="0.25">
      <c r="A32" s="34" t="s">
        <v>116</v>
      </c>
      <c r="B32" s="34" t="s">
        <v>135</v>
      </c>
      <c r="C32" s="128">
        <v>278.94</v>
      </c>
      <c r="D32" s="188">
        <v>596889.09</v>
      </c>
      <c r="E32" s="188">
        <v>586320.19999999995</v>
      </c>
      <c r="F32" s="76">
        <f>D32</f>
        <v>596889.09</v>
      </c>
      <c r="G32" s="76">
        <f t="shared" si="1"/>
        <v>10568.890000000014</v>
      </c>
    </row>
    <row r="33" spans="1:12" ht="15" x14ac:dyDescent="0.25">
      <c r="A33" s="34" t="s">
        <v>117</v>
      </c>
      <c r="B33" s="34" t="s">
        <v>43</v>
      </c>
      <c r="C33" s="89">
        <v>3352.42</v>
      </c>
      <c r="D33" s="76">
        <v>1554859.71</v>
      </c>
      <c r="E33" s="76">
        <v>1517193.02</v>
      </c>
      <c r="F33" s="76">
        <f>D33</f>
        <v>1554859.71</v>
      </c>
      <c r="G33" s="76">
        <f t="shared" si="1"/>
        <v>37666.689999999944</v>
      </c>
    </row>
    <row r="34" spans="1:12" ht="14.25" hidden="1" outlineLevel="1" x14ac:dyDescent="0.2">
      <c r="A34" s="39" t="s">
        <v>132</v>
      </c>
      <c r="B34" s="300" t="s">
        <v>140</v>
      </c>
      <c r="C34" s="298"/>
      <c r="D34" s="248">
        <v>1800</v>
      </c>
      <c r="E34" s="248">
        <v>1800</v>
      </c>
      <c r="F34" s="248">
        <v>0</v>
      </c>
      <c r="G34" s="248">
        <f t="shared" si="1"/>
        <v>0</v>
      </c>
    </row>
    <row r="35" spans="1:12" ht="15" hidden="1" outlineLevel="1" x14ac:dyDescent="0.2">
      <c r="A35" s="90"/>
      <c r="B35" s="301"/>
      <c r="C35" s="376" t="s">
        <v>246</v>
      </c>
      <c r="D35" s="377"/>
      <c r="E35" s="377"/>
      <c r="F35" s="377"/>
      <c r="G35" s="82">
        <f>E34-(E34*15%)</f>
        <v>1530</v>
      </c>
    </row>
    <row r="36" spans="1:12" s="92" customFormat="1" ht="16.5" customHeight="1" collapsed="1" thickBot="1" x14ac:dyDescent="0.3">
      <c r="A36" s="373"/>
      <c r="B36" s="374"/>
      <c r="C36" s="374"/>
      <c r="D36" s="375"/>
      <c r="E36" s="375"/>
      <c r="F36" s="375"/>
      <c r="G36" s="91"/>
      <c r="H36" s="91"/>
      <c r="I36" s="91"/>
    </row>
    <row r="37" spans="1:12" s="59" customFormat="1" ht="15.75" thickBot="1" x14ac:dyDescent="0.3">
      <c r="A37" s="387" t="s">
        <v>427</v>
      </c>
      <c r="B37" s="388"/>
      <c r="C37" s="388"/>
      <c r="D37" s="57">
        <v>25183.200000000001</v>
      </c>
      <c r="E37" s="58"/>
      <c r="F37" s="58"/>
      <c r="G37" s="58"/>
      <c r="H37" s="54"/>
      <c r="I37" s="54"/>
    </row>
    <row r="38" spans="1:12" s="59" customFormat="1" ht="6" customHeight="1" thickBot="1" x14ac:dyDescent="0.3">
      <c r="A38" s="60"/>
      <c r="B38" s="60"/>
      <c r="C38" s="60"/>
      <c r="D38" s="38"/>
      <c r="E38" s="58"/>
      <c r="F38" s="58"/>
      <c r="G38" s="58"/>
      <c r="H38" s="54"/>
      <c r="I38" s="54"/>
    </row>
    <row r="39" spans="1:12" s="59" customFormat="1" ht="16.5" customHeight="1" thickBot="1" x14ac:dyDescent="0.3">
      <c r="A39" s="55" t="s">
        <v>464</v>
      </c>
      <c r="B39" s="56"/>
      <c r="C39" s="56"/>
      <c r="D39" s="61"/>
      <c r="E39" s="62"/>
      <c r="F39" s="62"/>
      <c r="G39" s="129">
        <f>G13+E28-F28</f>
        <v>76728.179999999993</v>
      </c>
      <c r="H39" s="54"/>
      <c r="I39" s="54"/>
    </row>
    <row r="40" spans="1:12" s="59" customFormat="1" ht="15.75" thickBot="1" x14ac:dyDescent="0.3">
      <c r="A40" s="55" t="s">
        <v>428</v>
      </c>
      <c r="B40" s="56"/>
      <c r="C40" s="56"/>
      <c r="D40" s="61"/>
      <c r="E40" s="62"/>
      <c r="F40" s="62"/>
      <c r="G40" s="129">
        <f>G14+E25-F25</f>
        <v>183891.57149999993</v>
      </c>
      <c r="H40" s="54"/>
      <c r="I40" s="54"/>
      <c r="K40" s="130"/>
    </row>
    <row r="41" spans="1:12" s="59" customFormat="1" ht="15" x14ac:dyDescent="0.25">
      <c r="A41" s="555" t="s">
        <v>134</v>
      </c>
      <c r="B41" s="558"/>
      <c r="C41" s="363"/>
      <c r="D41" s="363"/>
      <c r="E41" s="364"/>
      <c r="F41" s="364"/>
      <c r="G41" s="38"/>
      <c r="H41" s="54"/>
      <c r="I41" s="54"/>
      <c r="K41" s="130"/>
    </row>
    <row r="42" spans="1:12" s="59" customFormat="1" ht="15" x14ac:dyDescent="0.25">
      <c r="A42" s="465" t="s">
        <v>91</v>
      </c>
      <c r="B42" s="465"/>
      <c r="C42" s="41" t="s">
        <v>92</v>
      </c>
      <c r="D42" s="41" t="s">
        <v>93</v>
      </c>
      <c r="E42" s="42" t="s">
        <v>94</v>
      </c>
      <c r="F42" s="40" t="s">
        <v>95</v>
      </c>
      <c r="G42" s="327" t="s">
        <v>387</v>
      </c>
      <c r="H42" s="54"/>
      <c r="I42" s="54">
        <f>I43*H43*3</f>
        <v>1345.1759999999999</v>
      </c>
      <c r="K42" s="130"/>
    </row>
    <row r="43" spans="1:12" s="59" customFormat="1" ht="15" x14ac:dyDescent="0.25">
      <c r="A43" s="465"/>
      <c r="B43" s="465"/>
      <c r="C43" s="342">
        <v>16.8</v>
      </c>
      <c r="D43" s="138">
        <f>E43/C43/12</f>
        <v>26.68988095238095</v>
      </c>
      <c r="E43" s="358">
        <v>5380.68</v>
      </c>
      <c r="F43" s="358">
        <v>5206.1000000000004</v>
      </c>
      <c r="G43" s="327">
        <f>F43-E43</f>
        <v>-174.57999999999993</v>
      </c>
      <c r="H43" s="335">
        <f>C17+C23+C25</f>
        <v>26.689999999999998</v>
      </c>
      <c r="I43" s="54">
        <v>16.8</v>
      </c>
      <c r="J43" s="59">
        <v>4012.86</v>
      </c>
      <c r="K43" s="130">
        <v>1164.79</v>
      </c>
    </row>
    <row r="44" spans="1:12" ht="31.5" customHeight="1" x14ac:dyDescent="0.2">
      <c r="A44" s="371" t="s">
        <v>150</v>
      </c>
      <c r="B44" s="371"/>
      <c r="C44" s="371"/>
      <c r="D44" s="371"/>
      <c r="E44" s="371"/>
      <c r="F44" s="371"/>
      <c r="G44" s="371"/>
      <c r="H44" s="371"/>
      <c r="I44" s="371"/>
      <c r="J44" s="371"/>
      <c r="K44" s="371"/>
    </row>
    <row r="46" spans="1:12" s="66" customFormat="1" ht="37.5" customHeight="1" x14ac:dyDescent="0.2">
      <c r="A46" s="94" t="s">
        <v>11</v>
      </c>
      <c r="B46" s="416" t="s">
        <v>45</v>
      </c>
      <c r="C46" s="425"/>
      <c r="D46" s="94" t="s">
        <v>99</v>
      </c>
      <c r="E46" s="94" t="s">
        <v>98</v>
      </c>
      <c r="F46" s="550" t="s">
        <v>46</v>
      </c>
      <c r="G46" s="550"/>
      <c r="H46" s="95"/>
      <c r="I46" s="96"/>
      <c r="L46" s="97"/>
    </row>
    <row r="47" spans="1:12" s="103" customFormat="1" ht="15" customHeight="1" x14ac:dyDescent="0.25">
      <c r="A47" s="98" t="s">
        <v>47</v>
      </c>
      <c r="B47" s="418" t="s">
        <v>75</v>
      </c>
      <c r="C47" s="430"/>
      <c r="D47" s="99"/>
      <c r="E47" s="99"/>
      <c r="F47" s="548">
        <f>SUM(F48:G53)</f>
        <v>57137.547200000001</v>
      </c>
      <c r="G47" s="549"/>
      <c r="H47" s="101"/>
      <c r="I47" s="102"/>
      <c r="L47" s="104"/>
    </row>
    <row r="48" spans="1:12" ht="15" x14ac:dyDescent="0.25">
      <c r="A48" s="34" t="s">
        <v>16</v>
      </c>
      <c r="B48" s="406" t="s">
        <v>581</v>
      </c>
      <c r="C48" s="407"/>
      <c r="D48" s="176" t="s">
        <v>137</v>
      </c>
      <c r="E48" s="176">
        <v>0.02</v>
      </c>
      <c r="F48" s="435">
        <v>7789.96</v>
      </c>
      <c r="G48" s="435"/>
      <c r="H48" s="38"/>
      <c r="I48" s="38"/>
      <c r="L48" s="106"/>
    </row>
    <row r="49" spans="1:12" ht="15" x14ac:dyDescent="0.25">
      <c r="A49" s="34" t="s">
        <v>18</v>
      </c>
      <c r="B49" s="406" t="s">
        <v>582</v>
      </c>
      <c r="C49" s="431"/>
      <c r="D49" s="105" t="s">
        <v>100</v>
      </c>
      <c r="E49" s="105">
        <v>1</v>
      </c>
      <c r="F49" s="435">
        <v>10000</v>
      </c>
      <c r="G49" s="435"/>
      <c r="H49" s="38"/>
      <c r="I49" s="38"/>
      <c r="L49" s="106"/>
    </row>
    <row r="50" spans="1:12" ht="15" customHeight="1" x14ac:dyDescent="0.25">
      <c r="A50" s="34" t="s">
        <v>20</v>
      </c>
      <c r="B50" s="406" t="s">
        <v>583</v>
      </c>
      <c r="C50" s="431"/>
      <c r="D50" s="105" t="s">
        <v>102</v>
      </c>
      <c r="E50" s="105">
        <v>0.02</v>
      </c>
      <c r="F50" s="466">
        <v>9394</v>
      </c>
      <c r="G50" s="467"/>
      <c r="H50" s="38"/>
      <c r="I50" s="38"/>
      <c r="L50" s="106"/>
    </row>
    <row r="51" spans="1:12" ht="15" x14ac:dyDescent="0.25">
      <c r="A51" s="34" t="s">
        <v>22</v>
      </c>
      <c r="B51" s="406" t="s">
        <v>584</v>
      </c>
      <c r="C51" s="431"/>
      <c r="D51" s="105" t="s">
        <v>137</v>
      </c>
      <c r="E51" s="105">
        <v>0.1</v>
      </c>
      <c r="F51" s="466">
        <v>29020.95</v>
      </c>
      <c r="G51" s="467"/>
      <c r="H51" s="38"/>
      <c r="I51" s="38"/>
      <c r="L51" s="106"/>
    </row>
    <row r="52" spans="1:12" ht="15" x14ac:dyDescent="0.25">
      <c r="A52" s="34" t="s">
        <v>24</v>
      </c>
      <c r="B52" s="497"/>
      <c r="C52" s="495"/>
      <c r="D52" s="258"/>
      <c r="E52" s="258"/>
      <c r="F52" s="468"/>
      <c r="G52" s="469"/>
      <c r="H52" s="38"/>
      <c r="I52" s="38"/>
      <c r="L52" s="106"/>
    </row>
    <row r="53" spans="1:12" s="59" customFormat="1" ht="15" x14ac:dyDescent="0.25">
      <c r="A53" s="34" t="s">
        <v>73</v>
      </c>
      <c r="B53" s="458" t="s">
        <v>108</v>
      </c>
      <c r="C53" s="459"/>
      <c r="D53" s="108"/>
      <c r="E53" s="108"/>
      <c r="F53" s="435">
        <f>E25*1%</f>
        <v>932.63719999999989</v>
      </c>
      <c r="G53" s="435"/>
      <c r="H53" s="51"/>
      <c r="I53" s="51"/>
      <c r="J53" s="51"/>
      <c r="K53" s="51"/>
    </row>
    <row r="54" spans="1:12" s="51" customFormat="1" ht="9" customHeight="1" x14ac:dyDescent="0.2"/>
    <row r="55" spans="1:12" s="51" customFormat="1" ht="15" x14ac:dyDescent="0.25">
      <c r="A55" s="51" t="s">
        <v>372</v>
      </c>
      <c r="B55" s="59"/>
      <c r="C55" s="110" t="s">
        <v>49</v>
      </c>
      <c r="D55" s="59"/>
      <c r="E55" s="59"/>
      <c r="F55" s="59" t="s">
        <v>60</v>
      </c>
      <c r="G55" s="59"/>
      <c r="H55" s="59"/>
      <c r="I55" s="59"/>
      <c r="J55" s="59"/>
      <c r="K55" s="59"/>
    </row>
    <row r="56" spans="1:12" s="51" customFormat="1" ht="15" x14ac:dyDescent="0.25">
      <c r="A56" s="59"/>
      <c r="B56" s="59"/>
      <c r="C56" s="110"/>
      <c r="D56" s="59"/>
      <c r="E56" s="59"/>
      <c r="F56" s="111" t="s">
        <v>438</v>
      </c>
      <c r="G56" s="59"/>
    </row>
    <row r="57" spans="1:12" s="51" customFormat="1" ht="15" x14ac:dyDescent="0.25">
      <c r="A57" s="59" t="s">
        <v>50</v>
      </c>
      <c r="B57" s="59"/>
      <c r="C57" s="110"/>
      <c r="D57" s="59"/>
      <c r="E57" s="59"/>
      <c r="F57" s="59"/>
      <c r="G57" s="59"/>
      <c r="H57" s="141"/>
      <c r="I57" s="141"/>
      <c r="J57" s="141"/>
    </row>
    <row r="58" spans="1:12" ht="15" x14ac:dyDescent="0.25">
      <c r="A58" s="59"/>
      <c r="B58" s="59"/>
      <c r="C58" s="112" t="s">
        <v>51</v>
      </c>
      <c r="D58" s="59"/>
      <c r="E58" s="113"/>
      <c r="F58" s="113"/>
      <c r="G58" s="113"/>
      <c r="H58" s="51"/>
      <c r="I58" s="51"/>
      <c r="J58" s="51"/>
      <c r="K58" s="51"/>
    </row>
    <row r="59" spans="1:12" x14ac:dyDescent="0.2">
      <c r="A59" s="51"/>
      <c r="B59" s="51"/>
      <c r="C59" s="51"/>
      <c r="D59" s="51"/>
      <c r="E59" s="51"/>
      <c r="F59" s="51"/>
      <c r="G59" s="51"/>
      <c r="H59" s="51"/>
      <c r="I59" s="51"/>
      <c r="J59" s="51"/>
      <c r="K59" s="51"/>
    </row>
  </sheetData>
  <mergeCells count="29">
    <mergeCell ref="F51:G51"/>
    <mergeCell ref="A44:K44"/>
    <mergeCell ref="A3:L3"/>
    <mergeCell ref="B53:C53"/>
    <mergeCell ref="F53:G53"/>
    <mergeCell ref="B49:C49"/>
    <mergeCell ref="F49:G49"/>
    <mergeCell ref="B51:C51"/>
    <mergeCell ref="B52:C52"/>
    <mergeCell ref="F52:G52"/>
    <mergeCell ref="B50:C50"/>
    <mergeCell ref="F50:G50"/>
    <mergeCell ref="B46:C46"/>
    <mergeCell ref="B47:C47"/>
    <mergeCell ref="F48:G48"/>
    <mergeCell ref="A2:L2"/>
    <mergeCell ref="A36:F36"/>
    <mergeCell ref="C35:F35"/>
    <mergeCell ref="A12:K12"/>
    <mergeCell ref="B48:C48"/>
    <mergeCell ref="A1:K1"/>
    <mergeCell ref="A5:K5"/>
    <mergeCell ref="A10:K10"/>
    <mergeCell ref="A11:K11"/>
    <mergeCell ref="F47:G47"/>
    <mergeCell ref="A37:C37"/>
    <mergeCell ref="A42:B43"/>
    <mergeCell ref="F46:G46"/>
    <mergeCell ref="A41:B41"/>
  </mergeCells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D3B647-E262-49E1-9A5E-A12D0FADED5A}">
  <sheetPr>
    <tabColor rgb="FF7030A0"/>
  </sheetPr>
  <dimension ref="A1:N60"/>
  <sheetViews>
    <sheetView topLeftCell="A39" workbookViewId="0">
      <selection activeCell="A63" sqref="A63:IV64"/>
    </sheetView>
  </sheetViews>
  <sheetFormatPr defaultRowHeight="12.75" outlineLevelRow="1" outlineLevelCol="1" x14ac:dyDescent="0.2"/>
  <cols>
    <col min="1" max="1" width="6" style="49" customWidth="1"/>
    <col min="2" max="2" width="48.140625" style="49" customWidth="1"/>
    <col min="3" max="3" width="14" style="49" customWidth="1"/>
    <col min="4" max="4" width="14.85546875" style="49" customWidth="1"/>
    <col min="5" max="6" width="13.28515625" style="49" customWidth="1"/>
    <col min="7" max="7" width="14.5703125" style="49" customWidth="1"/>
    <col min="8" max="9" width="11.5703125" style="49" hidden="1" customWidth="1" outlineLevel="1"/>
    <col min="10" max="10" width="10.140625" style="49" hidden="1" customWidth="1" outlineLevel="1"/>
    <col min="11" max="11" width="10.42578125" style="49" customWidth="1" collapsed="1"/>
    <col min="12" max="12" width="11.42578125" style="49" bestFit="1" customWidth="1"/>
    <col min="13" max="13" width="10" style="49" bestFit="1" customWidth="1"/>
    <col min="14" max="14" width="15.85546875" style="49" customWidth="1"/>
    <col min="15" max="16384" width="9.140625" style="49"/>
  </cols>
  <sheetData>
    <row r="1" spans="1:12" x14ac:dyDescent="0.2">
      <c r="A1" s="370" t="s">
        <v>0</v>
      </c>
      <c r="B1" s="370"/>
      <c r="C1" s="370"/>
      <c r="D1" s="370"/>
      <c r="E1" s="370"/>
      <c r="F1" s="370"/>
      <c r="G1" s="370"/>
      <c r="H1" s="370"/>
      <c r="I1" s="370"/>
      <c r="J1" s="370"/>
      <c r="K1" s="370"/>
    </row>
    <row r="2" spans="1:12" ht="12.75" customHeight="1" x14ac:dyDescent="0.2">
      <c r="A2" s="370" t="s">
        <v>152</v>
      </c>
      <c r="B2" s="370"/>
      <c r="C2" s="370"/>
      <c r="D2" s="370"/>
      <c r="E2" s="370"/>
      <c r="F2" s="370"/>
      <c r="G2" s="370"/>
      <c r="H2" s="370"/>
      <c r="I2" s="370"/>
      <c r="J2" s="370"/>
      <c r="K2" s="370"/>
      <c r="L2" s="370"/>
    </row>
    <row r="3" spans="1:12" ht="13.5" customHeight="1" x14ac:dyDescent="0.2">
      <c r="A3" s="370" t="s">
        <v>426</v>
      </c>
      <c r="B3" s="370"/>
      <c r="C3" s="370"/>
      <c r="D3" s="370"/>
      <c r="E3" s="370"/>
      <c r="F3" s="370"/>
      <c r="G3" s="370"/>
      <c r="H3" s="370"/>
      <c r="I3" s="370"/>
      <c r="J3" s="370"/>
      <c r="K3" s="370"/>
      <c r="L3" s="370"/>
    </row>
    <row r="4" spans="1:12" ht="9" customHeight="1" x14ac:dyDescent="0.2">
      <c r="A4" s="48"/>
      <c r="B4" s="48"/>
      <c r="C4" s="48"/>
      <c r="D4" s="48"/>
      <c r="E4" s="48"/>
      <c r="F4" s="48"/>
      <c r="G4" s="48"/>
      <c r="H4" s="48"/>
      <c r="I4" s="48"/>
      <c r="J4" s="48"/>
      <c r="K4" s="48"/>
    </row>
    <row r="5" spans="1:12" ht="16.5" customHeight="1" x14ac:dyDescent="0.2">
      <c r="A5" s="371" t="s">
        <v>1</v>
      </c>
      <c r="B5" s="370"/>
      <c r="C5" s="370"/>
      <c r="D5" s="370"/>
      <c r="E5" s="370"/>
      <c r="F5" s="370"/>
      <c r="G5" s="370"/>
      <c r="H5" s="370"/>
      <c r="I5" s="370"/>
      <c r="J5" s="370"/>
      <c r="K5" s="370"/>
    </row>
    <row r="7" spans="1:12" s="51" customFormat="1" ht="16.5" customHeight="1" x14ac:dyDescent="0.2">
      <c r="A7" s="51" t="s">
        <v>2</v>
      </c>
      <c r="F7" s="52" t="s">
        <v>333</v>
      </c>
      <c r="H7" s="52"/>
    </row>
    <row r="8" spans="1:12" s="51" customFormat="1" x14ac:dyDescent="0.2">
      <c r="A8" s="51" t="s">
        <v>3</v>
      </c>
      <c r="F8" s="242" t="s">
        <v>334</v>
      </c>
      <c r="H8" s="231">
        <v>11</v>
      </c>
      <c r="I8" s="51">
        <f>J8-H8</f>
        <v>4113.5</v>
      </c>
      <c r="J8" s="276">
        <v>4124.5</v>
      </c>
    </row>
    <row r="9" spans="1:12" s="51" customFormat="1" x14ac:dyDescent="0.2">
      <c r="B9" s="51" t="s">
        <v>252</v>
      </c>
      <c r="F9" s="242" t="s">
        <v>335</v>
      </c>
      <c r="H9" s="206"/>
    </row>
    <row r="10" spans="1:12" s="51" customFormat="1" x14ac:dyDescent="0.2">
      <c r="A10" s="372" t="s">
        <v>8</v>
      </c>
      <c r="B10" s="372"/>
      <c r="C10" s="372"/>
      <c r="D10" s="372"/>
      <c r="E10" s="372"/>
      <c r="F10" s="372"/>
      <c r="G10" s="372"/>
      <c r="H10" s="372"/>
      <c r="I10" s="372"/>
      <c r="J10" s="372"/>
      <c r="K10" s="372"/>
    </row>
    <row r="11" spans="1:12" s="51" customFormat="1" x14ac:dyDescent="0.2">
      <c r="A11" s="372" t="s">
        <v>9</v>
      </c>
      <c r="B11" s="372"/>
      <c r="C11" s="372"/>
      <c r="D11" s="372"/>
      <c r="E11" s="372"/>
      <c r="F11" s="372"/>
      <c r="G11" s="372"/>
      <c r="H11" s="372"/>
      <c r="I11" s="372"/>
      <c r="J11" s="372"/>
      <c r="K11" s="372"/>
    </row>
    <row r="12" spans="1:12" s="51" customFormat="1" ht="13.5" thickBot="1" x14ac:dyDescent="0.25">
      <c r="A12" s="372" t="s">
        <v>10</v>
      </c>
      <c r="B12" s="372"/>
      <c r="C12" s="372"/>
      <c r="D12" s="372"/>
      <c r="E12" s="372"/>
      <c r="F12" s="372"/>
      <c r="G12" s="372"/>
      <c r="H12" s="372"/>
      <c r="I12" s="372"/>
      <c r="J12" s="372"/>
      <c r="K12" s="372"/>
    </row>
    <row r="13" spans="1:12" s="59" customFormat="1" ht="19.5" customHeight="1" thickBot="1" x14ac:dyDescent="0.3">
      <c r="A13" s="55" t="s">
        <v>562</v>
      </c>
      <c r="B13" s="56"/>
      <c r="C13" s="56"/>
      <c r="D13" s="61"/>
      <c r="E13" s="62"/>
      <c r="F13" s="62"/>
      <c r="G13" s="232">
        <f>'[1]Плеханова 11'!$G$39</f>
        <v>236456.07</v>
      </c>
      <c r="H13" s="54"/>
      <c r="I13" s="54"/>
    </row>
    <row r="14" spans="1:12" s="59" customFormat="1" ht="15.75" thickBot="1" x14ac:dyDescent="0.3">
      <c r="A14" s="217" t="s">
        <v>580</v>
      </c>
      <c r="B14" s="218"/>
      <c r="C14" s="218"/>
      <c r="D14" s="61"/>
      <c r="E14" s="62"/>
      <c r="F14" s="62"/>
      <c r="G14" s="232">
        <f>'[1]Плеханова 11'!$G$40</f>
        <v>245574.14079999996</v>
      </c>
      <c r="H14" s="54"/>
      <c r="I14" s="54"/>
    </row>
    <row r="15" spans="1:12" s="51" customFormat="1" ht="6.75" customHeight="1" x14ac:dyDescent="0.2"/>
    <row r="16" spans="1:12" s="66" customFormat="1" ht="38.25" x14ac:dyDescent="0.25">
      <c r="A16" s="64" t="s">
        <v>11</v>
      </c>
      <c r="B16" s="64" t="s">
        <v>12</v>
      </c>
      <c r="C16" s="64" t="s">
        <v>61</v>
      </c>
      <c r="D16" s="64" t="s">
        <v>432</v>
      </c>
      <c r="E16" s="64" t="s">
        <v>433</v>
      </c>
      <c r="F16" s="65" t="s">
        <v>434</v>
      </c>
      <c r="G16" s="64" t="s">
        <v>435</v>
      </c>
    </row>
    <row r="17" spans="1:14" s="51" customFormat="1" ht="14.25" x14ac:dyDescent="0.2">
      <c r="A17" s="67" t="s">
        <v>14</v>
      </c>
      <c r="B17" s="39" t="s">
        <v>379</v>
      </c>
      <c r="C17" s="87">
        <v>20.32</v>
      </c>
      <c r="D17" s="68">
        <v>947645.28</v>
      </c>
      <c r="E17" s="68">
        <v>939510.11</v>
      </c>
      <c r="F17" s="68">
        <f t="shared" ref="F17:F25" si="0">D17</f>
        <v>947645.28</v>
      </c>
      <c r="G17" s="69">
        <f t="shared" ref="G17:G22" si="1">D17-E17</f>
        <v>8135.1700000000419</v>
      </c>
      <c r="H17" s="70">
        <f>C17</f>
        <v>20.32</v>
      </c>
      <c r="I17" s="71"/>
      <c r="J17" s="71"/>
      <c r="K17" s="71"/>
      <c r="M17" s="70"/>
      <c r="N17" s="72"/>
    </row>
    <row r="18" spans="1:14" s="51" customFormat="1" ht="15" hidden="1" outlineLevel="1" x14ac:dyDescent="0.25">
      <c r="A18" s="73" t="s">
        <v>16</v>
      </c>
      <c r="B18" s="34" t="s">
        <v>17</v>
      </c>
      <c r="C18" s="74">
        <v>3.46</v>
      </c>
      <c r="D18" s="75">
        <f>D17*I18</f>
        <v>161360.85968503938</v>
      </c>
      <c r="E18" s="75">
        <f>E17*I18</f>
        <v>159975.63880905512</v>
      </c>
      <c r="F18" s="75">
        <f t="shared" si="0"/>
        <v>161360.85968503938</v>
      </c>
      <c r="G18" s="76">
        <f t="shared" si="1"/>
        <v>1385.2208759842615</v>
      </c>
      <c r="H18" s="70">
        <f>C18</f>
        <v>3.46</v>
      </c>
      <c r="I18" s="51">
        <f>H18/H17</f>
        <v>0.17027559055118111</v>
      </c>
    </row>
    <row r="19" spans="1:14" s="51" customFormat="1" ht="15" hidden="1" outlineLevel="1" x14ac:dyDescent="0.25">
      <c r="A19" s="73" t="s">
        <v>18</v>
      </c>
      <c r="B19" s="34" t="s">
        <v>19</v>
      </c>
      <c r="C19" s="77">
        <v>1.69</v>
      </c>
      <c r="D19" s="75">
        <f>D17*I19</f>
        <v>78814.986377952751</v>
      </c>
      <c r="E19" s="75">
        <f>E17*I19</f>
        <v>78138.390054133852</v>
      </c>
      <c r="F19" s="75">
        <f t="shared" si="0"/>
        <v>78814.986377952751</v>
      </c>
      <c r="G19" s="76">
        <f t="shared" si="1"/>
        <v>676.59632381889969</v>
      </c>
      <c r="H19" s="70">
        <f>C19</f>
        <v>1.69</v>
      </c>
      <c r="I19" s="51">
        <f>H19/H17</f>
        <v>8.3169291338582668E-2</v>
      </c>
    </row>
    <row r="20" spans="1:14" s="51" customFormat="1" ht="15" hidden="1" outlineLevel="1" x14ac:dyDescent="0.25">
      <c r="A20" s="73" t="s">
        <v>20</v>
      </c>
      <c r="B20" s="34" t="s">
        <v>21</v>
      </c>
      <c r="C20" s="77">
        <v>2.15</v>
      </c>
      <c r="D20" s="75">
        <f>D17*I20</f>
        <v>100267.58622047244</v>
      </c>
      <c r="E20" s="75">
        <f>E17*I20</f>
        <v>99406.827583661405</v>
      </c>
      <c r="F20" s="75">
        <f t="shared" si="0"/>
        <v>100267.58622047244</v>
      </c>
      <c r="G20" s="76">
        <f t="shared" si="1"/>
        <v>860.7586368110351</v>
      </c>
      <c r="H20" s="70">
        <f>C20</f>
        <v>2.15</v>
      </c>
      <c r="I20" s="51">
        <f>H20/H17</f>
        <v>0.10580708661417322</v>
      </c>
    </row>
    <row r="21" spans="1:14" s="51" customFormat="1" ht="15" hidden="1" outlineLevel="1" x14ac:dyDescent="0.25">
      <c r="A21" s="73" t="s">
        <v>22</v>
      </c>
      <c r="B21" s="34" t="s">
        <v>23</v>
      </c>
      <c r="C21" s="74">
        <v>3.04</v>
      </c>
      <c r="D21" s="75">
        <f>D17*I21</f>
        <v>141773.70330708663</v>
      </c>
      <c r="E21" s="75">
        <f>E17*I21</f>
        <v>140556.63062992127</v>
      </c>
      <c r="F21" s="75">
        <f t="shared" si="0"/>
        <v>141773.70330708663</v>
      </c>
      <c r="G21" s="76">
        <f t="shared" si="1"/>
        <v>1217.0726771653572</v>
      </c>
      <c r="H21" s="70">
        <f>C21</f>
        <v>3.04</v>
      </c>
      <c r="I21" s="51">
        <f>H21/H17</f>
        <v>0.14960629921259844</v>
      </c>
    </row>
    <row r="22" spans="1:14" s="51" customFormat="1" ht="15" hidden="1" outlineLevel="1" x14ac:dyDescent="0.25">
      <c r="A22" s="73" t="s">
        <v>24</v>
      </c>
      <c r="B22" s="34" t="s">
        <v>89</v>
      </c>
      <c r="C22" s="74">
        <v>3.5</v>
      </c>
      <c r="D22" s="75">
        <f>I22*D17</f>
        <v>163226.3031496063</v>
      </c>
      <c r="E22" s="75">
        <f>I22*E17</f>
        <v>161825.06815944883</v>
      </c>
      <c r="F22" s="75">
        <f t="shared" si="0"/>
        <v>163226.3031496063</v>
      </c>
      <c r="G22" s="76">
        <f t="shared" si="1"/>
        <v>1401.234990157478</v>
      </c>
      <c r="H22" s="70">
        <v>3.5</v>
      </c>
      <c r="I22" s="51">
        <f>H22/H17</f>
        <v>0.17224409448818898</v>
      </c>
    </row>
    <row r="23" spans="1:14" s="81" customFormat="1" ht="14.25" collapsed="1" x14ac:dyDescent="0.2">
      <c r="A23" s="78" t="s">
        <v>25</v>
      </c>
      <c r="B23" s="78" t="s">
        <v>26</v>
      </c>
      <c r="C23" s="43">
        <v>4.3600000000000003</v>
      </c>
      <c r="D23" s="79">
        <v>214933.79</v>
      </c>
      <c r="E23" s="79">
        <v>216142.15</v>
      </c>
      <c r="F23" s="79">
        <f>D23</f>
        <v>214933.79</v>
      </c>
      <c r="G23" s="69">
        <f t="shared" ref="G23:G34" si="2">D23-E23</f>
        <v>-1208.359999999986</v>
      </c>
      <c r="H23" s="80"/>
      <c r="I23" s="80"/>
      <c r="J23" s="80"/>
      <c r="K23" s="80"/>
    </row>
    <row r="24" spans="1:14" s="81" customFormat="1" ht="14.25" x14ac:dyDescent="0.2">
      <c r="A24" s="78" t="s">
        <v>27</v>
      </c>
      <c r="B24" s="78" t="s">
        <v>62</v>
      </c>
      <c r="C24" s="43">
        <v>0</v>
      </c>
      <c r="D24" s="79">
        <v>0</v>
      </c>
      <c r="E24" s="79">
        <v>43.79</v>
      </c>
      <c r="F24" s="79">
        <f t="shared" si="0"/>
        <v>0</v>
      </c>
      <c r="G24" s="69">
        <f t="shared" si="2"/>
        <v>-43.79</v>
      </c>
      <c r="H24" s="80"/>
      <c r="I24" s="80"/>
      <c r="J24" s="80"/>
      <c r="K24" s="80"/>
    </row>
    <row r="25" spans="1:14" s="81" customFormat="1" ht="14.25" x14ac:dyDescent="0.2">
      <c r="A25" s="78" t="s">
        <v>29</v>
      </c>
      <c r="B25" s="78" t="s">
        <v>30</v>
      </c>
      <c r="C25" s="46">
        <v>2.65</v>
      </c>
      <c r="D25" s="79">
        <v>0</v>
      </c>
      <c r="E25" s="79">
        <v>2371.9</v>
      </c>
      <c r="F25" s="79">
        <f t="shared" si="0"/>
        <v>0</v>
      </c>
      <c r="G25" s="69">
        <f t="shared" si="2"/>
        <v>-2371.9</v>
      </c>
      <c r="H25" s="80"/>
      <c r="I25" s="80"/>
      <c r="J25" s="80"/>
      <c r="K25" s="80"/>
    </row>
    <row r="26" spans="1:14" s="81" customFormat="1" ht="14.25" x14ac:dyDescent="0.2">
      <c r="A26" s="78" t="s">
        <v>31</v>
      </c>
      <c r="B26" s="78" t="s">
        <v>80</v>
      </c>
      <c r="C26" s="86">
        <v>2.0099999999999998</v>
      </c>
      <c r="D26" s="79">
        <f>99483.96+D27</f>
        <v>99749.280000000013</v>
      </c>
      <c r="E26" s="79">
        <f>100309.57+E27</f>
        <v>100508.56000000001</v>
      </c>
      <c r="F26" s="79">
        <f>F47</f>
        <v>400625.36560000002</v>
      </c>
      <c r="G26" s="69">
        <f t="shared" si="2"/>
        <v>-759.27999999999884</v>
      </c>
      <c r="H26" s="80"/>
      <c r="I26" s="80"/>
      <c r="J26" s="80"/>
      <c r="K26" s="80"/>
    </row>
    <row r="27" spans="1:14" s="81" customFormat="1" ht="14.25" outlineLevel="1" x14ac:dyDescent="0.2">
      <c r="A27" s="78"/>
      <c r="B27" s="257" t="s">
        <v>244</v>
      </c>
      <c r="C27" s="291"/>
      <c r="D27" s="336">
        <v>265.32</v>
      </c>
      <c r="E27" s="336">
        <v>198.99</v>
      </c>
      <c r="F27" s="336"/>
      <c r="G27" s="336"/>
      <c r="H27" s="80"/>
      <c r="I27" s="80"/>
      <c r="J27" s="80"/>
      <c r="K27" s="80"/>
    </row>
    <row r="28" spans="1:14" ht="14.25" x14ac:dyDescent="0.2">
      <c r="A28" s="39" t="s">
        <v>33</v>
      </c>
      <c r="B28" s="39" t="s">
        <v>97</v>
      </c>
      <c r="C28" s="87">
        <v>12.54</v>
      </c>
      <c r="D28" s="69">
        <v>0</v>
      </c>
      <c r="E28" s="69">
        <v>0</v>
      </c>
      <c r="F28" s="79">
        <f>D28</f>
        <v>0</v>
      </c>
      <c r="G28" s="69">
        <f t="shared" si="2"/>
        <v>0</v>
      </c>
      <c r="H28" s="88"/>
      <c r="I28" s="88"/>
      <c r="J28" s="88"/>
      <c r="K28" s="88"/>
    </row>
    <row r="29" spans="1:14" ht="14.25" x14ac:dyDescent="0.2">
      <c r="A29" s="39" t="s">
        <v>35</v>
      </c>
      <c r="B29" s="39" t="s">
        <v>36</v>
      </c>
      <c r="C29" s="87"/>
      <c r="D29" s="69">
        <f>SUM(D30:D33)</f>
        <v>3760928.1</v>
      </c>
      <c r="E29" s="69">
        <f>SUM(E30:E33)</f>
        <v>3779331.19</v>
      </c>
      <c r="F29" s="69">
        <f>SUM(F30:F33)</f>
        <v>3760928.1</v>
      </c>
      <c r="G29" s="69">
        <f t="shared" si="2"/>
        <v>-18403.089999999851</v>
      </c>
      <c r="H29" s="88"/>
      <c r="I29" s="88"/>
      <c r="J29" s="88"/>
      <c r="K29" s="88"/>
    </row>
    <row r="30" spans="1:14" ht="15" x14ac:dyDescent="0.25">
      <c r="A30" s="34" t="s">
        <v>37</v>
      </c>
      <c r="B30" s="34" t="s">
        <v>101</v>
      </c>
      <c r="C30" s="89">
        <v>7.36</v>
      </c>
      <c r="D30" s="76">
        <v>253097.4</v>
      </c>
      <c r="E30" s="76">
        <v>253500.45</v>
      </c>
      <c r="F30" s="76">
        <f>D30</f>
        <v>253097.4</v>
      </c>
      <c r="G30" s="76">
        <f t="shared" si="2"/>
        <v>-403.05000000001746</v>
      </c>
    </row>
    <row r="31" spans="1:14" ht="15" x14ac:dyDescent="0.25">
      <c r="A31" s="34" t="s">
        <v>39</v>
      </c>
      <c r="B31" s="34" t="s">
        <v>84</v>
      </c>
      <c r="C31" s="89">
        <v>88.38</v>
      </c>
      <c r="D31" s="76">
        <v>597370.30000000005</v>
      </c>
      <c r="E31" s="76">
        <v>605544.56000000006</v>
      </c>
      <c r="F31" s="76">
        <f>D31</f>
        <v>597370.30000000005</v>
      </c>
      <c r="G31" s="76">
        <f t="shared" si="2"/>
        <v>-8174.2600000000093</v>
      </c>
    </row>
    <row r="32" spans="1:14" ht="24.75" customHeight="1" x14ac:dyDescent="0.25">
      <c r="A32" s="34" t="s">
        <v>42</v>
      </c>
      <c r="B32" s="34" t="s">
        <v>135</v>
      </c>
      <c r="C32" s="128">
        <v>278.94</v>
      </c>
      <c r="D32" s="188">
        <v>771020.79</v>
      </c>
      <c r="E32" s="188">
        <v>767031.83</v>
      </c>
      <c r="F32" s="76">
        <f>D32</f>
        <v>771020.79</v>
      </c>
      <c r="G32" s="76">
        <f t="shared" si="2"/>
        <v>3988.9600000000792</v>
      </c>
    </row>
    <row r="33" spans="1:12" ht="15" x14ac:dyDescent="0.25">
      <c r="A33" s="34" t="s">
        <v>41</v>
      </c>
      <c r="B33" s="34" t="s">
        <v>43</v>
      </c>
      <c r="C33" s="89">
        <v>3352.42</v>
      </c>
      <c r="D33" s="76">
        <v>2139439.61</v>
      </c>
      <c r="E33" s="76">
        <v>2153254.35</v>
      </c>
      <c r="F33" s="76">
        <f>D33</f>
        <v>2139439.61</v>
      </c>
      <c r="G33" s="76">
        <f t="shared" si="2"/>
        <v>-13814.740000000224</v>
      </c>
    </row>
    <row r="34" spans="1:12" ht="14.25" hidden="1" outlineLevel="1" x14ac:dyDescent="0.2">
      <c r="A34" s="39" t="s">
        <v>112</v>
      </c>
      <c r="B34" s="300" t="s">
        <v>140</v>
      </c>
      <c r="C34" s="298"/>
      <c r="D34" s="248">
        <f>1000+1800</f>
        <v>2800</v>
      </c>
      <c r="E34" s="248">
        <v>1800</v>
      </c>
      <c r="F34" s="248">
        <v>0</v>
      </c>
      <c r="G34" s="248">
        <f t="shared" si="2"/>
        <v>1000</v>
      </c>
    </row>
    <row r="35" spans="1:12" s="92" customFormat="1" ht="13.5" hidden="1" customHeight="1" outlineLevel="1" x14ac:dyDescent="0.25">
      <c r="A35" s="90"/>
      <c r="B35" s="301"/>
      <c r="C35" s="376" t="s">
        <v>246</v>
      </c>
      <c r="D35" s="377"/>
      <c r="E35" s="377"/>
      <c r="F35" s="377"/>
      <c r="G35" s="82">
        <f>E34-(E34*15%)</f>
        <v>1530</v>
      </c>
      <c r="H35" s="91"/>
      <c r="I35" s="91"/>
    </row>
    <row r="36" spans="1:12" s="92" customFormat="1" ht="17.25" customHeight="1" collapsed="1" thickBot="1" x14ac:dyDescent="0.3">
      <c r="A36" s="373" t="s">
        <v>380</v>
      </c>
      <c r="B36" s="374"/>
      <c r="C36" s="374"/>
      <c r="D36" s="375"/>
      <c r="E36" s="375"/>
      <c r="F36" s="375"/>
      <c r="G36" s="91"/>
      <c r="H36" s="91"/>
      <c r="I36" s="91"/>
    </row>
    <row r="37" spans="1:12" s="59" customFormat="1" ht="15.75" thickBot="1" x14ac:dyDescent="0.3">
      <c r="A37" s="387" t="s">
        <v>427</v>
      </c>
      <c r="B37" s="388"/>
      <c r="C37" s="388"/>
      <c r="D37" s="57">
        <v>-14651.25</v>
      </c>
      <c r="E37" s="58"/>
      <c r="F37" s="58"/>
      <c r="G37" s="58"/>
      <c r="H37" s="54"/>
      <c r="I37" s="54"/>
    </row>
    <row r="38" spans="1:12" s="59" customFormat="1" ht="6" customHeight="1" thickBot="1" x14ac:dyDescent="0.3">
      <c r="A38" s="60"/>
      <c r="B38" s="60"/>
      <c r="C38" s="60"/>
      <c r="D38" s="38"/>
      <c r="E38" s="58"/>
      <c r="F38" s="58"/>
      <c r="G38" s="58"/>
      <c r="H38" s="54"/>
      <c r="I38" s="54"/>
    </row>
    <row r="39" spans="1:12" s="59" customFormat="1" ht="14.25" customHeight="1" thickBot="1" x14ac:dyDescent="0.3">
      <c r="A39" s="55" t="s">
        <v>464</v>
      </c>
      <c r="B39" s="56"/>
      <c r="C39" s="56"/>
      <c r="D39" s="61"/>
      <c r="E39" s="62"/>
      <c r="F39" s="62"/>
      <c r="G39" s="129">
        <f>G13+E24-F24</f>
        <v>236499.86000000002</v>
      </c>
      <c r="H39" s="54"/>
      <c r="I39" s="54"/>
    </row>
    <row r="40" spans="1:12" s="59" customFormat="1" ht="15.75" thickBot="1" x14ac:dyDescent="0.3">
      <c r="A40" s="55" t="s">
        <v>428</v>
      </c>
      <c r="B40" s="56"/>
      <c r="C40" s="56"/>
      <c r="D40" s="61"/>
      <c r="E40" s="62"/>
      <c r="F40" s="62"/>
      <c r="G40" s="129">
        <f>G14+E26-F26</f>
        <v>-54542.664800000028</v>
      </c>
      <c r="H40" s="54"/>
      <c r="I40" s="54"/>
      <c r="K40" s="130"/>
    </row>
    <row r="41" spans="1:12" s="59" customFormat="1" ht="15" outlineLevel="1" x14ac:dyDescent="0.25">
      <c r="A41" s="392" t="s">
        <v>90</v>
      </c>
      <c r="B41" s="392"/>
      <c r="C41" s="60"/>
      <c r="D41" s="38"/>
      <c r="E41" s="58"/>
      <c r="F41" s="58"/>
      <c r="G41" s="38"/>
      <c r="H41" s="54"/>
      <c r="I41" s="54"/>
      <c r="K41" s="130"/>
    </row>
    <row r="42" spans="1:12" s="59" customFormat="1" ht="15" outlineLevel="1" x14ac:dyDescent="0.25">
      <c r="A42" s="444" t="s">
        <v>91</v>
      </c>
      <c r="B42" s="445"/>
      <c r="C42" s="305" t="s">
        <v>92</v>
      </c>
      <c r="D42" s="305" t="s">
        <v>93</v>
      </c>
      <c r="E42" s="138" t="s">
        <v>94</v>
      </c>
      <c r="F42" s="306" t="s">
        <v>95</v>
      </c>
      <c r="G42" s="138" t="s">
        <v>96</v>
      </c>
      <c r="H42" s="54"/>
      <c r="I42" s="54"/>
      <c r="K42" s="130"/>
    </row>
    <row r="43" spans="1:12" s="59" customFormat="1" ht="15" outlineLevel="1" x14ac:dyDescent="0.25">
      <c r="A43" s="446"/>
      <c r="B43" s="447"/>
      <c r="C43" s="305">
        <v>11</v>
      </c>
      <c r="D43" s="138">
        <f>E43/C43/12</f>
        <v>26.689999999999998</v>
      </c>
      <c r="E43" s="358">
        <v>3523.08</v>
      </c>
      <c r="F43" s="358">
        <v>4596.24</v>
      </c>
      <c r="G43" s="138">
        <f>E43-F43</f>
        <v>-1073.1599999999999</v>
      </c>
      <c r="H43" s="335">
        <f>C17+C23+C26</f>
        <v>26.689999999999998</v>
      </c>
      <c r="I43" s="54">
        <f>H43*3*C43</f>
        <v>880.77</v>
      </c>
      <c r="J43" s="59">
        <v>2834.7</v>
      </c>
      <c r="K43" s="130"/>
    </row>
    <row r="44" spans="1:12" ht="31.5" customHeight="1" x14ac:dyDescent="0.2">
      <c r="A44" s="371" t="s">
        <v>106</v>
      </c>
      <c r="B44" s="371"/>
      <c r="C44" s="371"/>
      <c r="D44" s="371"/>
      <c r="E44" s="371"/>
      <c r="F44" s="371"/>
      <c r="G44" s="371"/>
      <c r="H44" s="371"/>
      <c r="I44" s="371"/>
      <c r="J44" s="371"/>
      <c r="K44" s="371"/>
    </row>
    <row r="46" spans="1:12" s="66" customFormat="1" ht="37.5" customHeight="1" x14ac:dyDescent="0.2">
      <c r="A46" s="94" t="s">
        <v>11</v>
      </c>
      <c r="B46" s="416" t="s">
        <v>45</v>
      </c>
      <c r="C46" s="425"/>
      <c r="D46" s="94" t="s">
        <v>99</v>
      </c>
      <c r="E46" s="94" t="s">
        <v>98</v>
      </c>
      <c r="F46" s="550" t="s">
        <v>46</v>
      </c>
      <c r="G46" s="550"/>
      <c r="H46" s="95"/>
      <c r="I46" s="96"/>
      <c r="L46" s="97"/>
    </row>
    <row r="47" spans="1:12" s="103" customFormat="1" ht="15" customHeight="1" x14ac:dyDescent="0.25">
      <c r="A47" s="98" t="s">
        <v>47</v>
      </c>
      <c r="B47" s="418" t="s">
        <v>75</v>
      </c>
      <c r="C47" s="430"/>
      <c r="D47" s="99"/>
      <c r="E47" s="99"/>
      <c r="F47" s="548">
        <f>SUM(F48:G54)</f>
        <v>400625.36560000002</v>
      </c>
      <c r="G47" s="549"/>
      <c r="H47" s="101"/>
      <c r="I47" s="102"/>
      <c r="L47" s="104"/>
    </row>
    <row r="48" spans="1:12" ht="15" x14ac:dyDescent="0.25">
      <c r="A48" s="34" t="s">
        <v>16</v>
      </c>
      <c r="B48" s="406" t="s">
        <v>585</v>
      </c>
      <c r="C48" s="407"/>
      <c r="D48" s="176" t="s">
        <v>100</v>
      </c>
      <c r="E48" s="176">
        <v>1</v>
      </c>
      <c r="F48" s="435">
        <v>87871.33</v>
      </c>
      <c r="G48" s="435"/>
      <c r="H48" s="38"/>
      <c r="I48" s="38"/>
      <c r="L48" s="106"/>
    </row>
    <row r="49" spans="1:12" ht="15" x14ac:dyDescent="0.25">
      <c r="A49" s="34" t="s">
        <v>18</v>
      </c>
      <c r="B49" s="406" t="s">
        <v>586</v>
      </c>
      <c r="C49" s="431"/>
      <c r="D49" s="105" t="s">
        <v>137</v>
      </c>
      <c r="E49" s="348">
        <v>1.7500000000000002E-2</v>
      </c>
      <c r="F49" s="435">
        <v>17056.5</v>
      </c>
      <c r="G49" s="435"/>
      <c r="H49" s="38"/>
      <c r="I49" s="38"/>
      <c r="L49" s="106"/>
    </row>
    <row r="50" spans="1:12" ht="27" customHeight="1" x14ac:dyDescent="0.25">
      <c r="A50" s="34" t="s">
        <v>20</v>
      </c>
      <c r="B50" s="406" t="s">
        <v>587</v>
      </c>
      <c r="C50" s="431"/>
      <c r="D50" s="105" t="s">
        <v>100</v>
      </c>
      <c r="E50" s="105">
        <v>1</v>
      </c>
      <c r="F50" s="435">
        <v>8689.19</v>
      </c>
      <c r="G50" s="435"/>
      <c r="H50" s="38"/>
      <c r="I50" s="38"/>
      <c r="L50" s="106"/>
    </row>
    <row r="51" spans="1:12" ht="15" x14ac:dyDescent="0.25">
      <c r="A51" s="34" t="s">
        <v>22</v>
      </c>
      <c r="B51" s="406" t="s">
        <v>588</v>
      </c>
      <c r="C51" s="431"/>
      <c r="D51" s="105" t="s">
        <v>100</v>
      </c>
      <c r="E51" s="107">
        <v>1</v>
      </c>
      <c r="F51" s="435">
        <v>11016.63</v>
      </c>
      <c r="G51" s="435"/>
      <c r="H51" s="38"/>
      <c r="I51" s="38"/>
      <c r="L51" s="106"/>
    </row>
    <row r="52" spans="1:12" ht="15" x14ac:dyDescent="0.25">
      <c r="A52" s="34" t="s">
        <v>24</v>
      </c>
      <c r="B52" s="406" t="s">
        <v>624</v>
      </c>
      <c r="C52" s="431"/>
      <c r="D52" s="105" t="s">
        <v>540</v>
      </c>
      <c r="E52" s="105">
        <v>0.5</v>
      </c>
      <c r="F52" s="466">
        <v>274986.63</v>
      </c>
      <c r="G52" s="467"/>
      <c r="H52" s="38"/>
      <c r="I52" s="38"/>
      <c r="L52" s="106"/>
    </row>
    <row r="53" spans="1:12" ht="15" x14ac:dyDescent="0.25">
      <c r="A53" s="34" t="s">
        <v>73</v>
      </c>
      <c r="B53" s="412"/>
      <c r="C53" s="428"/>
      <c r="D53" s="258"/>
      <c r="E53" s="258"/>
      <c r="F53" s="468"/>
      <c r="G53" s="469"/>
      <c r="H53" s="38"/>
      <c r="I53" s="38"/>
      <c r="L53" s="106"/>
    </row>
    <row r="54" spans="1:12" s="59" customFormat="1" ht="15" x14ac:dyDescent="0.25">
      <c r="A54" s="34" t="s">
        <v>74</v>
      </c>
      <c r="B54" s="458" t="s">
        <v>108</v>
      </c>
      <c r="C54" s="459"/>
      <c r="D54" s="108"/>
      <c r="E54" s="108"/>
      <c r="F54" s="435">
        <f>E26*1%</f>
        <v>1005.0856000000001</v>
      </c>
      <c r="G54" s="435"/>
      <c r="H54" s="51"/>
      <c r="I54" s="51"/>
      <c r="J54" s="51"/>
      <c r="K54" s="51"/>
    </row>
    <row r="55" spans="1:12" s="51" customFormat="1" ht="9" customHeight="1" x14ac:dyDescent="0.2"/>
    <row r="56" spans="1:12" s="51" customFormat="1" ht="15" x14ac:dyDescent="0.25">
      <c r="A56" s="51" t="s">
        <v>372</v>
      </c>
      <c r="B56" s="59"/>
      <c r="C56" s="110" t="s">
        <v>49</v>
      </c>
      <c r="D56" s="59"/>
      <c r="E56" s="59"/>
      <c r="F56" s="59" t="s">
        <v>60</v>
      </c>
      <c r="G56" s="59"/>
      <c r="H56" s="59"/>
      <c r="I56" s="59"/>
      <c r="J56" s="59"/>
      <c r="K56" s="59"/>
    </row>
    <row r="57" spans="1:12" s="51" customFormat="1" ht="15" x14ac:dyDescent="0.25">
      <c r="A57" s="59"/>
      <c r="B57" s="59"/>
      <c r="C57" s="110"/>
      <c r="D57" s="59"/>
      <c r="E57" s="59"/>
      <c r="F57" s="111" t="s">
        <v>438</v>
      </c>
      <c r="G57" s="59"/>
    </row>
    <row r="58" spans="1:12" s="51" customFormat="1" ht="15" x14ac:dyDescent="0.25">
      <c r="A58" s="59" t="s">
        <v>50</v>
      </c>
      <c r="B58" s="59"/>
      <c r="C58" s="110"/>
      <c r="D58" s="59"/>
      <c r="E58" s="59"/>
      <c r="F58" s="59"/>
      <c r="G58" s="59"/>
      <c r="H58" s="141"/>
      <c r="I58" s="141"/>
      <c r="J58" s="141"/>
    </row>
    <row r="59" spans="1:12" ht="15" x14ac:dyDescent="0.25">
      <c r="A59" s="59"/>
      <c r="B59" s="59"/>
      <c r="C59" s="112" t="s">
        <v>51</v>
      </c>
      <c r="D59" s="59"/>
      <c r="E59" s="113"/>
      <c r="F59" s="113"/>
      <c r="G59" s="113"/>
      <c r="H59" s="51"/>
      <c r="I59" s="51"/>
      <c r="J59" s="51"/>
      <c r="K59" s="51"/>
    </row>
    <row r="60" spans="1:12" x14ac:dyDescent="0.2">
      <c r="A60" s="51"/>
      <c r="B60" s="51"/>
      <c r="C60" s="51"/>
      <c r="D60" s="51"/>
      <c r="E60" s="51"/>
      <c r="F60" s="51"/>
      <c r="G60" s="51"/>
      <c r="H60" s="51"/>
      <c r="I60" s="51"/>
      <c r="J60" s="51"/>
      <c r="K60" s="51"/>
    </row>
  </sheetData>
  <mergeCells count="31">
    <mergeCell ref="B51:C51"/>
    <mergeCell ref="B53:C53"/>
    <mergeCell ref="F53:G53"/>
    <mergeCell ref="B49:C49"/>
    <mergeCell ref="A42:B43"/>
    <mergeCell ref="B46:C46"/>
    <mergeCell ref="A44:K44"/>
    <mergeCell ref="C35:F35"/>
    <mergeCell ref="B54:C54"/>
    <mergeCell ref="F54:G54"/>
    <mergeCell ref="B47:C47"/>
    <mergeCell ref="F47:G47"/>
    <mergeCell ref="B48:C48"/>
    <mergeCell ref="B52:C52"/>
    <mergeCell ref="A2:L2"/>
    <mergeCell ref="F49:G49"/>
    <mergeCell ref="B50:C50"/>
    <mergeCell ref="A12:K12"/>
    <mergeCell ref="A37:C37"/>
    <mergeCell ref="A3:L3"/>
    <mergeCell ref="F50:G50"/>
    <mergeCell ref="F51:G51"/>
    <mergeCell ref="F52:G52"/>
    <mergeCell ref="F46:G46"/>
    <mergeCell ref="A36:F36"/>
    <mergeCell ref="F48:G48"/>
    <mergeCell ref="A1:K1"/>
    <mergeCell ref="A5:K5"/>
    <mergeCell ref="A10:K10"/>
    <mergeCell ref="A11:K11"/>
    <mergeCell ref="A41:B41"/>
  </mergeCells>
  <pageMargins left="0.7" right="0.7" top="0.75" bottom="0.75" header="0.3" footer="0.3"/>
  <pageSetup paperSize="9" orientation="portrait" verticalDpi="0" r:id="rId1"/>
  <drawing r:id="rId2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CD4A05-5040-4437-B81C-F48BC6466B43}">
  <sheetPr>
    <tabColor rgb="FF7030A0"/>
  </sheetPr>
  <dimension ref="A1:O54"/>
  <sheetViews>
    <sheetView topLeftCell="A34" workbookViewId="0">
      <selection activeCell="A56" sqref="A56:IV57"/>
    </sheetView>
  </sheetViews>
  <sheetFormatPr defaultRowHeight="12.75" outlineLevelRow="1" outlineLevelCol="1" x14ac:dyDescent="0.2"/>
  <cols>
    <col min="1" max="1" width="6" style="49" customWidth="1"/>
    <col min="2" max="2" width="48.140625" style="49" customWidth="1"/>
    <col min="3" max="3" width="14" style="49" customWidth="1"/>
    <col min="4" max="4" width="14.85546875" style="49" customWidth="1"/>
    <col min="5" max="6" width="13.28515625" style="49" customWidth="1"/>
    <col min="7" max="7" width="14.5703125" style="49" customWidth="1"/>
    <col min="8" max="10" width="11.5703125" style="49" hidden="1" customWidth="1" outlineLevel="1"/>
    <col min="11" max="11" width="10.140625" style="49" hidden="1" customWidth="1" outlineLevel="1"/>
    <col min="12" max="12" width="10.42578125" style="49" hidden="1" customWidth="1" outlineLevel="1"/>
    <col min="13" max="13" width="9.140625" style="49" hidden="1" customWidth="1" outlineLevel="1"/>
    <col min="14" max="14" width="10" style="49" bestFit="1" customWidth="1" collapsed="1"/>
    <col min="15" max="15" width="15.85546875" style="49" customWidth="1"/>
    <col min="16" max="16384" width="9.140625" style="49"/>
  </cols>
  <sheetData>
    <row r="1" spans="1:13" x14ac:dyDescent="0.2">
      <c r="A1" s="370" t="s">
        <v>0</v>
      </c>
      <c r="B1" s="370"/>
      <c r="C1" s="370"/>
      <c r="D1" s="370"/>
      <c r="E1" s="370"/>
      <c r="F1" s="370"/>
      <c r="G1" s="370"/>
      <c r="H1" s="370"/>
      <c r="I1" s="370"/>
      <c r="J1" s="370"/>
      <c r="K1" s="370"/>
      <c r="L1" s="370"/>
    </row>
    <row r="2" spans="1:13" ht="12.75" customHeight="1" x14ac:dyDescent="0.2">
      <c r="A2" s="370" t="s">
        <v>152</v>
      </c>
      <c r="B2" s="370"/>
      <c r="C2" s="370"/>
      <c r="D2" s="370"/>
      <c r="E2" s="370"/>
      <c r="F2" s="370"/>
      <c r="G2" s="370"/>
      <c r="H2" s="370"/>
      <c r="I2" s="370"/>
      <c r="J2" s="370"/>
      <c r="K2" s="370"/>
      <c r="L2" s="370"/>
      <c r="M2" s="370"/>
    </row>
    <row r="3" spans="1:13" ht="13.5" customHeight="1" x14ac:dyDescent="0.2">
      <c r="A3" s="370" t="s">
        <v>426</v>
      </c>
      <c r="B3" s="370"/>
      <c r="C3" s="370"/>
      <c r="D3" s="370"/>
      <c r="E3" s="370"/>
      <c r="F3" s="370"/>
      <c r="G3" s="370"/>
      <c r="H3" s="370"/>
      <c r="I3" s="370"/>
      <c r="J3" s="370"/>
      <c r="K3" s="370"/>
      <c r="L3" s="370"/>
    </row>
    <row r="4" spans="1:13" ht="9" customHeight="1" x14ac:dyDescent="0.2">
      <c r="A4" s="48"/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</row>
    <row r="5" spans="1:13" ht="16.5" customHeight="1" x14ac:dyDescent="0.2">
      <c r="A5" s="371" t="s">
        <v>1</v>
      </c>
      <c r="B5" s="370"/>
      <c r="C5" s="370"/>
      <c r="D5" s="370"/>
      <c r="E5" s="370"/>
      <c r="F5" s="370"/>
      <c r="G5" s="370"/>
      <c r="H5" s="370"/>
      <c r="I5" s="370"/>
      <c r="J5" s="370"/>
      <c r="K5" s="370"/>
      <c r="L5" s="370"/>
    </row>
    <row r="7" spans="1:13" s="51" customFormat="1" ht="16.5" customHeight="1" x14ac:dyDescent="0.2">
      <c r="A7" s="51" t="s">
        <v>2</v>
      </c>
      <c r="F7" s="52" t="s">
        <v>336</v>
      </c>
      <c r="H7" s="52"/>
      <c r="I7" s="52"/>
    </row>
    <row r="8" spans="1:13" s="51" customFormat="1" x14ac:dyDescent="0.2">
      <c r="A8" s="51" t="s">
        <v>3</v>
      </c>
      <c r="F8" s="285" t="s">
        <v>337</v>
      </c>
      <c r="H8" s="231">
        <f>42.1+55.2+42.1+45</f>
        <v>184.4</v>
      </c>
      <c r="I8" s="231"/>
      <c r="J8" s="51">
        <f>K8-H8</f>
        <v>2402.2999999999997</v>
      </c>
      <c r="K8" s="276">
        <v>2586.6999999999998</v>
      </c>
    </row>
    <row r="9" spans="1:13" s="51" customFormat="1" x14ac:dyDescent="0.2">
      <c r="B9" s="51" t="s">
        <v>252</v>
      </c>
      <c r="F9" s="285" t="s">
        <v>338</v>
      </c>
      <c r="H9" s="206"/>
      <c r="I9" s="206"/>
      <c r="K9" s="276"/>
    </row>
    <row r="10" spans="1:13" s="51" customFormat="1" x14ac:dyDescent="0.2">
      <c r="A10" s="372" t="s">
        <v>8</v>
      </c>
      <c r="B10" s="372"/>
      <c r="C10" s="372"/>
      <c r="D10" s="372"/>
      <c r="E10" s="372"/>
      <c r="F10" s="372"/>
      <c r="G10" s="372"/>
      <c r="H10" s="372"/>
      <c r="I10" s="372"/>
      <c r="J10" s="372"/>
      <c r="K10" s="372"/>
      <c r="L10" s="372"/>
    </row>
    <row r="11" spans="1:13" s="51" customFormat="1" x14ac:dyDescent="0.2">
      <c r="A11" s="372" t="s">
        <v>9</v>
      </c>
      <c r="B11" s="372"/>
      <c r="C11" s="372"/>
      <c r="D11" s="372"/>
      <c r="E11" s="372"/>
      <c r="F11" s="372"/>
      <c r="G11" s="372"/>
      <c r="H11" s="372"/>
      <c r="I11" s="372"/>
      <c r="J11" s="372"/>
      <c r="K11" s="372"/>
      <c r="L11" s="372"/>
    </row>
    <row r="12" spans="1:13" s="51" customFormat="1" x14ac:dyDescent="0.2">
      <c r="A12" s="372" t="s">
        <v>10</v>
      </c>
      <c r="B12" s="372"/>
      <c r="C12" s="372"/>
      <c r="D12" s="372"/>
      <c r="E12" s="372"/>
      <c r="F12" s="372"/>
      <c r="G12" s="372"/>
      <c r="H12" s="372"/>
      <c r="I12" s="372"/>
      <c r="J12" s="372"/>
      <c r="K12" s="372"/>
      <c r="L12" s="372"/>
    </row>
    <row r="13" spans="1:13" s="59" customFormat="1" ht="6" customHeight="1" thickBot="1" x14ac:dyDescent="0.3">
      <c r="A13" s="60"/>
      <c r="B13" s="60"/>
      <c r="C13" s="60"/>
      <c r="D13" s="38"/>
      <c r="E13" s="58"/>
      <c r="F13" s="58"/>
      <c r="G13" s="58"/>
      <c r="H13" s="54"/>
      <c r="I13" s="54"/>
      <c r="J13" s="54"/>
    </row>
    <row r="14" spans="1:13" s="59" customFormat="1" ht="15.75" thickBot="1" x14ac:dyDescent="0.3">
      <c r="A14" s="217" t="s">
        <v>381</v>
      </c>
      <c r="B14" s="218"/>
      <c r="C14" s="218"/>
      <c r="D14" s="61"/>
      <c r="E14" s="62"/>
      <c r="F14" s="62"/>
      <c r="G14" s="57">
        <f>'[1]Рылеева 16'!$G$36</f>
        <v>31109.41839999998</v>
      </c>
      <c r="H14" s="54"/>
      <c r="I14" s="54"/>
      <c r="J14" s="54"/>
    </row>
    <row r="15" spans="1:13" s="51" customFormat="1" ht="6.75" customHeight="1" x14ac:dyDescent="0.2"/>
    <row r="16" spans="1:13" s="66" customFormat="1" ht="38.25" x14ac:dyDescent="0.25">
      <c r="A16" s="64" t="s">
        <v>11</v>
      </c>
      <c r="B16" s="64" t="s">
        <v>12</v>
      </c>
      <c r="C16" s="64" t="s">
        <v>61</v>
      </c>
      <c r="D16" s="64" t="s">
        <v>432</v>
      </c>
      <c r="E16" s="64" t="s">
        <v>433</v>
      </c>
      <c r="F16" s="65" t="s">
        <v>434</v>
      </c>
      <c r="G16" s="64" t="s">
        <v>435</v>
      </c>
    </row>
    <row r="17" spans="1:15" s="51" customFormat="1" ht="14.25" x14ac:dyDescent="0.2">
      <c r="A17" s="67" t="s">
        <v>14</v>
      </c>
      <c r="B17" s="39" t="s">
        <v>379</v>
      </c>
      <c r="C17" s="87">
        <v>23.01</v>
      </c>
      <c r="D17" s="68">
        <v>663323.76</v>
      </c>
      <c r="E17" s="68">
        <v>638304.65</v>
      </c>
      <c r="F17" s="68">
        <f t="shared" ref="F17:F24" si="0">D17</f>
        <v>663323.76</v>
      </c>
      <c r="G17" s="69">
        <f>D17-E17</f>
        <v>25019.109999999986</v>
      </c>
      <c r="H17" s="70">
        <f>C17</f>
        <v>23.01</v>
      </c>
      <c r="I17" s="70"/>
      <c r="J17" s="71"/>
      <c r="K17" s="71"/>
      <c r="L17" s="71"/>
      <c r="N17" s="70"/>
      <c r="O17" s="72"/>
    </row>
    <row r="18" spans="1:15" s="51" customFormat="1" ht="15" hidden="1" outlineLevel="1" x14ac:dyDescent="0.25">
      <c r="A18" s="73" t="s">
        <v>16</v>
      </c>
      <c r="B18" s="34" t="s">
        <v>17</v>
      </c>
      <c r="C18" s="74">
        <v>3.46</v>
      </c>
      <c r="D18" s="75">
        <f>D17*J18</f>
        <v>99743.598852672745</v>
      </c>
      <c r="E18" s="75">
        <f>E17*J18</f>
        <v>95981.490178183405</v>
      </c>
      <c r="F18" s="75">
        <f t="shared" si="0"/>
        <v>99743.598852672745</v>
      </c>
      <c r="G18" s="76">
        <f>D18-E18</f>
        <v>3762.10867448934</v>
      </c>
      <c r="H18" s="70">
        <f>C18</f>
        <v>3.46</v>
      </c>
      <c r="I18" s="70"/>
      <c r="J18" s="51">
        <f>H18/H17</f>
        <v>0.15036940460669274</v>
      </c>
    </row>
    <row r="19" spans="1:15" s="51" customFormat="1" ht="15" hidden="1" outlineLevel="1" x14ac:dyDescent="0.25">
      <c r="A19" s="73" t="s">
        <v>18</v>
      </c>
      <c r="B19" s="34" t="s">
        <v>19</v>
      </c>
      <c r="C19" s="77">
        <v>1.69</v>
      </c>
      <c r="D19" s="75">
        <f>D17*J19</f>
        <v>48718.694237288131</v>
      </c>
      <c r="E19" s="75">
        <f>E17*J19</f>
        <v>46881.1324858757</v>
      </c>
      <c r="F19" s="75">
        <f t="shared" si="0"/>
        <v>48718.694237288131</v>
      </c>
      <c r="G19" s="76">
        <f>D19-E19</f>
        <v>1837.5617514124315</v>
      </c>
      <c r="H19" s="70">
        <f>C19</f>
        <v>1.69</v>
      </c>
      <c r="I19" s="70"/>
      <c r="J19" s="51">
        <f>H19/H17</f>
        <v>7.3446327683615809E-2</v>
      </c>
    </row>
    <row r="20" spans="1:15" s="51" customFormat="1" ht="15" hidden="1" outlineLevel="1" x14ac:dyDescent="0.25">
      <c r="A20" s="73" t="s">
        <v>20</v>
      </c>
      <c r="B20" s="34" t="s">
        <v>21</v>
      </c>
      <c r="C20" s="77">
        <v>1.69</v>
      </c>
      <c r="D20" s="75">
        <f>D17*J20</f>
        <v>48718.694237288131</v>
      </c>
      <c r="E20" s="75">
        <f>E17*J20</f>
        <v>46881.1324858757</v>
      </c>
      <c r="F20" s="75">
        <f t="shared" si="0"/>
        <v>48718.694237288131</v>
      </c>
      <c r="G20" s="76">
        <f>D20-E20</f>
        <v>1837.5617514124315</v>
      </c>
      <c r="H20" s="70">
        <f>C20</f>
        <v>1.69</v>
      </c>
      <c r="I20" s="70"/>
      <c r="J20" s="51">
        <f>H20/H17</f>
        <v>7.3446327683615809E-2</v>
      </c>
    </row>
    <row r="21" spans="1:15" s="51" customFormat="1" ht="15" hidden="1" outlineLevel="1" x14ac:dyDescent="0.25">
      <c r="A21" s="73" t="s">
        <v>22</v>
      </c>
      <c r="B21" s="34" t="s">
        <v>23</v>
      </c>
      <c r="C21" s="74">
        <v>3.04</v>
      </c>
      <c r="D21" s="75">
        <f>D17*J21</f>
        <v>87635.994367666222</v>
      </c>
      <c r="E21" s="75">
        <f>E17*J21</f>
        <v>84330.557844415467</v>
      </c>
      <c r="F21" s="75">
        <f t="shared" si="0"/>
        <v>87635.994367666222</v>
      </c>
      <c r="G21" s="76">
        <f>D21-E21</f>
        <v>3305.4365232507553</v>
      </c>
      <c r="H21" s="70">
        <f>C21</f>
        <v>3.04</v>
      </c>
      <c r="I21" s="70"/>
      <c r="J21" s="51">
        <f>H21/H17</f>
        <v>0.13211647109952193</v>
      </c>
    </row>
    <row r="22" spans="1:15" s="81" customFormat="1" ht="14.25" collapsed="1" x14ac:dyDescent="0.2">
      <c r="A22" s="78" t="s">
        <v>25</v>
      </c>
      <c r="B22" s="78" t="s">
        <v>145</v>
      </c>
      <c r="C22" s="46">
        <v>120</v>
      </c>
      <c r="D22" s="79">
        <v>0</v>
      </c>
      <c r="E22" s="79">
        <v>284.87</v>
      </c>
      <c r="F22" s="79">
        <f>D22</f>
        <v>0</v>
      </c>
      <c r="G22" s="69">
        <f t="shared" ref="G22:G32" si="1">D22-E22</f>
        <v>-284.87</v>
      </c>
      <c r="H22" s="80"/>
      <c r="I22" s="80"/>
      <c r="J22" s="80"/>
      <c r="K22" s="80"/>
      <c r="L22" s="80"/>
    </row>
    <row r="23" spans="1:15" s="81" customFormat="1" ht="14.25" x14ac:dyDescent="0.2">
      <c r="A23" s="78" t="s">
        <v>27</v>
      </c>
      <c r="B23" s="78" t="s">
        <v>62</v>
      </c>
      <c r="C23" s="43">
        <v>0</v>
      </c>
      <c r="D23" s="79">
        <v>0</v>
      </c>
      <c r="E23" s="79">
        <v>0</v>
      </c>
      <c r="F23" s="79">
        <v>0</v>
      </c>
      <c r="G23" s="69">
        <f t="shared" si="1"/>
        <v>0</v>
      </c>
      <c r="H23" s="80"/>
      <c r="I23" s="80"/>
      <c r="J23" s="80"/>
      <c r="K23" s="80"/>
      <c r="L23" s="80"/>
    </row>
    <row r="24" spans="1:15" s="81" customFormat="1" ht="14.25" x14ac:dyDescent="0.2">
      <c r="A24" s="78" t="s">
        <v>29</v>
      </c>
      <c r="B24" s="78" t="s">
        <v>30</v>
      </c>
      <c r="C24" s="43">
        <v>0</v>
      </c>
      <c r="D24" s="79">
        <v>0</v>
      </c>
      <c r="E24" s="79">
        <v>0</v>
      </c>
      <c r="F24" s="79">
        <f t="shared" si="0"/>
        <v>0</v>
      </c>
      <c r="G24" s="69">
        <f t="shared" si="1"/>
        <v>0</v>
      </c>
      <c r="H24" s="80"/>
      <c r="I24" s="80"/>
      <c r="J24" s="80"/>
      <c r="K24" s="80"/>
      <c r="L24" s="80"/>
    </row>
    <row r="25" spans="1:15" s="81" customFormat="1" ht="14.25" x14ac:dyDescent="0.2">
      <c r="A25" s="78" t="s">
        <v>31</v>
      </c>
      <c r="B25" s="78" t="s">
        <v>80</v>
      </c>
      <c r="C25" s="86">
        <v>2.2799999999999998</v>
      </c>
      <c r="D25" s="79">
        <f>65727.48+D26</f>
        <v>70772.67</v>
      </c>
      <c r="E25" s="79">
        <f>63422.63+E26</f>
        <v>66962.55</v>
      </c>
      <c r="F25" s="79">
        <f>F43</f>
        <v>36979.525500000003</v>
      </c>
      <c r="G25" s="69">
        <f t="shared" si="1"/>
        <v>3810.1199999999953</v>
      </c>
      <c r="H25" s="80"/>
      <c r="I25" s="80"/>
      <c r="J25" s="80"/>
      <c r="K25" s="80"/>
      <c r="L25" s="80"/>
    </row>
    <row r="26" spans="1:15" s="81" customFormat="1" ht="14.25" x14ac:dyDescent="0.2">
      <c r="A26" s="78"/>
      <c r="B26" s="292" t="s">
        <v>244</v>
      </c>
      <c r="C26" s="293"/>
      <c r="D26" s="294">
        <f>1151.86+1510.27+1151.86+1231.2</f>
        <v>5045.1899999999996</v>
      </c>
      <c r="E26" s="294">
        <f>1151.86+1156.86+1231.2+0</f>
        <v>3539.92</v>
      </c>
      <c r="F26" s="294"/>
      <c r="G26" s="248"/>
      <c r="H26" s="80"/>
      <c r="I26" s="80"/>
      <c r="J26" s="80"/>
      <c r="K26" s="80"/>
      <c r="L26" s="80"/>
    </row>
    <row r="27" spans="1:15" ht="14.25" x14ac:dyDescent="0.2">
      <c r="A27" s="39" t="s">
        <v>33</v>
      </c>
      <c r="B27" s="39" t="s">
        <v>97</v>
      </c>
      <c r="C27" s="46">
        <v>0</v>
      </c>
      <c r="D27" s="69">
        <v>0</v>
      </c>
      <c r="E27" s="69">
        <v>0</v>
      </c>
      <c r="F27" s="79">
        <f>D27</f>
        <v>0</v>
      </c>
      <c r="G27" s="69">
        <f t="shared" si="1"/>
        <v>0</v>
      </c>
      <c r="H27" s="88"/>
      <c r="I27" s="88"/>
      <c r="J27" s="88"/>
      <c r="K27" s="88"/>
      <c r="L27" s="88"/>
    </row>
    <row r="28" spans="1:15" ht="14.25" x14ac:dyDescent="0.2">
      <c r="A28" s="39" t="s">
        <v>35</v>
      </c>
      <c r="B28" s="39" t="s">
        <v>36</v>
      </c>
      <c r="C28" s="87"/>
      <c r="D28" s="69">
        <f>SUM(D29:D32)</f>
        <v>1721648.45</v>
      </c>
      <c r="E28" s="69">
        <f>SUM(E29:E32)</f>
        <v>1634274.96</v>
      </c>
      <c r="F28" s="69">
        <f>SUM(F29:F32)</f>
        <v>1721648.45</v>
      </c>
      <c r="G28" s="69">
        <f t="shared" si="1"/>
        <v>87373.489999999991</v>
      </c>
      <c r="H28" s="88"/>
      <c r="I28" s="88"/>
      <c r="J28" s="88"/>
      <c r="K28" s="88"/>
      <c r="L28" s="88"/>
    </row>
    <row r="29" spans="1:15" ht="15" x14ac:dyDescent="0.25">
      <c r="A29" s="34" t="s">
        <v>37</v>
      </c>
      <c r="B29" s="34" t="s">
        <v>101</v>
      </c>
      <c r="C29" s="89">
        <v>7.36</v>
      </c>
      <c r="D29" s="76">
        <v>59051.88</v>
      </c>
      <c r="E29" s="76">
        <v>55716.42</v>
      </c>
      <c r="F29" s="76">
        <f>D29</f>
        <v>59051.88</v>
      </c>
      <c r="G29" s="76">
        <f t="shared" si="1"/>
        <v>3335.4599999999991</v>
      </c>
    </row>
    <row r="30" spans="1:15" ht="15" x14ac:dyDescent="0.25">
      <c r="A30" s="34" t="s">
        <v>39</v>
      </c>
      <c r="B30" s="34" t="s">
        <v>84</v>
      </c>
      <c r="C30" s="89">
        <v>88.38</v>
      </c>
      <c r="D30" s="76">
        <v>559256.84</v>
      </c>
      <c r="E30" s="76">
        <v>510528.18</v>
      </c>
      <c r="F30" s="76">
        <f>D30</f>
        <v>559256.84</v>
      </c>
      <c r="G30" s="76">
        <f t="shared" si="1"/>
        <v>48728.659999999974</v>
      </c>
    </row>
    <row r="31" spans="1:15" ht="15" x14ac:dyDescent="0.25">
      <c r="A31" s="34" t="s">
        <v>42</v>
      </c>
      <c r="B31" s="34" t="s">
        <v>135</v>
      </c>
      <c r="C31" s="128">
        <v>0</v>
      </c>
      <c r="D31" s="188">
        <v>0</v>
      </c>
      <c r="E31" s="188">
        <v>0</v>
      </c>
      <c r="F31" s="76">
        <v>0</v>
      </c>
      <c r="G31" s="76">
        <f t="shared" si="1"/>
        <v>0</v>
      </c>
    </row>
    <row r="32" spans="1:15" ht="15" x14ac:dyDescent="0.25">
      <c r="A32" s="34" t="s">
        <v>41</v>
      </c>
      <c r="B32" s="34" t="s">
        <v>43</v>
      </c>
      <c r="C32" s="89">
        <v>3352.42</v>
      </c>
      <c r="D32" s="76">
        <v>1103339.73</v>
      </c>
      <c r="E32" s="76">
        <v>1068030.3600000001</v>
      </c>
      <c r="F32" s="76">
        <f>D32</f>
        <v>1103339.73</v>
      </c>
      <c r="G32" s="76">
        <f t="shared" si="1"/>
        <v>35309.369999999879</v>
      </c>
    </row>
    <row r="33" spans="1:13" s="92" customFormat="1" ht="17.25" customHeight="1" thickBot="1" x14ac:dyDescent="0.3">
      <c r="A33" s="373"/>
      <c r="B33" s="374"/>
      <c r="C33" s="374"/>
      <c r="D33" s="375"/>
      <c r="E33" s="375"/>
      <c r="F33" s="375"/>
      <c r="G33" s="91"/>
      <c r="H33" s="91"/>
      <c r="I33" s="91"/>
      <c r="J33" s="91"/>
    </row>
    <row r="34" spans="1:13" s="59" customFormat="1" ht="15.75" thickBot="1" x14ac:dyDescent="0.3">
      <c r="A34" s="387" t="s">
        <v>427</v>
      </c>
      <c r="B34" s="388"/>
      <c r="C34" s="388"/>
      <c r="D34" s="57">
        <v>115917.85</v>
      </c>
      <c r="E34" s="58"/>
      <c r="F34" s="58"/>
      <c r="G34" s="58"/>
      <c r="H34" s="54"/>
      <c r="I34" s="54"/>
      <c r="J34" s="54"/>
    </row>
    <row r="35" spans="1:13" s="59" customFormat="1" ht="6" customHeight="1" thickBot="1" x14ac:dyDescent="0.3">
      <c r="A35" s="60"/>
      <c r="B35" s="60"/>
      <c r="C35" s="60"/>
      <c r="D35" s="38"/>
      <c r="E35" s="58"/>
      <c r="F35" s="58"/>
      <c r="G35" s="58"/>
      <c r="H35" s="54"/>
      <c r="I35" s="54"/>
      <c r="J35" s="54"/>
    </row>
    <row r="36" spans="1:13" s="59" customFormat="1" ht="15.75" thickBot="1" x14ac:dyDescent="0.3">
      <c r="A36" s="55" t="s">
        <v>428</v>
      </c>
      <c r="B36" s="56"/>
      <c r="C36" s="56"/>
      <c r="D36" s="61"/>
      <c r="E36" s="62"/>
      <c r="F36" s="62"/>
      <c r="G36" s="129">
        <f>G14+E25-F25</f>
        <v>61092.44289999998</v>
      </c>
      <c r="H36" s="54"/>
      <c r="I36" s="54"/>
      <c r="J36" s="54">
        <v>45</v>
      </c>
      <c r="K36" s="59">
        <f>J36*I39*3</f>
        <v>3414.1500000000005</v>
      </c>
      <c r="L36" s="130"/>
    </row>
    <row r="37" spans="1:13" s="59" customFormat="1" ht="15" x14ac:dyDescent="0.25">
      <c r="A37" s="60"/>
      <c r="B37" s="392" t="s">
        <v>90</v>
      </c>
      <c r="C37" s="392"/>
      <c r="D37" s="60"/>
      <c r="E37" s="38"/>
      <c r="F37" s="58"/>
      <c r="G37" s="58"/>
      <c r="H37" s="38"/>
      <c r="I37" s="38"/>
      <c r="J37" s="54">
        <v>42.1</v>
      </c>
      <c r="K37" s="59">
        <f>J37*I39*3</f>
        <v>3194.1270000000004</v>
      </c>
      <c r="L37" s="130"/>
    </row>
    <row r="38" spans="1:13" s="59" customFormat="1" ht="15" x14ac:dyDescent="0.25">
      <c r="A38" s="444" t="s">
        <v>91</v>
      </c>
      <c r="B38" s="445"/>
      <c r="C38" s="305" t="s">
        <v>92</v>
      </c>
      <c r="D38" s="305" t="s">
        <v>93</v>
      </c>
      <c r="E38" s="138" t="s">
        <v>94</v>
      </c>
      <c r="F38" s="306" t="s">
        <v>95</v>
      </c>
      <c r="G38" s="138" t="s">
        <v>96</v>
      </c>
      <c r="H38" s="199"/>
      <c r="I38" s="199"/>
      <c r="J38" s="54">
        <v>55.2</v>
      </c>
      <c r="K38" s="59">
        <f>J38*I39*3</f>
        <v>4188.0240000000013</v>
      </c>
      <c r="L38" s="130"/>
    </row>
    <row r="39" spans="1:13" s="59" customFormat="1" ht="15" x14ac:dyDescent="0.25">
      <c r="A39" s="446"/>
      <c r="B39" s="447"/>
      <c r="C39" s="305">
        <f>42.1+55.2+42.1+45</f>
        <v>184.4</v>
      </c>
      <c r="D39" s="138">
        <f>E39/C39/12</f>
        <v>25.290021691973973</v>
      </c>
      <c r="E39" s="358">
        <f>13656.6+12776.52+16752.12+12776.52</f>
        <v>55961.760000000009</v>
      </c>
      <c r="F39" s="358">
        <f>13656.6+12776.52+0+12776.52</f>
        <v>39209.64</v>
      </c>
      <c r="G39" s="138">
        <f>E39-F39</f>
        <v>16752.12000000001</v>
      </c>
      <c r="H39" s="341"/>
      <c r="I39" s="341">
        <f>C17+C25</f>
        <v>25.290000000000003</v>
      </c>
      <c r="J39" s="54">
        <v>42.1</v>
      </c>
      <c r="K39" s="59">
        <f>J39*I39*3</f>
        <v>3194.1270000000004</v>
      </c>
      <c r="L39" s="130">
        <f>9080.1+8494.92+11257.5+8548.02</f>
        <v>37380.54</v>
      </c>
      <c r="M39" s="59">
        <f>6791.85+8483.54+2881.44+8563.19</f>
        <v>26720.020000000004</v>
      </c>
    </row>
    <row r="40" spans="1:13" ht="31.5" customHeight="1" x14ac:dyDescent="0.2">
      <c r="A40" s="371" t="s">
        <v>106</v>
      </c>
      <c r="B40" s="371"/>
      <c r="C40" s="371"/>
      <c r="D40" s="371"/>
      <c r="E40" s="371"/>
      <c r="F40" s="371"/>
      <c r="G40" s="371"/>
      <c r="H40" s="371"/>
      <c r="I40" s="371"/>
      <c r="J40" s="371"/>
      <c r="K40" s="371"/>
      <c r="L40" s="371"/>
    </row>
    <row r="42" spans="1:13" s="66" customFormat="1" ht="37.5" customHeight="1" x14ac:dyDescent="0.2">
      <c r="A42" s="94" t="s">
        <v>11</v>
      </c>
      <c r="B42" s="416" t="s">
        <v>45</v>
      </c>
      <c r="C42" s="425"/>
      <c r="D42" s="94" t="s">
        <v>99</v>
      </c>
      <c r="E42" s="94" t="s">
        <v>98</v>
      </c>
      <c r="F42" s="550" t="s">
        <v>46</v>
      </c>
      <c r="G42" s="550"/>
      <c r="H42" s="95"/>
      <c r="I42" s="95"/>
      <c r="J42" s="96"/>
      <c r="M42" s="97"/>
    </row>
    <row r="43" spans="1:13" s="103" customFormat="1" ht="15" customHeight="1" x14ac:dyDescent="0.25">
      <c r="A43" s="98" t="s">
        <v>47</v>
      </c>
      <c r="B43" s="418" t="s">
        <v>75</v>
      </c>
      <c r="C43" s="430"/>
      <c r="D43" s="99"/>
      <c r="E43" s="99"/>
      <c r="F43" s="548">
        <f>SUM(F44:G48)</f>
        <v>36979.525500000003</v>
      </c>
      <c r="G43" s="549"/>
      <c r="H43" s="101"/>
      <c r="I43" s="101"/>
      <c r="J43" s="102"/>
      <c r="M43" s="104"/>
    </row>
    <row r="44" spans="1:13" ht="15" x14ac:dyDescent="0.25">
      <c r="A44" s="34" t="s">
        <v>16</v>
      </c>
      <c r="B44" s="406" t="s">
        <v>589</v>
      </c>
      <c r="C44" s="407"/>
      <c r="D44" s="176" t="s">
        <v>137</v>
      </c>
      <c r="E44" s="176">
        <v>6.4500000000000002E-2</v>
      </c>
      <c r="F44" s="435">
        <v>20309.900000000001</v>
      </c>
      <c r="G44" s="435"/>
      <c r="H44" s="38"/>
      <c r="I44" s="38"/>
      <c r="J44" s="38"/>
      <c r="M44" s="106"/>
    </row>
    <row r="45" spans="1:13" ht="15" x14ac:dyDescent="0.25">
      <c r="A45" s="34" t="s">
        <v>18</v>
      </c>
      <c r="B45" s="406" t="s">
        <v>409</v>
      </c>
      <c r="C45" s="431"/>
      <c r="D45" s="105" t="s">
        <v>100</v>
      </c>
      <c r="E45" s="105">
        <v>1</v>
      </c>
      <c r="F45" s="435">
        <v>8000</v>
      </c>
      <c r="G45" s="435"/>
      <c r="H45" s="38"/>
      <c r="I45" s="38"/>
      <c r="J45" s="38"/>
      <c r="M45" s="106"/>
    </row>
    <row r="46" spans="1:13" ht="15" x14ac:dyDescent="0.25">
      <c r="A46" s="34" t="s">
        <v>20</v>
      </c>
      <c r="B46" s="406" t="s">
        <v>409</v>
      </c>
      <c r="C46" s="431"/>
      <c r="D46" s="105" t="s">
        <v>100</v>
      </c>
      <c r="E46" s="105">
        <v>1</v>
      </c>
      <c r="F46" s="435">
        <v>8000</v>
      </c>
      <c r="G46" s="435"/>
      <c r="H46" s="38"/>
      <c r="I46" s="38"/>
      <c r="J46" s="38"/>
      <c r="M46" s="106"/>
    </row>
    <row r="47" spans="1:13" ht="15" x14ac:dyDescent="0.25">
      <c r="A47" s="34" t="s">
        <v>22</v>
      </c>
      <c r="B47" s="412"/>
      <c r="C47" s="428"/>
      <c r="D47" s="258"/>
      <c r="E47" s="258"/>
      <c r="F47" s="468"/>
      <c r="G47" s="469"/>
      <c r="H47" s="38"/>
      <c r="I47" s="38"/>
      <c r="J47" s="38"/>
      <c r="M47" s="106"/>
    </row>
    <row r="48" spans="1:13" s="59" customFormat="1" ht="15" x14ac:dyDescent="0.25">
      <c r="A48" s="34" t="s">
        <v>24</v>
      </c>
      <c r="B48" s="458" t="s">
        <v>108</v>
      </c>
      <c r="C48" s="459"/>
      <c r="D48" s="108"/>
      <c r="E48" s="108"/>
      <c r="F48" s="435">
        <f>E25*1%</f>
        <v>669.62549999999999</v>
      </c>
      <c r="G48" s="435"/>
      <c r="H48" s="51"/>
      <c r="I48" s="51"/>
      <c r="J48" s="51"/>
      <c r="K48" s="51"/>
      <c r="L48" s="51"/>
    </row>
    <row r="49" spans="1:12" s="51" customFormat="1" ht="9" customHeight="1" x14ac:dyDescent="0.2"/>
    <row r="50" spans="1:12" s="51" customFormat="1" ht="15" x14ac:dyDescent="0.25">
      <c r="A50" s="51" t="s">
        <v>372</v>
      </c>
      <c r="B50" s="59"/>
      <c r="C50" s="110" t="s">
        <v>49</v>
      </c>
      <c r="D50" s="59"/>
      <c r="E50" s="59"/>
      <c r="F50" s="59" t="s">
        <v>60</v>
      </c>
      <c r="G50" s="59"/>
      <c r="H50" s="59"/>
      <c r="I50" s="59"/>
      <c r="J50" s="59"/>
      <c r="K50" s="59"/>
      <c r="L50" s="59"/>
    </row>
    <row r="51" spans="1:12" s="51" customFormat="1" ht="15" x14ac:dyDescent="0.25">
      <c r="A51" s="59"/>
      <c r="B51" s="59"/>
      <c r="C51" s="110"/>
      <c r="D51" s="59"/>
      <c r="E51" s="59"/>
      <c r="F51" s="111" t="s">
        <v>438</v>
      </c>
      <c r="G51" s="59"/>
    </row>
    <row r="52" spans="1:12" s="51" customFormat="1" ht="15" x14ac:dyDescent="0.25">
      <c r="A52" s="59" t="s">
        <v>50</v>
      </c>
      <c r="B52" s="59"/>
      <c r="C52" s="110"/>
      <c r="D52" s="59"/>
      <c r="E52" s="59"/>
      <c r="F52" s="59"/>
      <c r="G52" s="59"/>
      <c r="H52" s="141"/>
      <c r="I52" s="141"/>
      <c r="J52" s="141"/>
      <c r="K52" s="141"/>
    </row>
    <row r="53" spans="1:12" ht="15" x14ac:dyDescent="0.25">
      <c r="A53" s="59"/>
      <c r="B53" s="59"/>
      <c r="C53" s="112" t="s">
        <v>51</v>
      </c>
      <c r="D53" s="59"/>
      <c r="E53" s="113"/>
      <c r="F53" s="113"/>
      <c r="G53" s="113"/>
      <c r="H53" s="51"/>
      <c r="I53" s="51"/>
      <c r="J53" s="51"/>
      <c r="K53" s="51"/>
      <c r="L53" s="51"/>
    </row>
    <row r="54" spans="1:12" x14ac:dyDescent="0.2">
      <c r="A54" s="51"/>
      <c r="B54" s="51"/>
      <c r="C54" s="51"/>
      <c r="D54" s="51"/>
      <c r="E54" s="51"/>
      <c r="F54" s="51"/>
      <c r="G54" s="51"/>
      <c r="H54" s="51"/>
      <c r="I54" s="51"/>
      <c r="J54" s="51"/>
      <c r="K54" s="51"/>
      <c r="L54" s="51"/>
    </row>
  </sheetData>
  <mergeCells count="26">
    <mergeCell ref="F46:G46"/>
    <mergeCell ref="F47:G47"/>
    <mergeCell ref="B48:C48"/>
    <mergeCell ref="F48:G48"/>
    <mergeCell ref="B43:C43"/>
    <mergeCell ref="F43:G43"/>
    <mergeCell ref="B44:C44"/>
    <mergeCell ref="F44:G44"/>
    <mergeCell ref="B45:C45"/>
    <mergeCell ref="F45:G45"/>
    <mergeCell ref="B46:C46"/>
    <mergeCell ref="B47:C47"/>
    <mergeCell ref="A1:L1"/>
    <mergeCell ref="A3:L3"/>
    <mergeCell ref="A5:L5"/>
    <mergeCell ref="A10:L10"/>
    <mergeCell ref="A11:L11"/>
    <mergeCell ref="A2:M2"/>
    <mergeCell ref="A12:L12"/>
    <mergeCell ref="A34:C34"/>
    <mergeCell ref="A40:L40"/>
    <mergeCell ref="B42:C42"/>
    <mergeCell ref="F42:G42"/>
    <mergeCell ref="A33:F33"/>
    <mergeCell ref="B37:C37"/>
    <mergeCell ref="A38:B39"/>
  </mergeCells>
  <pageMargins left="0.7" right="0.7" top="0.75" bottom="0.75" header="0.3" footer="0.3"/>
  <pageSetup paperSize="9" orientation="portrait" verticalDpi="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58FDDF-4335-4643-A5D0-B0D5399C05AB}">
  <sheetPr>
    <tabColor rgb="FF7030A0"/>
  </sheetPr>
  <dimension ref="A1:M50"/>
  <sheetViews>
    <sheetView topLeftCell="A34" zoomScaleNormal="100" workbookViewId="0">
      <selection activeCell="A51" sqref="A51:IV52"/>
    </sheetView>
  </sheetViews>
  <sheetFormatPr defaultRowHeight="15" outlineLevelRow="1" outlineLevelCol="1" x14ac:dyDescent="0.25"/>
  <cols>
    <col min="1" max="1" width="4.7109375" style="35" customWidth="1"/>
    <col min="2" max="2" width="48" style="35" customWidth="1"/>
    <col min="3" max="3" width="12.85546875" style="35" customWidth="1"/>
    <col min="4" max="4" width="13.140625" style="35" bestFit="1" customWidth="1"/>
    <col min="5" max="5" width="14.28515625" style="35" customWidth="1"/>
    <col min="6" max="6" width="15.140625" style="35" customWidth="1"/>
    <col min="7" max="7" width="13.42578125" style="35" customWidth="1"/>
    <col min="8" max="8" width="10.85546875" style="35" hidden="1" customWidth="1" outlineLevel="1"/>
    <col min="9" max="9" width="13.42578125" style="35" hidden="1" customWidth="1" outlineLevel="1"/>
    <col min="10" max="12" width="9.140625" style="35" hidden="1" customWidth="1" outlineLevel="1"/>
    <col min="13" max="13" width="9.140625" style="35" collapsed="1"/>
    <col min="14" max="16384" width="9.140625" style="35"/>
  </cols>
  <sheetData>
    <row r="1" spans="1:11" x14ac:dyDescent="0.25">
      <c r="A1" s="397" t="s">
        <v>0</v>
      </c>
      <c r="B1" s="397"/>
      <c r="C1" s="397"/>
      <c r="D1" s="397"/>
      <c r="E1" s="397"/>
      <c r="F1" s="397"/>
      <c r="G1" s="397"/>
      <c r="H1" s="397"/>
      <c r="I1" s="397"/>
    </row>
    <row r="2" spans="1:11" ht="15" customHeight="1" x14ac:dyDescent="0.25">
      <c r="A2" s="370" t="s">
        <v>152</v>
      </c>
      <c r="B2" s="370"/>
      <c r="C2" s="370"/>
      <c r="D2" s="370"/>
      <c r="E2" s="370"/>
      <c r="F2" s="370"/>
      <c r="G2" s="370"/>
      <c r="H2" s="370"/>
      <c r="I2" s="370"/>
      <c r="J2" s="370"/>
      <c r="K2" s="370"/>
    </row>
    <row r="3" spans="1:11" ht="14.25" customHeight="1" x14ac:dyDescent="0.25">
      <c r="A3" s="370" t="s">
        <v>426</v>
      </c>
      <c r="B3" s="370"/>
      <c r="C3" s="370"/>
      <c r="D3" s="370"/>
      <c r="E3" s="370"/>
      <c r="F3" s="370"/>
      <c r="G3" s="370"/>
      <c r="H3" s="370"/>
      <c r="I3" s="370"/>
      <c r="J3" s="370"/>
      <c r="K3" s="370"/>
    </row>
    <row r="4" spans="1:11" ht="12.75" customHeight="1" x14ac:dyDescent="0.25">
      <c r="A4" s="142"/>
      <c r="B4" s="142"/>
      <c r="C4" s="142"/>
      <c r="D4" s="142"/>
      <c r="E4" s="142"/>
      <c r="F4" s="142"/>
      <c r="G4" s="142"/>
      <c r="H4" s="142"/>
      <c r="I4" s="142"/>
    </row>
    <row r="5" spans="1:11" ht="12" customHeight="1" x14ac:dyDescent="0.25">
      <c r="A5" s="398" t="s">
        <v>1</v>
      </c>
      <c r="B5" s="397"/>
      <c r="C5" s="397"/>
      <c r="D5" s="397"/>
      <c r="E5" s="397"/>
      <c r="F5" s="397"/>
      <c r="G5" s="397"/>
      <c r="H5" s="397"/>
      <c r="I5" s="397"/>
    </row>
    <row r="7" spans="1:11" s="59" customFormat="1" ht="16.5" customHeight="1" x14ac:dyDescent="0.25">
      <c r="A7" s="59" t="s">
        <v>2</v>
      </c>
      <c r="E7" s="111" t="s">
        <v>168</v>
      </c>
    </row>
    <row r="8" spans="1:11" s="59" customFormat="1" x14ac:dyDescent="0.25">
      <c r="A8" s="59" t="s">
        <v>3</v>
      </c>
      <c r="E8" s="239" t="s">
        <v>169</v>
      </c>
    </row>
    <row r="9" spans="1:11" s="59" customFormat="1" x14ac:dyDescent="0.25"/>
    <row r="10" spans="1:11" s="59" customFormat="1" x14ac:dyDescent="0.25">
      <c r="A10" s="372" t="s">
        <v>8</v>
      </c>
      <c r="B10" s="372"/>
      <c r="C10" s="372"/>
      <c r="D10" s="372"/>
      <c r="E10" s="372"/>
      <c r="F10" s="372"/>
      <c r="G10" s="372"/>
      <c r="H10" s="372"/>
      <c r="I10" s="372"/>
    </row>
    <row r="11" spans="1:11" s="59" customFormat="1" x14ac:dyDescent="0.25">
      <c r="A11" s="372" t="s">
        <v>9</v>
      </c>
      <c r="B11" s="372"/>
      <c r="C11" s="372"/>
      <c r="D11" s="372"/>
      <c r="E11" s="372"/>
      <c r="F11" s="372"/>
      <c r="G11" s="372"/>
      <c r="H11" s="372"/>
      <c r="I11" s="372"/>
    </row>
    <row r="12" spans="1:11" s="59" customFormat="1" x14ac:dyDescent="0.25">
      <c r="A12" s="372" t="s">
        <v>10</v>
      </c>
      <c r="B12" s="372"/>
      <c r="C12" s="372"/>
      <c r="D12" s="372"/>
      <c r="E12" s="372"/>
      <c r="F12" s="372"/>
      <c r="G12" s="372"/>
      <c r="H12" s="372"/>
      <c r="I12" s="372"/>
    </row>
    <row r="13" spans="1:11" s="59" customFormat="1" ht="6" customHeight="1" thickBot="1" x14ac:dyDescent="0.3">
      <c r="A13" s="60"/>
      <c r="B13" s="60"/>
      <c r="C13" s="60"/>
      <c r="D13" s="38"/>
      <c r="E13" s="58"/>
      <c r="F13" s="58"/>
      <c r="G13" s="58"/>
      <c r="H13" s="54"/>
      <c r="I13" s="54"/>
    </row>
    <row r="14" spans="1:11" s="59" customFormat="1" ht="15.75" thickBot="1" x14ac:dyDescent="0.3">
      <c r="A14" s="55" t="s">
        <v>381</v>
      </c>
      <c r="B14" s="56"/>
      <c r="C14" s="56"/>
      <c r="D14" s="61"/>
      <c r="E14" s="62"/>
      <c r="F14" s="62"/>
      <c r="G14" s="129">
        <f>'[1]Герцена 9а'!$G$35</f>
        <v>-44461.317599999995</v>
      </c>
      <c r="H14" s="54"/>
      <c r="I14" s="54"/>
    </row>
    <row r="15" spans="1:11" s="59" customFormat="1" ht="6.75" customHeight="1" x14ac:dyDescent="0.25"/>
    <row r="16" spans="1:11" s="66" customFormat="1" ht="52.5" customHeight="1" x14ac:dyDescent="0.25">
      <c r="A16" s="64" t="s">
        <v>11</v>
      </c>
      <c r="B16" s="64" t="s">
        <v>12</v>
      </c>
      <c r="C16" s="64" t="s">
        <v>61</v>
      </c>
      <c r="D16" s="64" t="s">
        <v>432</v>
      </c>
      <c r="E16" s="64" t="s">
        <v>433</v>
      </c>
      <c r="F16" s="65" t="s">
        <v>434</v>
      </c>
      <c r="G16" s="64" t="s">
        <v>435</v>
      </c>
    </row>
    <row r="17" spans="1:10" s="152" customFormat="1" ht="14.25" x14ac:dyDescent="0.2">
      <c r="A17" s="67" t="s">
        <v>14</v>
      </c>
      <c r="B17" s="39" t="s">
        <v>379</v>
      </c>
      <c r="C17" s="120">
        <v>20.66</v>
      </c>
      <c r="D17" s="68">
        <v>110292.84</v>
      </c>
      <c r="E17" s="68">
        <v>110972.88</v>
      </c>
      <c r="F17" s="68">
        <f>D17</f>
        <v>110292.84</v>
      </c>
      <c r="G17" s="69">
        <f>D17-E17</f>
        <v>-680.04000000000815</v>
      </c>
      <c r="H17" s="151">
        <f>C17</f>
        <v>20.66</v>
      </c>
    </row>
    <row r="18" spans="1:10" s="59" customFormat="1" hidden="1" outlineLevel="1" x14ac:dyDescent="0.25">
      <c r="A18" s="73" t="s">
        <v>16</v>
      </c>
      <c r="B18" s="34" t="s">
        <v>17</v>
      </c>
      <c r="C18" s="89">
        <v>3.46</v>
      </c>
      <c r="D18" s="75">
        <f>D17*I18</f>
        <v>18471.114540174251</v>
      </c>
      <c r="E18" s="75">
        <f>E17*I18</f>
        <v>18585.003136495645</v>
      </c>
      <c r="F18" s="75">
        <f>D18</f>
        <v>18471.114540174251</v>
      </c>
      <c r="G18" s="76">
        <f>D18-E18</f>
        <v>-113.88859632139429</v>
      </c>
      <c r="H18" s="130">
        <f>C18</f>
        <v>3.46</v>
      </c>
      <c r="I18" s="59">
        <f>H18/H17</f>
        <v>0.16747337850919652</v>
      </c>
    </row>
    <row r="19" spans="1:10" s="59" customFormat="1" hidden="1" outlineLevel="1" x14ac:dyDescent="0.25">
      <c r="A19" s="73" t="s">
        <v>18</v>
      </c>
      <c r="B19" s="34" t="s">
        <v>19</v>
      </c>
      <c r="C19" s="89">
        <v>1.69</v>
      </c>
      <c r="D19" s="75">
        <f>D17*I19</f>
        <v>9022.0183736689251</v>
      </c>
      <c r="E19" s="75">
        <f>E17*I19</f>
        <v>9077.6460406582773</v>
      </c>
      <c r="F19" s="75">
        <f>D19</f>
        <v>9022.0183736689251</v>
      </c>
      <c r="G19" s="76">
        <f>D19-E19</f>
        <v>-55.627666989352292</v>
      </c>
      <c r="H19" s="130">
        <f>C19</f>
        <v>1.69</v>
      </c>
      <c r="I19" s="59">
        <f>H19/H17</f>
        <v>8.1800580832526615E-2</v>
      </c>
    </row>
    <row r="20" spans="1:10" s="59" customFormat="1" hidden="1" outlineLevel="1" x14ac:dyDescent="0.25">
      <c r="A20" s="73" t="s">
        <v>20</v>
      </c>
      <c r="B20" s="34" t="s">
        <v>21</v>
      </c>
      <c r="C20" s="89">
        <v>1.69</v>
      </c>
      <c r="D20" s="75">
        <f>D17*I20</f>
        <v>9022.0183736689251</v>
      </c>
      <c r="E20" s="75">
        <f>E17*I20</f>
        <v>9077.6460406582773</v>
      </c>
      <c r="F20" s="75">
        <f>D20</f>
        <v>9022.0183736689251</v>
      </c>
      <c r="G20" s="76">
        <f>D20-E20</f>
        <v>-55.627666989352292</v>
      </c>
      <c r="H20" s="130">
        <f>C20</f>
        <v>1.69</v>
      </c>
      <c r="I20" s="59">
        <f>H20/H17</f>
        <v>8.1800580832526615E-2</v>
      </c>
    </row>
    <row r="21" spans="1:10" s="59" customFormat="1" hidden="1" outlineLevel="1" x14ac:dyDescent="0.25">
      <c r="A21" s="73" t="s">
        <v>22</v>
      </c>
      <c r="B21" s="34" t="s">
        <v>23</v>
      </c>
      <c r="C21" s="89">
        <v>3.04</v>
      </c>
      <c r="D21" s="75">
        <f>D17*I21</f>
        <v>16228.956127783156</v>
      </c>
      <c r="E21" s="75">
        <f>E17*I21</f>
        <v>16329.020096805421</v>
      </c>
      <c r="F21" s="75">
        <f>D21</f>
        <v>16228.956127783156</v>
      </c>
      <c r="G21" s="76">
        <f>D21-E21</f>
        <v>-100.06396902226516</v>
      </c>
      <c r="H21" s="130">
        <f>C21</f>
        <v>3.04</v>
      </c>
      <c r="I21" s="59">
        <f>H21/H17</f>
        <v>0.14714424007744434</v>
      </c>
    </row>
    <row r="22" spans="1:10" s="37" customFormat="1" ht="14.25" collapsed="1" x14ac:dyDescent="0.2">
      <c r="A22" s="67" t="s">
        <v>25</v>
      </c>
      <c r="B22" s="78" t="s">
        <v>145</v>
      </c>
      <c r="C22" s="87">
        <v>0</v>
      </c>
      <c r="D22" s="69">
        <v>0</v>
      </c>
      <c r="E22" s="69">
        <v>0</v>
      </c>
      <c r="F22" s="68">
        <f t="shared" ref="F22:F31" si="0">D22</f>
        <v>0</v>
      </c>
      <c r="G22" s="69">
        <f t="shared" ref="G22:G31" si="1">D22-E22</f>
        <v>0</v>
      </c>
    </row>
    <row r="23" spans="1:10" s="37" customFormat="1" ht="14.25" x14ac:dyDescent="0.2">
      <c r="A23" s="39" t="s">
        <v>27</v>
      </c>
      <c r="B23" s="125" t="s">
        <v>28</v>
      </c>
      <c r="C23" s="87">
        <v>0</v>
      </c>
      <c r="D23" s="69">
        <v>0</v>
      </c>
      <c r="E23" s="69">
        <v>0</v>
      </c>
      <c r="F23" s="68">
        <f>D23</f>
        <v>0</v>
      </c>
      <c r="G23" s="69">
        <f t="shared" si="1"/>
        <v>0</v>
      </c>
    </row>
    <row r="24" spans="1:10" s="37" customFormat="1" ht="14.25" x14ac:dyDescent="0.2">
      <c r="A24" s="39" t="s">
        <v>29</v>
      </c>
      <c r="B24" s="125" t="s">
        <v>97</v>
      </c>
      <c r="C24" s="357">
        <v>0</v>
      </c>
      <c r="D24" s="69">
        <v>0</v>
      </c>
      <c r="E24" s="69">
        <v>0</v>
      </c>
      <c r="F24" s="68">
        <f t="shared" si="0"/>
        <v>0</v>
      </c>
      <c r="G24" s="69">
        <f t="shared" si="1"/>
        <v>0</v>
      </c>
    </row>
    <row r="25" spans="1:10" s="37" customFormat="1" ht="14.25" x14ac:dyDescent="0.2">
      <c r="A25" s="39" t="s">
        <v>31</v>
      </c>
      <c r="B25" s="125" t="s">
        <v>80</v>
      </c>
      <c r="C25" s="87">
        <v>2.04</v>
      </c>
      <c r="D25" s="69">
        <v>11904.72</v>
      </c>
      <c r="E25" s="69">
        <v>11994.27</v>
      </c>
      <c r="F25" s="68">
        <f>F40</f>
        <v>119.9427</v>
      </c>
      <c r="G25" s="69">
        <f t="shared" si="1"/>
        <v>-89.550000000001091</v>
      </c>
    </row>
    <row r="26" spans="1:10" s="37" customFormat="1" ht="14.25" x14ac:dyDescent="0.2">
      <c r="A26" s="39" t="s">
        <v>33</v>
      </c>
      <c r="B26" s="119" t="s">
        <v>34</v>
      </c>
      <c r="C26" s="43">
        <v>0</v>
      </c>
      <c r="D26" s="69">
        <v>0</v>
      </c>
      <c r="E26" s="69">
        <v>0</v>
      </c>
      <c r="F26" s="68">
        <f>D26</f>
        <v>0</v>
      </c>
      <c r="G26" s="69">
        <f t="shared" si="1"/>
        <v>0</v>
      </c>
    </row>
    <row r="27" spans="1:10" s="37" customFormat="1" ht="14.25" x14ac:dyDescent="0.2">
      <c r="A27" s="39" t="s">
        <v>35</v>
      </c>
      <c r="B27" s="119" t="s">
        <v>36</v>
      </c>
      <c r="C27" s="87"/>
      <c r="D27" s="69">
        <f>SUM(D28:D31)</f>
        <v>101823.81000000001</v>
      </c>
      <c r="E27" s="69">
        <f>SUM(E28:E31)</f>
        <v>101711.93</v>
      </c>
      <c r="F27" s="68">
        <f t="shared" si="0"/>
        <v>101823.81000000001</v>
      </c>
      <c r="G27" s="69">
        <f t="shared" si="1"/>
        <v>111.88000000001921</v>
      </c>
    </row>
    <row r="28" spans="1:10" x14ac:dyDescent="0.25">
      <c r="A28" s="34" t="s">
        <v>37</v>
      </c>
      <c r="B28" s="34" t="s">
        <v>101</v>
      </c>
      <c r="C28" s="89">
        <v>7.36</v>
      </c>
      <c r="D28" s="76">
        <v>11328.24</v>
      </c>
      <c r="E28" s="76">
        <v>11369.51</v>
      </c>
      <c r="F28" s="75">
        <v>1518.22</v>
      </c>
      <c r="G28" s="76">
        <f t="shared" si="1"/>
        <v>-41.270000000000437</v>
      </c>
    </row>
    <row r="29" spans="1:10" x14ac:dyDescent="0.25">
      <c r="A29" s="34" t="s">
        <v>39</v>
      </c>
      <c r="B29" s="34" t="s">
        <v>84</v>
      </c>
      <c r="C29" s="89">
        <v>88.38</v>
      </c>
      <c r="D29" s="76">
        <v>90495.57</v>
      </c>
      <c r="E29" s="76">
        <v>90342.42</v>
      </c>
      <c r="F29" s="75">
        <f t="shared" si="0"/>
        <v>90495.57</v>
      </c>
      <c r="G29" s="76">
        <f t="shared" si="1"/>
        <v>153.15000000000873</v>
      </c>
    </row>
    <row r="30" spans="1:10" ht="14.25" customHeight="1" x14ac:dyDescent="0.25">
      <c r="A30" s="34" t="s">
        <v>42</v>
      </c>
      <c r="B30" s="124" t="s">
        <v>135</v>
      </c>
      <c r="C30" s="128">
        <v>0</v>
      </c>
      <c r="D30" s="76">
        <v>0</v>
      </c>
      <c r="E30" s="76">
        <v>0</v>
      </c>
      <c r="F30" s="75">
        <f t="shared" si="0"/>
        <v>0</v>
      </c>
      <c r="G30" s="76">
        <f t="shared" si="1"/>
        <v>0</v>
      </c>
    </row>
    <row r="31" spans="1:10" ht="15" customHeight="1" x14ac:dyDescent="0.25">
      <c r="A31" s="34" t="s">
        <v>41</v>
      </c>
      <c r="B31" s="34" t="s">
        <v>43</v>
      </c>
      <c r="C31" s="89">
        <v>3352.42</v>
      </c>
      <c r="D31" s="76">
        <v>0</v>
      </c>
      <c r="E31" s="76">
        <v>0</v>
      </c>
      <c r="F31" s="75">
        <f t="shared" si="0"/>
        <v>0</v>
      </c>
      <c r="G31" s="76">
        <f t="shared" si="1"/>
        <v>0</v>
      </c>
    </row>
    <row r="32" spans="1:10" s="92" customFormat="1" ht="18" customHeight="1" thickBot="1" x14ac:dyDescent="0.3">
      <c r="A32" s="373"/>
      <c r="B32" s="374"/>
      <c r="C32" s="374"/>
      <c r="D32" s="375"/>
      <c r="E32" s="375"/>
      <c r="F32" s="375"/>
      <c r="G32" s="91"/>
      <c r="H32" s="91"/>
      <c r="I32" s="91"/>
      <c r="J32" s="91"/>
    </row>
    <row r="33" spans="1:9" s="59" customFormat="1" ht="15.75" thickBot="1" x14ac:dyDescent="0.3">
      <c r="A33" s="456" t="s">
        <v>427</v>
      </c>
      <c r="B33" s="457"/>
      <c r="C33" s="457"/>
      <c r="D33" s="57">
        <v>-657.71</v>
      </c>
      <c r="E33" s="58"/>
      <c r="F33" s="58"/>
      <c r="G33" s="58"/>
      <c r="H33" s="54"/>
      <c r="I33" s="54"/>
    </row>
    <row r="34" spans="1:9" s="59" customFormat="1" ht="6" customHeight="1" thickBot="1" x14ac:dyDescent="0.3">
      <c r="A34" s="60"/>
      <c r="B34" s="60"/>
      <c r="C34" s="60"/>
      <c r="D34" s="38"/>
      <c r="E34" s="58"/>
      <c r="F34" s="58"/>
      <c r="G34" s="58"/>
      <c r="H34" s="54"/>
      <c r="I34" s="54"/>
    </row>
    <row r="35" spans="1:9" s="59" customFormat="1" ht="15.75" thickBot="1" x14ac:dyDescent="0.3">
      <c r="A35" s="55" t="s">
        <v>428</v>
      </c>
      <c r="B35" s="56"/>
      <c r="C35" s="56"/>
      <c r="D35" s="61"/>
      <c r="E35" s="62"/>
      <c r="F35" s="62"/>
      <c r="G35" s="129">
        <f>G14+E25-F25</f>
        <v>-32586.990299999994</v>
      </c>
      <c r="H35" s="54"/>
      <c r="I35" s="54"/>
    </row>
    <row r="36" spans="1:9" s="59" customFormat="1" x14ac:dyDescent="0.25">
      <c r="A36" s="60"/>
      <c r="B36" s="60"/>
      <c r="C36" s="60"/>
      <c r="D36" s="38"/>
      <c r="E36" s="58"/>
      <c r="F36" s="58"/>
      <c r="G36" s="38"/>
      <c r="H36" s="54"/>
      <c r="I36" s="54"/>
    </row>
    <row r="37" spans="1:9" ht="24" customHeight="1" x14ac:dyDescent="0.25">
      <c r="A37" s="371" t="s">
        <v>44</v>
      </c>
      <c r="B37" s="371"/>
      <c r="C37" s="371"/>
      <c r="D37" s="371"/>
      <c r="E37" s="371"/>
      <c r="F37" s="371"/>
      <c r="G37" s="371"/>
      <c r="H37" s="371"/>
      <c r="I37" s="371"/>
    </row>
    <row r="38" spans="1:9" ht="8.25" customHeight="1" x14ac:dyDescent="0.25"/>
    <row r="39" spans="1:9" s="156" customFormat="1" ht="28.5" customHeight="1" x14ac:dyDescent="0.25">
      <c r="A39" s="94" t="s">
        <v>11</v>
      </c>
      <c r="B39" s="160" t="s">
        <v>45</v>
      </c>
      <c r="C39" s="161"/>
      <c r="D39" s="94" t="s">
        <v>99</v>
      </c>
      <c r="E39" s="94" t="s">
        <v>98</v>
      </c>
      <c r="F39" s="416" t="s">
        <v>46</v>
      </c>
      <c r="G39" s="424"/>
    </row>
    <row r="40" spans="1:9" s="103" customFormat="1" ht="14.25" customHeight="1" x14ac:dyDescent="0.25">
      <c r="A40" s="98" t="s">
        <v>47</v>
      </c>
      <c r="B40" s="418" t="s">
        <v>75</v>
      </c>
      <c r="C40" s="430"/>
      <c r="D40" s="157"/>
      <c r="E40" s="157"/>
      <c r="F40" s="436">
        <f>SUM(F41:L43)</f>
        <v>119.9427</v>
      </c>
      <c r="G40" s="424"/>
    </row>
    <row r="41" spans="1:9" ht="14.25" customHeight="1" x14ac:dyDescent="0.25">
      <c r="A41" s="34" t="s">
        <v>16</v>
      </c>
      <c r="B41" s="412"/>
      <c r="C41" s="428"/>
      <c r="D41" s="136"/>
      <c r="E41" s="137"/>
      <c r="F41" s="423"/>
      <c r="G41" s="423"/>
    </row>
    <row r="42" spans="1:9" ht="18" customHeight="1" x14ac:dyDescent="0.25">
      <c r="A42" s="34" t="s">
        <v>18</v>
      </c>
      <c r="B42" s="458"/>
      <c r="C42" s="459"/>
      <c r="D42" s="173"/>
      <c r="E42" s="317"/>
      <c r="F42" s="460"/>
      <c r="G42" s="460"/>
    </row>
    <row r="43" spans="1:9" ht="14.25" customHeight="1" x14ac:dyDescent="0.25">
      <c r="A43" s="34" t="s">
        <v>20</v>
      </c>
      <c r="B43" s="166" t="s">
        <v>108</v>
      </c>
      <c r="C43" s="167"/>
      <c r="D43" s="173"/>
      <c r="E43" s="173"/>
      <c r="F43" s="435">
        <f>E25*1%</f>
        <v>119.9427</v>
      </c>
      <c r="G43" s="435"/>
    </row>
    <row r="44" spans="1:9" ht="8.25" customHeight="1" x14ac:dyDescent="0.25">
      <c r="B44" s="139"/>
      <c r="C44" s="139"/>
      <c r="D44" s="139"/>
      <c r="E44" s="139"/>
    </row>
    <row r="45" spans="1:9" s="59" customFormat="1" x14ac:dyDescent="0.25">
      <c r="A45" s="51" t="s">
        <v>372</v>
      </c>
      <c r="C45" s="59" t="s">
        <v>49</v>
      </c>
      <c r="F45" s="59" t="s">
        <v>60</v>
      </c>
    </row>
    <row r="46" spans="1:9" s="59" customFormat="1" ht="13.5" customHeight="1" x14ac:dyDescent="0.25">
      <c r="F46" s="111" t="s">
        <v>438</v>
      </c>
    </row>
    <row r="47" spans="1:9" s="59" customFormat="1" x14ac:dyDescent="0.25">
      <c r="A47" s="59" t="s">
        <v>50</v>
      </c>
    </row>
    <row r="48" spans="1:9" s="59" customFormat="1" x14ac:dyDescent="0.25">
      <c r="C48" s="113" t="s">
        <v>51</v>
      </c>
      <c r="E48" s="113"/>
      <c r="F48" s="113"/>
      <c r="G48" s="113"/>
    </row>
    <row r="49" s="59" customFormat="1" x14ac:dyDescent="0.25"/>
    <row r="50" s="59" customFormat="1" x14ac:dyDescent="0.25"/>
  </sheetData>
  <mergeCells count="18">
    <mergeCell ref="F43:G43"/>
    <mergeCell ref="F41:G41"/>
    <mergeCell ref="B41:C41"/>
    <mergeCell ref="F39:G39"/>
    <mergeCell ref="F40:G40"/>
    <mergeCell ref="B40:C40"/>
    <mergeCell ref="B42:C42"/>
    <mergeCell ref="F42:G42"/>
    <mergeCell ref="A32:F32"/>
    <mergeCell ref="A37:I37"/>
    <mergeCell ref="A12:I12"/>
    <mergeCell ref="A33:C33"/>
    <mergeCell ref="A1:I1"/>
    <mergeCell ref="A5:I5"/>
    <mergeCell ref="A10:I10"/>
    <mergeCell ref="A3:K3"/>
    <mergeCell ref="A11:I11"/>
    <mergeCell ref="A2:K2"/>
  </mergeCells>
  <phoneticPr fontId="14" type="noConversion"/>
  <pageMargins left="0.59055118110236227" right="0" top="0.59055118110236227" bottom="0.59055118110236227" header="0.31496062992125984" footer="0.31496062992125984"/>
  <pageSetup paperSize="9" orientation="landscape" verticalDpi="0" r:id="rId1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B4E14E-B2E9-4503-93B8-B825C5D868E7}">
  <sheetPr>
    <tabColor rgb="FF7030A0"/>
  </sheetPr>
  <dimension ref="A1:N53"/>
  <sheetViews>
    <sheetView topLeftCell="A35" workbookViewId="0">
      <selection activeCell="A58" sqref="A58:IV59"/>
    </sheetView>
  </sheetViews>
  <sheetFormatPr defaultRowHeight="12.75" outlineLevelRow="1" outlineLevelCol="1" x14ac:dyDescent="0.2"/>
  <cols>
    <col min="1" max="1" width="6" style="49" customWidth="1"/>
    <col min="2" max="2" width="48.140625" style="49" customWidth="1"/>
    <col min="3" max="3" width="14" style="49" customWidth="1"/>
    <col min="4" max="4" width="14.85546875" style="49" customWidth="1"/>
    <col min="5" max="6" width="13.28515625" style="49" customWidth="1"/>
    <col min="7" max="7" width="14.5703125" style="49" customWidth="1"/>
    <col min="8" max="9" width="11.5703125" style="49" hidden="1" customWidth="1" outlineLevel="1"/>
    <col min="10" max="10" width="10.140625" style="49" hidden="1" customWidth="1" outlineLevel="1"/>
    <col min="11" max="11" width="10.42578125" style="49" customWidth="1" collapsed="1"/>
    <col min="12" max="12" width="9.140625" style="49"/>
    <col min="13" max="13" width="10" style="49" bestFit="1" customWidth="1"/>
    <col min="14" max="14" width="15.85546875" style="49" customWidth="1"/>
    <col min="15" max="16384" width="9.140625" style="49"/>
  </cols>
  <sheetData>
    <row r="1" spans="1:14" x14ac:dyDescent="0.2">
      <c r="A1" s="370" t="s">
        <v>0</v>
      </c>
      <c r="B1" s="370"/>
      <c r="C1" s="370"/>
      <c r="D1" s="370"/>
      <c r="E1" s="370"/>
      <c r="F1" s="370"/>
      <c r="G1" s="370"/>
      <c r="H1" s="370"/>
      <c r="I1" s="370"/>
      <c r="J1" s="370"/>
      <c r="K1" s="370"/>
    </row>
    <row r="2" spans="1:14" ht="12.75" customHeight="1" x14ac:dyDescent="0.2">
      <c r="A2" s="370" t="s">
        <v>152</v>
      </c>
      <c r="B2" s="370"/>
      <c r="C2" s="370"/>
      <c r="D2" s="370"/>
      <c r="E2" s="370"/>
      <c r="F2" s="370"/>
      <c r="G2" s="370"/>
      <c r="H2" s="370"/>
      <c r="I2" s="370"/>
      <c r="J2" s="370"/>
      <c r="K2" s="370"/>
      <c r="L2" s="370"/>
    </row>
    <row r="3" spans="1:14" ht="13.5" customHeight="1" x14ac:dyDescent="0.2">
      <c r="A3" s="370" t="s">
        <v>426</v>
      </c>
      <c r="B3" s="370"/>
      <c r="C3" s="370"/>
      <c r="D3" s="370"/>
      <c r="E3" s="370"/>
      <c r="F3" s="370"/>
      <c r="G3" s="370"/>
      <c r="H3" s="370"/>
      <c r="I3" s="370"/>
      <c r="J3" s="370"/>
      <c r="K3" s="370"/>
      <c r="L3" s="370"/>
    </row>
    <row r="4" spans="1:14" ht="9" customHeight="1" x14ac:dyDescent="0.2">
      <c r="A4" s="48"/>
      <c r="B4" s="48"/>
      <c r="C4" s="48"/>
      <c r="D4" s="48"/>
      <c r="E4" s="48"/>
      <c r="F4" s="48"/>
      <c r="G4" s="48"/>
      <c r="H4" s="48"/>
      <c r="I4" s="48"/>
      <c r="J4" s="48"/>
      <c r="K4" s="48"/>
    </row>
    <row r="5" spans="1:14" ht="16.5" customHeight="1" x14ac:dyDescent="0.2">
      <c r="A5" s="371" t="s">
        <v>1</v>
      </c>
      <c r="B5" s="370"/>
      <c r="C5" s="370"/>
      <c r="D5" s="370"/>
      <c r="E5" s="370"/>
      <c r="F5" s="370"/>
      <c r="G5" s="370"/>
      <c r="H5" s="370"/>
      <c r="I5" s="370"/>
      <c r="J5" s="370"/>
      <c r="K5" s="370"/>
    </row>
    <row r="7" spans="1:14" s="51" customFormat="1" ht="16.5" customHeight="1" x14ac:dyDescent="0.2">
      <c r="A7" s="51" t="s">
        <v>2</v>
      </c>
      <c r="F7" s="52" t="s">
        <v>340</v>
      </c>
      <c r="H7" s="52"/>
    </row>
    <row r="8" spans="1:14" s="51" customFormat="1" x14ac:dyDescent="0.2">
      <c r="A8" s="51" t="s">
        <v>3</v>
      </c>
      <c r="F8" s="242" t="s">
        <v>341</v>
      </c>
      <c r="H8" s="307">
        <v>0</v>
      </c>
      <c r="I8" s="214">
        <v>3352.7</v>
      </c>
      <c r="J8" s="276">
        <f>H8+I8</f>
        <v>3352.7</v>
      </c>
      <c r="K8" s="276"/>
    </row>
    <row r="9" spans="1:14" s="51" customFormat="1" x14ac:dyDescent="0.2">
      <c r="A9" s="372" t="s">
        <v>8</v>
      </c>
      <c r="B9" s="372"/>
      <c r="C9" s="372"/>
      <c r="D9" s="372"/>
      <c r="E9" s="372"/>
      <c r="F9" s="372"/>
      <c r="G9" s="372"/>
      <c r="H9" s="372"/>
      <c r="I9" s="372"/>
      <c r="J9" s="372"/>
      <c r="K9" s="372"/>
    </row>
    <row r="10" spans="1:14" s="51" customFormat="1" x14ac:dyDescent="0.2">
      <c r="A10" s="372" t="s">
        <v>9</v>
      </c>
      <c r="B10" s="372"/>
      <c r="C10" s="372"/>
      <c r="D10" s="372"/>
      <c r="E10" s="372"/>
      <c r="F10" s="372"/>
      <c r="G10" s="372"/>
      <c r="H10" s="372"/>
      <c r="I10" s="372"/>
      <c r="J10" s="372"/>
      <c r="K10" s="372"/>
    </row>
    <row r="11" spans="1:14" s="51" customFormat="1" ht="13.5" thickBot="1" x14ac:dyDescent="0.25">
      <c r="A11" s="372" t="s">
        <v>10</v>
      </c>
      <c r="B11" s="372"/>
      <c r="C11" s="372"/>
      <c r="D11" s="372"/>
      <c r="E11" s="372"/>
      <c r="F11" s="372"/>
      <c r="G11" s="372"/>
      <c r="H11" s="372"/>
      <c r="I11" s="372"/>
      <c r="J11" s="372"/>
      <c r="K11" s="372"/>
    </row>
    <row r="12" spans="1:14" s="59" customFormat="1" ht="15.75" thickBot="1" x14ac:dyDescent="0.3">
      <c r="A12" s="217" t="s">
        <v>381</v>
      </c>
      <c r="B12" s="218"/>
      <c r="C12" s="218"/>
      <c r="D12" s="61"/>
      <c r="E12" s="62"/>
      <c r="F12" s="62"/>
      <c r="G12" s="57">
        <f>'[1]Суворова 11'!$G$35</f>
        <v>173847.40099999998</v>
      </c>
      <c r="H12" s="54"/>
      <c r="I12" s="54"/>
    </row>
    <row r="13" spans="1:14" s="51" customFormat="1" ht="6.75" customHeight="1" x14ac:dyDescent="0.2"/>
    <row r="14" spans="1:14" s="66" customFormat="1" ht="38.25" x14ac:dyDescent="0.25">
      <c r="A14" s="64" t="s">
        <v>11</v>
      </c>
      <c r="B14" s="64" t="s">
        <v>12</v>
      </c>
      <c r="C14" s="64" t="s">
        <v>61</v>
      </c>
      <c r="D14" s="64" t="s">
        <v>432</v>
      </c>
      <c r="E14" s="64" t="s">
        <v>433</v>
      </c>
      <c r="F14" s="65" t="s">
        <v>434</v>
      </c>
      <c r="G14" s="64" t="s">
        <v>435</v>
      </c>
    </row>
    <row r="15" spans="1:14" s="51" customFormat="1" ht="14.25" x14ac:dyDescent="0.2">
      <c r="A15" s="67" t="s">
        <v>14</v>
      </c>
      <c r="B15" s="39" t="s">
        <v>379</v>
      </c>
      <c r="C15" s="87">
        <v>23.01</v>
      </c>
      <c r="D15" s="68">
        <v>923126.27</v>
      </c>
      <c r="E15" s="68">
        <v>912150.68</v>
      </c>
      <c r="F15" s="68">
        <f t="shared" ref="F15:F22" si="0">D15</f>
        <v>923126.27</v>
      </c>
      <c r="G15" s="69">
        <f t="shared" ref="G15:G20" si="1">D15-E15</f>
        <v>10975.589999999967</v>
      </c>
      <c r="H15" s="70">
        <f>C15</f>
        <v>23.01</v>
      </c>
      <c r="I15" s="71"/>
      <c r="J15" s="71"/>
      <c r="K15" s="71"/>
      <c r="M15" s="70"/>
      <c r="N15" s="72"/>
    </row>
    <row r="16" spans="1:14" s="51" customFormat="1" ht="15" hidden="1" outlineLevel="1" x14ac:dyDescent="0.25">
      <c r="A16" s="73" t="s">
        <v>16</v>
      </c>
      <c r="B16" s="34" t="s">
        <v>17</v>
      </c>
      <c r="C16" s="74">
        <v>3.46</v>
      </c>
      <c r="D16" s="75">
        <f>D15*I16</f>
        <v>138809.94759669708</v>
      </c>
      <c r="E16" s="75">
        <f>E15*I16</f>
        <v>137159.55466318992</v>
      </c>
      <c r="F16" s="75">
        <f t="shared" si="0"/>
        <v>138809.94759669708</v>
      </c>
      <c r="G16" s="76">
        <f t="shared" si="1"/>
        <v>1650.3929335071589</v>
      </c>
      <c r="H16" s="70">
        <f>C16</f>
        <v>3.46</v>
      </c>
      <c r="I16" s="51">
        <f>H16/H15</f>
        <v>0.15036940460669274</v>
      </c>
    </row>
    <row r="17" spans="1:11" s="51" customFormat="1" ht="15" hidden="1" outlineLevel="1" x14ac:dyDescent="0.25">
      <c r="A17" s="73" t="s">
        <v>18</v>
      </c>
      <c r="B17" s="34" t="s">
        <v>19</v>
      </c>
      <c r="C17" s="77">
        <v>1.69</v>
      </c>
      <c r="D17" s="75">
        <f>D15*I17</f>
        <v>67800.234519774007</v>
      </c>
      <c r="E17" s="75">
        <f>E15*I17</f>
        <v>66994.117740112983</v>
      </c>
      <c r="F17" s="75">
        <f t="shared" si="0"/>
        <v>67800.234519774007</v>
      </c>
      <c r="G17" s="76">
        <f t="shared" si="1"/>
        <v>806.11677966102434</v>
      </c>
      <c r="H17" s="70">
        <f>C17</f>
        <v>1.69</v>
      </c>
      <c r="I17" s="51">
        <f>H17/H15</f>
        <v>7.3446327683615809E-2</v>
      </c>
    </row>
    <row r="18" spans="1:11" s="51" customFormat="1" ht="15" hidden="1" outlineLevel="1" x14ac:dyDescent="0.25">
      <c r="A18" s="73" t="s">
        <v>20</v>
      </c>
      <c r="B18" s="34" t="s">
        <v>21</v>
      </c>
      <c r="C18" s="77">
        <v>1.69</v>
      </c>
      <c r="D18" s="75">
        <f>D15*I18</f>
        <v>67800.234519774007</v>
      </c>
      <c r="E18" s="75">
        <f>E15*I18</f>
        <v>66994.117740112983</v>
      </c>
      <c r="F18" s="75">
        <f t="shared" si="0"/>
        <v>67800.234519774007</v>
      </c>
      <c r="G18" s="76">
        <f t="shared" si="1"/>
        <v>806.11677966102434</v>
      </c>
      <c r="H18" s="70">
        <f>C18</f>
        <v>1.69</v>
      </c>
      <c r="I18" s="51">
        <f>H18/H15</f>
        <v>7.3446327683615809E-2</v>
      </c>
    </row>
    <row r="19" spans="1:11" s="51" customFormat="1" ht="15" hidden="1" outlineLevel="1" x14ac:dyDescent="0.25">
      <c r="A19" s="73" t="s">
        <v>22</v>
      </c>
      <c r="B19" s="34" t="s">
        <v>23</v>
      </c>
      <c r="C19" s="74">
        <v>3.04</v>
      </c>
      <c r="D19" s="75">
        <f>D15*I19</f>
        <v>121960.18517166449</v>
      </c>
      <c r="E19" s="75">
        <f>E15*I19</f>
        <v>120510.12895262928</v>
      </c>
      <c r="F19" s="75">
        <f t="shared" si="0"/>
        <v>121960.18517166449</v>
      </c>
      <c r="G19" s="76">
        <f t="shared" si="1"/>
        <v>1450.0562190352066</v>
      </c>
      <c r="H19" s="70">
        <f>C19</f>
        <v>3.04</v>
      </c>
      <c r="I19" s="51">
        <f>H19/H15</f>
        <v>0.13211647109952193</v>
      </c>
    </row>
    <row r="20" spans="1:11" s="51" customFormat="1" ht="15" hidden="1" outlineLevel="1" x14ac:dyDescent="0.25">
      <c r="A20" s="73" t="s">
        <v>24</v>
      </c>
      <c r="B20" s="34" t="s">
        <v>89</v>
      </c>
      <c r="C20" s="74">
        <v>3.5</v>
      </c>
      <c r="D20" s="75">
        <f>I20*D15</f>
        <v>140414.68687527161</v>
      </c>
      <c r="E20" s="75">
        <f>I20*E15</f>
        <v>138745.21425467188</v>
      </c>
      <c r="F20" s="75">
        <f>D20</f>
        <v>140414.68687527161</v>
      </c>
      <c r="G20" s="76">
        <f t="shared" si="1"/>
        <v>1669.4726205997285</v>
      </c>
      <c r="H20" s="70">
        <v>3.5</v>
      </c>
      <c r="I20" s="51">
        <f>H20/H15</f>
        <v>0.1521077792264233</v>
      </c>
    </row>
    <row r="21" spans="1:11" s="81" customFormat="1" ht="14.25" collapsed="1" x14ac:dyDescent="0.2">
      <c r="A21" s="78" t="s">
        <v>25</v>
      </c>
      <c r="B21" s="78" t="s">
        <v>28</v>
      </c>
      <c r="C21" s="43">
        <v>0</v>
      </c>
      <c r="D21" s="79">
        <v>0</v>
      </c>
      <c r="E21" s="79">
        <v>0</v>
      </c>
      <c r="F21" s="79">
        <f t="shared" si="0"/>
        <v>0</v>
      </c>
      <c r="G21" s="69">
        <f t="shared" ref="G21:G30" si="2">D21-E21</f>
        <v>0</v>
      </c>
      <c r="H21" s="80"/>
      <c r="I21" s="80"/>
      <c r="J21" s="80"/>
      <c r="K21" s="80"/>
    </row>
    <row r="22" spans="1:11" s="81" customFormat="1" ht="14.25" x14ac:dyDescent="0.2">
      <c r="A22" s="78" t="s">
        <v>27</v>
      </c>
      <c r="B22" s="78" t="s">
        <v>145</v>
      </c>
      <c r="C22" s="43">
        <v>0</v>
      </c>
      <c r="D22" s="79">
        <v>0</v>
      </c>
      <c r="E22" s="79">
        <v>0</v>
      </c>
      <c r="F22" s="79">
        <f t="shared" si="0"/>
        <v>0</v>
      </c>
      <c r="G22" s="69">
        <f t="shared" si="2"/>
        <v>0</v>
      </c>
      <c r="H22" s="80"/>
      <c r="I22" s="80"/>
      <c r="J22" s="80"/>
      <c r="K22" s="80"/>
    </row>
    <row r="23" spans="1:11" s="81" customFormat="1" ht="14.25" x14ac:dyDescent="0.2">
      <c r="A23" s="78" t="s">
        <v>29</v>
      </c>
      <c r="B23" s="78" t="s">
        <v>80</v>
      </c>
      <c r="C23" s="86">
        <v>2.2799999999999998</v>
      </c>
      <c r="D23" s="79">
        <v>91729.68</v>
      </c>
      <c r="E23" s="79">
        <v>90644.160000000003</v>
      </c>
      <c r="F23" s="79">
        <f>F39</f>
        <v>140266.2916</v>
      </c>
      <c r="G23" s="69">
        <f t="shared" si="2"/>
        <v>1085.5199999999895</v>
      </c>
      <c r="H23" s="80"/>
      <c r="I23" s="80"/>
      <c r="J23" s="80"/>
      <c r="K23" s="80"/>
    </row>
    <row r="24" spans="1:11" ht="14.25" x14ac:dyDescent="0.2">
      <c r="A24" s="39" t="s">
        <v>151</v>
      </c>
      <c r="B24" s="39" t="s">
        <v>97</v>
      </c>
      <c r="C24" s="46">
        <v>0</v>
      </c>
      <c r="D24" s="82">
        <v>0</v>
      </c>
      <c r="E24" s="82">
        <v>0</v>
      </c>
      <c r="F24" s="82">
        <f>D24</f>
        <v>0</v>
      </c>
      <c r="G24" s="69">
        <f t="shared" si="2"/>
        <v>0</v>
      </c>
      <c r="H24" s="88"/>
      <c r="I24" s="88"/>
      <c r="J24" s="88"/>
      <c r="K24" s="88"/>
    </row>
    <row r="25" spans="1:11" ht="14.25" x14ac:dyDescent="0.2">
      <c r="A25" s="39" t="s">
        <v>111</v>
      </c>
      <c r="B25" s="39" t="s">
        <v>36</v>
      </c>
      <c r="C25" s="87"/>
      <c r="D25" s="69">
        <f>SUM(D26:D29)</f>
        <v>2756254.1500000004</v>
      </c>
      <c r="E25" s="69">
        <f>SUM(E26:E29)</f>
        <v>2713946.94</v>
      </c>
      <c r="F25" s="69">
        <f>SUM(F26:F29)</f>
        <v>2756254.1500000004</v>
      </c>
      <c r="G25" s="69">
        <f t="shared" si="2"/>
        <v>42307.210000000428</v>
      </c>
      <c r="H25" s="88"/>
      <c r="I25" s="88"/>
      <c r="J25" s="88"/>
      <c r="K25" s="88"/>
    </row>
    <row r="26" spans="1:11" ht="15" x14ac:dyDescent="0.25">
      <c r="A26" s="34" t="s">
        <v>146</v>
      </c>
      <c r="B26" s="34" t="s">
        <v>101</v>
      </c>
      <c r="C26" s="89">
        <v>7.36</v>
      </c>
      <c r="D26" s="76">
        <v>32964.959999999999</v>
      </c>
      <c r="E26" s="76">
        <v>32426.7</v>
      </c>
      <c r="F26" s="76">
        <f>D26</f>
        <v>32964.959999999999</v>
      </c>
      <c r="G26" s="76">
        <f t="shared" si="2"/>
        <v>538.2599999999984</v>
      </c>
    </row>
    <row r="27" spans="1:11" ht="15" x14ac:dyDescent="0.25">
      <c r="A27" s="34" t="s">
        <v>147</v>
      </c>
      <c r="B27" s="34" t="s">
        <v>84</v>
      </c>
      <c r="C27" s="89">
        <v>88.38</v>
      </c>
      <c r="D27" s="76">
        <v>1096785.8500000001</v>
      </c>
      <c r="E27" s="76">
        <v>1078400.79</v>
      </c>
      <c r="F27" s="76">
        <f>D27</f>
        <v>1096785.8500000001</v>
      </c>
      <c r="G27" s="76">
        <f t="shared" si="2"/>
        <v>18385.060000000056</v>
      </c>
    </row>
    <row r="28" spans="1:11" ht="15" x14ac:dyDescent="0.25">
      <c r="A28" s="34" t="s">
        <v>148</v>
      </c>
      <c r="B28" s="34" t="s">
        <v>135</v>
      </c>
      <c r="C28" s="128">
        <v>0</v>
      </c>
      <c r="D28" s="76">
        <v>0</v>
      </c>
      <c r="E28" s="76">
        <v>0</v>
      </c>
      <c r="F28" s="76">
        <f>D28</f>
        <v>0</v>
      </c>
      <c r="G28" s="76">
        <f t="shared" si="2"/>
        <v>0</v>
      </c>
    </row>
    <row r="29" spans="1:11" ht="15" x14ac:dyDescent="0.25">
      <c r="A29" s="34" t="s">
        <v>149</v>
      </c>
      <c r="B29" s="34" t="s">
        <v>43</v>
      </c>
      <c r="C29" s="89">
        <v>3352.42</v>
      </c>
      <c r="D29" s="76">
        <v>1626503.34</v>
      </c>
      <c r="E29" s="76">
        <v>1603119.45</v>
      </c>
      <c r="F29" s="76">
        <f>D29</f>
        <v>1626503.34</v>
      </c>
      <c r="G29" s="76">
        <f t="shared" si="2"/>
        <v>23383.89000000013</v>
      </c>
    </row>
    <row r="30" spans="1:11" ht="14.25" hidden="1" outlineLevel="1" x14ac:dyDescent="0.2">
      <c r="A30" s="39" t="s">
        <v>35</v>
      </c>
      <c r="B30" s="300" t="s">
        <v>140</v>
      </c>
      <c r="C30" s="298"/>
      <c r="D30" s="248">
        <v>1000</v>
      </c>
      <c r="E30" s="248">
        <v>0</v>
      </c>
      <c r="F30" s="248">
        <v>0</v>
      </c>
      <c r="G30" s="248">
        <f t="shared" si="2"/>
        <v>1000</v>
      </c>
    </row>
    <row r="31" spans="1:11" ht="15" hidden="1" outlineLevel="1" x14ac:dyDescent="0.2">
      <c r="A31" s="90"/>
      <c r="B31" s="301"/>
      <c r="C31" s="376" t="s">
        <v>246</v>
      </c>
      <c r="D31" s="377"/>
      <c r="E31" s="377"/>
      <c r="F31" s="377"/>
      <c r="G31" s="82">
        <f>E30-(E30*15%)</f>
        <v>0</v>
      </c>
    </row>
    <row r="32" spans="1:11" s="92" customFormat="1" ht="21" customHeight="1" collapsed="1" thickBot="1" x14ac:dyDescent="0.3">
      <c r="A32" s="373"/>
      <c r="B32" s="374"/>
      <c r="C32" s="374"/>
      <c r="D32" s="375"/>
      <c r="E32" s="375"/>
      <c r="F32" s="375"/>
      <c r="G32" s="91"/>
      <c r="H32" s="91"/>
      <c r="I32" s="91"/>
    </row>
    <row r="33" spans="1:12" s="59" customFormat="1" ht="15.75" thickBot="1" x14ac:dyDescent="0.3">
      <c r="A33" s="387" t="s">
        <v>427</v>
      </c>
      <c r="B33" s="388"/>
      <c r="C33" s="388"/>
      <c r="D33" s="57">
        <v>54368.32</v>
      </c>
      <c r="E33" s="58"/>
      <c r="F33" s="58"/>
      <c r="G33" s="58"/>
      <c r="H33" s="54"/>
      <c r="I33" s="54"/>
    </row>
    <row r="34" spans="1:12" s="59" customFormat="1" ht="6" customHeight="1" thickBot="1" x14ac:dyDescent="0.3">
      <c r="A34" s="60"/>
      <c r="B34" s="60"/>
      <c r="C34" s="60"/>
      <c r="D34" s="38"/>
      <c r="E34" s="58"/>
      <c r="F34" s="58"/>
      <c r="G34" s="58"/>
      <c r="H34" s="54"/>
      <c r="I34" s="54"/>
    </row>
    <row r="35" spans="1:12" s="59" customFormat="1" ht="15.75" thickBot="1" x14ac:dyDescent="0.3">
      <c r="A35" s="55" t="s">
        <v>428</v>
      </c>
      <c r="B35" s="56"/>
      <c r="C35" s="56"/>
      <c r="D35" s="61"/>
      <c r="E35" s="62"/>
      <c r="F35" s="62"/>
      <c r="G35" s="129">
        <f>G12+E23-F23</f>
        <v>124225.26939999999</v>
      </c>
      <c r="H35" s="54"/>
      <c r="I35" s="54"/>
    </row>
    <row r="36" spans="1:12" ht="31.5" customHeight="1" x14ac:dyDescent="0.2">
      <c r="A36" s="371" t="s">
        <v>106</v>
      </c>
      <c r="B36" s="371"/>
      <c r="C36" s="371"/>
      <c r="D36" s="371"/>
      <c r="E36" s="371"/>
      <c r="F36" s="371"/>
      <c r="G36" s="371"/>
      <c r="H36" s="371"/>
      <c r="I36" s="371"/>
      <c r="J36" s="371"/>
      <c r="K36" s="371"/>
    </row>
    <row r="38" spans="1:12" s="66" customFormat="1" ht="37.5" customHeight="1" x14ac:dyDescent="0.2">
      <c r="A38" s="94" t="s">
        <v>11</v>
      </c>
      <c r="B38" s="416" t="s">
        <v>45</v>
      </c>
      <c r="C38" s="425"/>
      <c r="D38" s="94" t="s">
        <v>99</v>
      </c>
      <c r="E38" s="94" t="s">
        <v>98</v>
      </c>
      <c r="F38" s="416" t="s">
        <v>46</v>
      </c>
      <c r="G38" s="425"/>
      <c r="H38" s="207"/>
      <c r="I38" s="208"/>
      <c r="L38" s="97"/>
    </row>
    <row r="39" spans="1:12" s="103" customFormat="1" ht="15" customHeight="1" x14ac:dyDescent="0.25">
      <c r="A39" s="98" t="s">
        <v>47</v>
      </c>
      <c r="B39" s="418" t="s">
        <v>75</v>
      </c>
      <c r="C39" s="430"/>
      <c r="D39" s="99"/>
      <c r="E39" s="99"/>
      <c r="F39" s="436">
        <f>SUM(F40:G47)</f>
        <v>140266.2916</v>
      </c>
      <c r="G39" s="424"/>
      <c r="H39" s="209"/>
      <c r="I39" s="210"/>
      <c r="L39" s="104"/>
    </row>
    <row r="40" spans="1:12" ht="15" x14ac:dyDescent="0.25">
      <c r="A40" s="34" t="s">
        <v>16</v>
      </c>
      <c r="B40" s="406" t="s">
        <v>590</v>
      </c>
      <c r="C40" s="407"/>
      <c r="D40" s="176" t="s">
        <v>100</v>
      </c>
      <c r="E40" s="176">
        <v>1</v>
      </c>
      <c r="F40" s="435">
        <v>7500</v>
      </c>
      <c r="G40" s="435"/>
      <c r="H40" s="211"/>
      <c r="I40" s="212"/>
      <c r="L40" s="106"/>
    </row>
    <row r="41" spans="1:12" ht="15" x14ac:dyDescent="0.25">
      <c r="A41" s="34" t="s">
        <v>18</v>
      </c>
      <c r="B41" s="406" t="s">
        <v>591</v>
      </c>
      <c r="C41" s="431"/>
      <c r="D41" s="105" t="s">
        <v>137</v>
      </c>
      <c r="E41" s="107">
        <v>1.4999999999999999E-2</v>
      </c>
      <c r="F41" s="483">
        <v>5281.47</v>
      </c>
      <c r="G41" s="484"/>
      <c r="H41" s="38"/>
      <c r="I41" s="38"/>
      <c r="L41" s="106"/>
    </row>
    <row r="42" spans="1:12" ht="15" x14ac:dyDescent="0.25">
      <c r="A42" s="34" t="s">
        <v>20</v>
      </c>
      <c r="B42" s="406" t="s">
        <v>592</v>
      </c>
      <c r="C42" s="431"/>
      <c r="D42" s="105" t="s">
        <v>100</v>
      </c>
      <c r="E42" s="105">
        <v>16</v>
      </c>
      <c r="F42" s="466">
        <v>70716.27</v>
      </c>
      <c r="G42" s="467"/>
      <c r="H42" s="38"/>
      <c r="I42" s="38"/>
      <c r="L42" s="106"/>
    </row>
    <row r="43" spans="1:12" ht="15" x14ac:dyDescent="0.25">
      <c r="A43" s="34" t="s">
        <v>22</v>
      </c>
      <c r="B43" s="406" t="s">
        <v>479</v>
      </c>
      <c r="C43" s="431"/>
      <c r="D43" s="105" t="s">
        <v>100</v>
      </c>
      <c r="E43" s="105">
        <v>1</v>
      </c>
      <c r="F43" s="466">
        <v>5010</v>
      </c>
      <c r="G43" s="467"/>
      <c r="H43" s="38"/>
      <c r="I43" s="38"/>
      <c r="L43" s="106"/>
    </row>
    <row r="44" spans="1:12" ht="15" x14ac:dyDescent="0.25">
      <c r="A44" s="34" t="s">
        <v>24</v>
      </c>
      <c r="B44" s="406" t="s">
        <v>408</v>
      </c>
      <c r="C44" s="431"/>
      <c r="D44" s="105" t="s">
        <v>100</v>
      </c>
      <c r="E44" s="348">
        <v>1</v>
      </c>
      <c r="F44" s="466">
        <v>35424</v>
      </c>
      <c r="G44" s="467"/>
      <c r="H44" s="38"/>
      <c r="I44" s="38"/>
      <c r="L44" s="106"/>
    </row>
    <row r="45" spans="1:12" ht="15" x14ac:dyDescent="0.25">
      <c r="A45" s="34" t="s">
        <v>73</v>
      </c>
      <c r="B45" s="406" t="s">
        <v>623</v>
      </c>
      <c r="C45" s="431"/>
      <c r="D45" s="105" t="s">
        <v>103</v>
      </c>
      <c r="E45" s="107">
        <v>189</v>
      </c>
      <c r="F45" s="466">
        <v>15428.11</v>
      </c>
      <c r="G45" s="467"/>
      <c r="H45" s="38"/>
      <c r="I45" s="38"/>
      <c r="L45" s="106"/>
    </row>
    <row r="46" spans="1:12" ht="15" x14ac:dyDescent="0.25">
      <c r="A46" s="34" t="s">
        <v>74</v>
      </c>
      <c r="B46" s="412"/>
      <c r="C46" s="428"/>
      <c r="D46" s="258"/>
      <c r="E46" s="258"/>
      <c r="F46" s="468"/>
      <c r="G46" s="469"/>
      <c r="H46" s="38"/>
      <c r="I46" s="38"/>
      <c r="L46" s="106"/>
    </row>
    <row r="47" spans="1:12" s="59" customFormat="1" ht="15" x14ac:dyDescent="0.25">
      <c r="A47" s="34" t="s">
        <v>81</v>
      </c>
      <c r="B47" s="458" t="s">
        <v>108</v>
      </c>
      <c r="C47" s="459"/>
      <c r="D47" s="108"/>
      <c r="E47" s="108"/>
      <c r="F47" s="435">
        <f>E23*1%</f>
        <v>906.44160000000011</v>
      </c>
      <c r="G47" s="435"/>
      <c r="H47" s="51"/>
      <c r="I47" s="51"/>
      <c r="J47" s="51"/>
      <c r="K47" s="51"/>
    </row>
    <row r="48" spans="1:12" s="51" customFormat="1" ht="9" customHeight="1" x14ac:dyDescent="0.2"/>
    <row r="49" spans="1:11" s="51" customFormat="1" ht="15" x14ac:dyDescent="0.25">
      <c r="A49" s="51" t="s">
        <v>372</v>
      </c>
      <c r="B49" s="59"/>
      <c r="C49" s="110" t="s">
        <v>49</v>
      </c>
      <c r="D49" s="59"/>
      <c r="E49" s="59"/>
      <c r="F49" s="59" t="s">
        <v>60</v>
      </c>
      <c r="G49" s="59"/>
      <c r="H49" s="59"/>
      <c r="I49" s="59"/>
      <c r="J49" s="59"/>
      <c r="K49" s="59"/>
    </row>
    <row r="50" spans="1:11" s="51" customFormat="1" ht="15" x14ac:dyDescent="0.25">
      <c r="A50" s="59"/>
      <c r="B50" s="59"/>
      <c r="C50" s="110"/>
      <c r="D50" s="59"/>
      <c r="E50" s="59"/>
      <c r="F50" s="111" t="s">
        <v>438</v>
      </c>
      <c r="G50" s="59"/>
    </row>
    <row r="51" spans="1:11" s="51" customFormat="1" ht="15" x14ac:dyDescent="0.25">
      <c r="A51" s="59" t="s">
        <v>50</v>
      </c>
      <c r="B51" s="59"/>
      <c r="C51" s="110"/>
      <c r="D51" s="59"/>
      <c r="E51" s="59"/>
      <c r="F51" s="59"/>
      <c r="G51" s="59"/>
      <c r="H51" s="141"/>
      <c r="I51" s="141"/>
      <c r="J51" s="141"/>
    </row>
    <row r="52" spans="1:11" ht="15" x14ac:dyDescent="0.25">
      <c r="A52" s="59"/>
      <c r="B52" s="59"/>
      <c r="C52" s="112" t="s">
        <v>51</v>
      </c>
      <c r="D52" s="59"/>
      <c r="E52" s="113"/>
      <c r="F52" s="113"/>
      <c r="G52" s="113"/>
      <c r="H52" s="51"/>
      <c r="I52" s="51"/>
      <c r="J52" s="51"/>
      <c r="K52" s="51"/>
    </row>
    <row r="53" spans="1:11" x14ac:dyDescent="0.2">
      <c r="A53" s="51"/>
      <c r="B53" s="51"/>
      <c r="C53" s="51"/>
      <c r="D53" s="51"/>
      <c r="E53" s="51"/>
      <c r="F53" s="51"/>
      <c r="G53" s="51"/>
      <c r="H53" s="51"/>
      <c r="I53" s="51"/>
      <c r="J53" s="51"/>
      <c r="K53" s="51"/>
    </row>
  </sheetData>
  <mergeCells count="31">
    <mergeCell ref="B46:C46"/>
    <mergeCell ref="F44:G44"/>
    <mergeCell ref="F45:G45"/>
    <mergeCell ref="A36:K36"/>
    <mergeCell ref="A33:C33"/>
    <mergeCell ref="B44:C44"/>
    <mergeCell ref="F38:G38"/>
    <mergeCell ref="B41:C41"/>
    <mergeCell ref="A10:K10"/>
    <mergeCell ref="B39:C39"/>
    <mergeCell ref="A32:F32"/>
    <mergeCell ref="B40:C40"/>
    <mergeCell ref="B47:C47"/>
    <mergeCell ref="F47:G47"/>
    <mergeCell ref="F41:G41"/>
    <mergeCell ref="F46:G46"/>
    <mergeCell ref="F43:G43"/>
    <mergeCell ref="F39:G39"/>
    <mergeCell ref="B43:C43"/>
    <mergeCell ref="F42:G42"/>
    <mergeCell ref="B45:C45"/>
    <mergeCell ref="F40:G40"/>
    <mergeCell ref="A2:L2"/>
    <mergeCell ref="B42:C42"/>
    <mergeCell ref="A1:K1"/>
    <mergeCell ref="A5:K5"/>
    <mergeCell ref="A9:K9"/>
    <mergeCell ref="A11:K11"/>
    <mergeCell ref="C31:F31"/>
    <mergeCell ref="B38:C38"/>
    <mergeCell ref="A3:L3"/>
  </mergeCells>
  <pageMargins left="0.70866141732283472" right="0.70866141732283472" top="0.74803149606299213" bottom="0.74803149606299213" header="0.31496062992125984" footer="0.31496062992125984"/>
  <pageSetup paperSize="9" fitToHeight="0" orientation="landscape" verticalDpi="0" r:id="rId1"/>
  <drawing r:id="rId2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5FE633-A0F8-409A-BC0E-A03F04B0E638}">
  <sheetPr>
    <tabColor rgb="FF7030A0"/>
  </sheetPr>
  <dimension ref="A1:T53"/>
  <sheetViews>
    <sheetView topLeftCell="A28" workbookViewId="0">
      <selection activeCell="A55" sqref="A55:IV56"/>
    </sheetView>
  </sheetViews>
  <sheetFormatPr defaultRowHeight="12.75" outlineLevelRow="1" outlineLevelCol="1" x14ac:dyDescent="0.2"/>
  <cols>
    <col min="1" max="1" width="6" style="49" customWidth="1"/>
    <col min="2" max="2" width="48.140625" style="49" customWidth="1"/>
    <col min="3" max="3" width="14" style="49" customWidth="1"/>
    <col min="4" max="4" width="14.85546875" style="49" customWidth="1"/>
    <col min="5" max="5" width="13.85546875" style="49" customWidth="1"/>
    <col min="6" max="6" width="14.7109375" style="49" customWidth="1"/>
    <col min="7" max="7" width="14.5703125" style="49" customWidth="1"/>
    <col min="8" max="9" width="11.5703125" style="49" hidden="1" customWidth="1" outlineLevel="1"/>
    <col min="10" max="10" width="10.140625" style="49" hidden="1" customWidth="1" outlineLevel="1"/>
    <col min="11" max="11" width="10.42578125" style="49" hidden="1" customWidth="1" outlineLevel="1"/>
    <col min="12" max="12" width="12" style="49" bestFit="1" customWidth="1" collapsed="1"/>
    <col min="13" max="13" width="10" style="49" bestFit="1" customWidth="1"/>
    <col min="14" max="14" width="15.85546875" style="49" customWidth="1"/>
    <col min="15" max="16384" width="9.140625" style="49"/>
  </cols>
  <sheetData>
    <row r="1" spans="1:12" x14ac:dyDescent="0.2">
      <c r="A1" s="370" t="s">
        <v>0</v>
      </c>
      <c r="B1" s="370"/>
      <c r="C1" s="370"/>
      <c r="D1" s="370"/>
      <c r="E1" s="370"/>
      <c r="F1" s="370"/>
      <c r="G1" s="370"/>
      <c r="H1" s="370"/>
      <c r="I1" s="370"/>
      <c r="J1" s="370"/>
      <c r="K1" s="370"/>
    </row>
    <row r="2" spans="1:12" ht="12.75" customHeight="1" x14ac:dyDescent="0.2">
      <c r="A2" s="370" t="s">
        <v>152</v>
      </c>
      <c r="B2" s="370"/>
      <c r="C2" s="370"/>
      <c r="D2" s="370"/>
      <c r="E2" s="370"/>
      <c r="F2" s="370"/>
      <c r="G2" s="370"/>
      <c r="H2" s="370"/>
      <c r="I2" s="370"/>
      <c r="J2" s="370"/>
      <c r="K2" s="370"/>
      <c r="L2" s="370"/>
    </row>
    <row r="3" spans="1:12" ht="13.5" customHeight="1" x14ac:dyDescent="0.2">
      <c r="A3" s="370" t="s">
        <v>426</v>
      </c>
      <c r="B3" s="370"/>
      <c r="C3" s="370"/>
      <c r="D3" s="370"/>
      <c r="E3" s="370"/>
      <c r="F3" s="370"/>
      <c r="G3" s="370"/>
      <c r="H3" s="370"/>
      <c r="I3" s="370"/>
      <c r="J3" s="370"/>
      <c r="K3" s="370"/>
      <c r="L3" s="370"/>
    </row>
    <row r="4" spans="1:12" ht="9" customHeight="1" x14ac:dyDescent="0.2">
      <c r="A4" s="48"/>
      <c r="B4" s="48"/>
      <c r="C4" s="48"/>
      <c r="D4" s="48"/>
      <c r="E4" s="48"/>
      <c r="F4" s="48"/>
      <c r="G4" s="48"/>
      <c r="H4" s="48"/>
      <c r="I4" s="48"/>
      <c r="J4" s="48"/>
      <c r="K4" s="48"/>
    </row>
    <row r="5" spans="1:12" ht="16.5" customHeight="1" x14ac:dyDescent="0.2">
      <c r="A5" s="371" t="s">
        <v>1</v>
      </c>
      <c r="B5" s="370"/>
      <c r="C5" s="370"/>
      <c r="D5" s="370"/>
      <c r="E5" s="370"/>
      <c r="F5" s="370"/>
      <c r="G5" s="370"/>
      <c r="H5" s="370"/>
      <c r="I5" s="370"/>
      <c r="J5" s="370"/>
      <c r="K5" s="370"/>
    </row>
    <row r="7" spans="1:12" s="51" customFormat="1" ht="16.5" customHeight="1" x14ac:dyDescent="0.2">
      <c r="A7" s="51" t="s">
        <v>2</v>
      </c>
      <c r="F7" s="52" t="s">
        <v>343</v>
      </c>
      <c r="H7" s="52"/>
    </row>
    <row r="8" spans="1:12" s="51" customFormat="1" x14ac:dyDescent="0.2">
      <c r="A8" s="51" t="s">
        <v>3</v>
      </c>
      <c r="F8" s="242" t="s">
        <v>344</v>
      </c>
      <c r="H8" s="231">
        <v>58.5</v>
      </c>
      <c r="I8" s="214">
        <f>J8-H8</f>
        <v>3233</v>
      </c>
      <c r="J8" s="310">
        <v>3291.5</v>
      </c>
    </row>
    <row r="9" spans="1:12" s="51" customFormat="1" x14ac:dyDescent="0.2">
      <c r="B9" s="51" t="s">
        <v>252</v>
      </c>
      <c r="F9" s="242" t="s">
        <v>345</v>
      </c>
      <c r="H9" s="231"/>
      <c r="I9" s="214"/>
      <c r="J9" s="310"/>
    </row>
    <row r="10" spans="1:12" s="51" customFormat="1" x14ac:dyDescent="0.2">
      <c r="A10" s="372" t="s">
        <v>8</v>
      </c>
      <c r="B10" s="372"/>
      <c r="C10" s="372"/>
      <c r="D10" s="372"/>
      <c r="E10" s="372"/>
      <c r="F10" s="372"/>
      <c r="G10" s="372"/>
      <c r="H10" s="372"/>
      <c r="I10" s="372"/>
      <c r="J10" s="372"/>
      <c r="K10" s="372"/>
    </row>
    <row r="11" spans="1:12" s="51" customFormat="1" x14ac:dyDescent="0.2">
      <c r="A11" s="372" t="s">
        <v>9</v>
      </c>
      <c r="B11" s="372"/>
      <c r="C11" s="372"/>
      <c r="D11" s="372"/>
      <c r="E11" s="372"/>
      <c r="F11" s="372"/>
      <c r="G11" s="372"/>
      <c r="H11" s="372"/>
      <c r="I11" s="372"/>
      <c r="J11" s="372"/>
      <c r="K11" s="372"/>
    </row>
    <row r="12" spans="1:12" s="51" customFormat="1" x14ac:dyDescent="0.2">
      <c r="A12" s="372" t="s">
        <v>10</v>
      </c>
      <c r="B12" s="372"/>
      <c r="C12" s="372"/>
      <c r="D12" s="372"/>
      <c r="E12" s="372"/>
      <c r="F12" s="372"/>
      <c r="G12" s="372"/>
      <c r="H12" s="372"/>
      <c r="I12" s="372"/>
      <c r="J12" s="372"/>
      <c r="K12" s="372"/>
    </row>
    <row r="13" spans="1:12" s="59" customFormat="1" ht="6" customHeight="1" thickBot="1" x14ac:dyDescent="0.3">
      <c r="A13" s="60"/>
      <c r="B13" s="60"/>
      <c r="C13" s="60"/>
      <c r="D13" s="38"/>
      <c r="E13" s="58"/>
      <c r="F13" s="58"/>
      <c r="G13" s="58"/>
      <c r="H13" s="54"/>
      <c r="I13" s="54"/>
    </row>
    <row r="14" spans="1:12" s="59" customFormat="1" ht="15.75" thickBot="1" x14ac:dyDescent="0.3">
      <c r="A14" s="217" t="s">
        <v>381</v>
      </c>
      <c r="B14" s="218"/>
      <c r="C14" s="218"/>
      <c r="D14" s="61"/>
      <c r="E14" s="62"/>
      <c r="F14" s="62"/>
      <c r="G14" s="57">
        <f>'[1]Суворова 19'!$G$36</f>
        <v>-339245.96730000002</v>
      </c>
      <c r="H14" s="54"/>
      <c r="I14" s="54"/>
    </row>
    <row r="15" spans="1:12" s="51" customFormat="1" ht="6.75" customHeight="1" x14ac:dyDescent="0.2"/>
    <row r="16" spans="1:12" s="66" customFormat="1" ht="38.25" x14ac:dyDescent="0.25">
      <c r="A16" s="64" t="s">
        <v>11</v>
      </c>
      <c r="B16" s="64" t="s">
        <v>12</v>
      </c>
      <c r="C16" s="64" t="s">
        <v>61</v>
      </c>
      <c r="D16" s="64" t="s">
        <v>432</v>
      </c>
      <c r="E16" s="64" t="s">
        <v>433</v>
      </c>
      <c r="F16" s="65" t="s">
        <v>434</v>
      </c>
      <c r="G16" s="64" t="s">
        <v>435</v>
      </c>
    </row>
    <row r="17" spans="1:14" s="51" customFormat="1" ht="14.25" x14ac:dyDescent="0.2">
      <c r="A17" s="67" t="s">
        <v>14</v>
      </c>
      <c r="B17" s="39" t="s">
        <v>379</v>
      </c>
      <c r="C17" s="43">
        <v>23.01</v>
      </c>
      <c r="D17" s="68">
        <v>892696.8</v>
      </c>
      <c r="E17" s="68">
        <v>873915.451</v>
      </c>
      <c r="F17" s="68">
        <f>D17</f>
        <v>892696.8</v>
      </c>
      <c r="G17" s="69">
        <f>D17-E17</f>
        <v>18781.349000000046</v>
      </c>
      <c r="H17" s="70">
        <f>C17</f>
        <v>23.01</v>
      </c>
      <c r="I17" s="71"/>
      <c r="J17" s="71"/>
      <c r="K17" s="71"/>
      <c r="M17" s="70"/>
      <c r="N17" s="72"/>
    </row>
    <row r="18" spans="1:14" s="51" customFormat="1" ht="15" hidden="1" outlineLevel="1" x14ac:dyDescent="0.25">
      <c r="A18" s="73" t="s">
        <v>16</v>
      </c>
      <c r="B18" s="34" t="s">
        <v>17</v>
      </c>
      <c r="C18" s="74">
        <v>3.46</v>
      </c>
      <c r="D18" s="75">
        <f>D17*I18</f>
        <v>134234.28631029988</v>
      </c>
      <c r="E18" s="75">
        <f>E17*I18</f>
        <v>131410.14604345936</v>
      </c>
      <c r="F18" s="75">
        <f t="shared" ref="F18:F23" si="0">D18</f>
        <v>134234.28631029988</v>
      </c>
      <c r="G18" s="76">
        <f>D18-E18</f>
        <v>2824.1402668405208</v>
      </c>
      <c r="H18" s="70">
        <f>C18</f>
        <v>3.46</v>
      </c>
      <c r="I18" s="51">
        <f>H18/H17</f>
        <v>0.15036940460669274</v>
      </c>
    </row>
    <row r="19" spans="1:14" s="51" customFormat="1" ht="15" hidden="1" outlineLevel="1" x14ac:dyDescent="0.25">
      <c r="A19" s="73" t="s">
        <v>18</v>
      </c>
      <c r="B19" s="34" t="s">
        <v>19</v>
      </c>
      <c r="C19" s="77">
        <v>1.69</v>
      </c>
      <c r="D19" s="75">
        <f>D17*I19</f>
        <v>65565.301694915252</v>
      </c>
      <c r="E19" s="75">
        <f>E17*I19</f>
        <v>64185.880581920894</v>
      </c>
      <c r="F19" s="75">
        <f t="shared" si="0"/>
        <v>65565.301694915252</v>
      </c>
      <c r="G19" s="76">
        <f>D19-E19</f>
        <v>1379.4211129943578</v>
      </c>
      <c r="H19" s="70">
        <f>C19</f>
        <v>1.69</v>
      </c>
      <c r="I19" s="51">
        <f>H19/H17</f>
        <v>7.3446327683615809E-2</v>
      </c>
    </row>
    <row r="20" spans="1:14" s="51" customFormat="1" ht="15" hidden="1" outlineLevel="1" x14ac:dyDescent="0.25">
      <c r="A20" s="73" t="s">
        <v>20</v>
      </c>
      <c r="B20" s="34" t="s">
        <v>21</v>
      </c>
      <c r="C20" s="77">
        <v>1.69</v>
      </c>
      <c r="D20" s="75">
        <f>D17*I20</f>
        <v>65565.301694915252</v>
      </c>
      <c r="E20" s="75">
        <f>E17*I20</f>
        <v>64185.880581920894</v>
      </c>
      <c r="F20" s="75">
        <f t="shared" si="0"/>
        <v>65565.301694915252</v>
      </c>
      <c r="G20" s="76">
        <f>D20-E20</f>
        <v>1379.4211129943578</v>
      </c>
      <c r="H20" s="70">
        <f>C20</f>
        <v>1.69</v>
      </c>
      <c r="I20" s="51">
        <f>H20/H17</f>
        <v>7.3446327683615809E-2</v>
      </c>
    </row>
    <row r="21" spans="1:14" s="51" customFormat="1" ht="15" hidden="1" outlineLevel="1" x14ac:dyDescent="0.25">
      <c r="A21" s="73" t="s">
        <v>22</v>
      </c>
      <c r="B21" s="34" t="s">
        <v>23</v>
      </c>
      <c r="C21" s="74">
        <v>3.04</v>
      </c>
      <c r="D21" s="75">
        <f>D17*I21</f>
        <v>117939.95097783572</v>
      </c>
      <c r="E21" s="75">
        <f>E17*I21</f>
        <v>115458.62542546718</v>
      </c>
      <c r="F21" s="75">
        <f t="shared" si="0"/>
        <v>117939.95097783572</v>
      </c>
      <c r="G21" s="76">
        <f>D21-E21</f>
        <v>2481.3255523685366</v>
      </c>
      <c r="H21" s="70">
        <f>C21</f>
        <v>3.04</v>
      </c>
      <c r="I21" s="51">
        <f>H21/H17</f>
        <v>0.13211647109952193</v>
      </c>
    </row>
    <row r="22" spans="1:14" s="81" customFormat="1" ht="14.25" collapsed="1" x14ac:dyDescent="0.2">
      <c r="A22" s="78" t="s">
        <v>25</v>
      </c>
      <c r="B22" s="78" t="s">
        <v>26</v>
      </c>
      <c r="C22" s="43">
        <v>0</v>
      </c>
      <c r="D22" s="79">
        <v>0</v>
      </c>
      <c r="E22" s="79">
        <v>0</v>
      </c>
      <c r="F22" s="79">
        <f t="shared" si="0"/>
        <v>0</v>
      </c>
      <c r="G22" s="69">
        <f t="shared" ref="G22:G32" si="1">D22-E22</f>
        <v>0</v>
      </c>
      <c r="H22" s="80"/>
      <c r="I22" s="80"/>
      <c r="J22" s="80"/>
      <c r="K22" s="80"/>
    </row>
    <row r="23" spans="1:14" s="81" customFormat="1" ht="14.25" x14ac:dyDescent="0.2">
      <c r="A23" s="78" t="s">
        <v>27</v>
      </c>
      <c r="B23" s="78" t="s">
        <v>28</v>
      </c>
      <c r="C23" s="43">
        <v>0</v>
      </c>
      <c r="D23" s="79">
        <v>0</v>
      </c>
      <c r="E23" s="79">
        <v>0</v>
      </c>
      <c r="F23" s="79">
        <f t="shared" si="0"/>
        <v>0</v>
      </c>
      <c r="G23" s="69">
        <f t="shared" si="1"/>
        <v>0</v>
      </c>
      <c r="H23" s="80"/>
      <c r="I23" s="80"/>
      <c r="J23" s="80"/>
      <c r="K23" s="80"/>
    </row>
    <row r="24" spans="1:14" s="81" customFormat="1" ht="14.25" x14ac:dyDescent="0.2">
      <c r="A24" s="78" t="s">
        <v>29</v>
      </c>
      <c r="B24" s="78" t="s">
        <v>119</v>
      </c>
      <c r="C24" s="46">
        <v>120</v>
      </c>
      <c r="D24" s="79">
        <v>0</v>
      </c>
      <c r="E24" s="79">
        <v>82.94</v>
      </c>
      <c r="F24" s="79">
        <f>D24</f>
        <v>0</v>
      </c>
      <c r="G24" s="69">
        <f t="shared" si="1"/>
        <v>-82.94</v>
      </c>
      <c r="H24" s="80"/>
      <c r="I24" s="80"/>
      <c r="J24" s="80"/>
      <c r="K24" s="80"/>
    </row>
    <row r="25" spans="1:14" s="81" customFormat="1" ht="14.25" x14ac:dyDescent="0.2">
      <c r="A25" s="78" t="s">
        <v>31</v>
      </c>
      <c r="B25" s="78" t="s">
        <v>80</v>
      </c>
      <c r="C25" s="86">
        <v>2.2799999999999998</v>
      </c>
      <c r="D25" s="79">
        <f>88454.88+D26</f>
        <v>90055.44</v>
      </c>
      <c r="E25" s="79">
        <f>86644.81+E26</f>
        <v>88245.37</v>
      </c>
      <c r="F25" s="79">
        <f>F43</f>
        <v>129975.7637</v>
      </c>
      <c r="G25" s="69">
        <f t="shared" si="1"/>
        <v>1810.070000000007</v>
      </c>
      <c r="H25" s="80"/>
      <c r="I25" s="80"/>
      <c r="J25" s="80"/>
      <c r="K25" s="224"/>
    </row>
    <row r="26" spans="1:14" s="81" customFormat="1" ht="14.25" x14ac:dyDescent="0.2">
      <c r="A26" s="78"/>
      <c r="B26" s="292" t="s">
        <v>244</v>
      </c>
      <c r="C26" s="293"/>
      <c r="D26" s="294">
        <v>1600.56</v>
      </c>
      <c r="E26" s="294">
        <v>1600.56</v>
      </c>
      <c r="F26" s="294"/>
      <c r="G26" s="248">
        <f>D26-E26</f>
        <v>0</v>
      </c>
      <c r="H26" s="80"/>
      <c r="I26" s="80"/>
      <c r="J26" s="80"/>
      <c r="K26" s="224"/>
    </row>
    <row r="27" spans="1:14" ht="14.25" x14ac:dyDescent="0.2">
      <c r="A27" s="39" t="s">
        <v>33</v>
      </c>
      <c r="B27" s="39" t="s">
        <v>97</v>
      </c>
      <c r="C27" s="46">
        <v>0</v>
      </c>
      <c r="D27" s="69">
        <v>0</v>
      </c>
      <c r="E27" s="69">
        <v>0</v>
      </c>
      <c r="F27" s="79">
        <f>D27</f>
        <v>0</v>
      </c>
      <c r="G27" s="69">
        <f t="shared" si="1"/>
        <v>0</v>
      </c>
      <c r="H27" s="88"/>
      <c r="I27" s="88"/>
      <c r="J27" s="88"/>
      <c r="K27" s="88"/>
      <c r="L27" s="193"/>
    </row>
    <row r="28" spans="1:14" ht="14.25" x14ac:dyDescent="0.2">
      <c r="A28" s="39" t="s">
        <v>35</v>
      </c>
      <c r="B28" s="39" t="s">
        <v>36</v>
      </c>
      <c r="C28" s="87"/>
      <c r="D28" s="69">
        <f>SUM(D29:D32)</f>
        <v>2875667.95</v>
      </c>
      <c r="E28" s="69">
        <f>SUM(E29:E32)</f>
        <v>2772243.46</v>
      </c>
      <c r="F28" s="69">
        <f>SUM(F29:F32)</f>
        <v>2875667.95</v>
      </c>
      <c r="G28" s="69">
        <f t="shared" si="1"/>
        <v>103424.49000000022</v>
      </c>
      <c r="H28" s="88"/>
      <c r="I28" s="88"/>
      <c r="J28" s="88"/>
      <c r="K28" s="88"/>
    </row>
    <row r="29" spans="1:14" ht="15" x14ac:dyDescent="0.25">
      <c r="A29" s="34" t="s">
        <v>37</v>
      </c>
      <c r="B29" s="34" t="s">
        <v>105</v>
      </c>
      <c r="C29" s="89">
        <v>7.36</v>
      </c>
      <c r="D29" s="76">
        <v>33731.46</v>
      </c>
      <c r="E29" s="76">
        <v>32697.19</v>
      </c>
      <c r="F29" s="76">
        <f>D29</f>
        <v>33731.46</v>
      </c>
      <c r="G29" s="76">
        <f t="shared" si="1"/>
        <v>1034.2700000000004</v>
      </c>
    </row>
    <row r="30" spans="1:14" ht="15" x14ac:dyDescent="0.25">
      <c r="A30" s="34" t="s">
        <v>39</v>
      </c>
      <c r="B30" s="34" t="s">
        <v>84</v>
      </c>
      <c r="C30" s="89">
        <v>88.38</v>
      </c>
      <c r="D30" s="76">
        <v>1319609.82</v>
      </c>
      <c r="E30" s="76">
        <v>1256077.99</v>
      </c>
      <c r="F30" s="76">
        <f>D30</f>
        <v>1319609.82</v>
      </c>
      <c r="G30" s="76">
        <f t="shared" si="1"/>
        <v>63531.830000000075</v>
      </c>
    </row>
    <row r="31" spans="1:14" ht="15" x14ac:dyDescent="0.25">
      <c r="A31" s="34" t="s">
        <v>42</v>
      </c>
      <c r="B31" s="34" t="s">
        <v>135</v>
      </c>
      <c r="C31" s="128">
        <v>0</v>
      </c>
      <c r="D31" s="76">
        <v>0</v>
      </c>
      <c r="E31" s="76">
        <v>0</v>
      </c>
      <c r="F31" s="76">
        <v>0</v>
      </c>
      <c r="G31" s="76">
        <f t="shared" si="1"/>
        <v>0</v>
      </c>
    </row>
    <row r="32" spans="1:14" ht="15" x14ac:dyDescent="0.25">
      <c r="A32" s="34" t="s">
        <v>41</v>
      </c>
      <c r="B32" s="34" t="s">
        <v>43</v>
      </c>
      <c r="C32" s="89">
        <v>3352.42</v>
      </c>
      <c r="D32" s="76">
        <v>1522326.67</v>
      </c>
      <c r="E32" s="76">
        <v>1483468.28</v>
      </c>
      <c r="F32" s="76">
        <f>D32</f>
        <v>1522326.67</v>
      </c>
      <c r="G32" s="76">
        <f t="shared" si="1"/>
        <v>38858.389999999898</v>
      </c>
    </row>
    <row r="33" spans="1:20" s="92" customFormat="1" ht="16.5" customHeight="1" thickBot="1" x14ac:dyDescent="0.3">
      <c r="A33" s="373"/>
      <c r="B33" s="374"/>
      <c r="C33" s="374"/>
      <c r="D33" s="375"/>
      <c r="E33" s="375"/>
      <c r="F33" s="375"/>
      <c r="G33" s="91"/>
      <c r="H33" s="91"/>
      <c r="I33" s="91"/>
    </row>
    <row r="34" spans="1:20" s="59" customFormat="1" ht="15.75" thickBot="1" x14ac:dyDescent="0.3">
      <c r="A34" s="387" t="s">
        <v>427</v>
      </c>
      <c r="B34" s="388"/>
      <c r="C34" s="388"/>
      <c r="D34" s="57">
        <v>123932.97</v>
      </c>
      <c r="E34" s="58"/>
      <c r="F34" s="58"/>
      <c r="G34" s="58"/>
      <c r="H34" s="54"/>
      <c r="I34" s="54"/>
    </row>
    <row r="35" spans="1:20" s="59" customFormat="1" ht="6" customHeight="1" thickBot="1" x14ac:dyDescent="0.3">
      <c r="A35" s="60"/>
      <c r="B35" s="60"/>
      <c r="C35" s="60"/>
      <c r="D35" s="38"/>
      <c r="E35" s="58"/>
      <c r="F35" s="58"/>
      <c r="G35" s="58"/>
      <c r="H35" s="54"/>
      <c r="I35" s="54"/>
    </row>
    <row r="36" spans="1:20" s="59" customFormat="1" ht="15.75" thickBot="1" x14ac:dyDescent="0.3">
      <c r="A36" s="55" t="s">
        <v>428</v>
      </c>
      <c r="B36" s="56"/>
      <c r="C36" s="56"/>
      <c r="D36" s="61"/>
      <c r="E36" s="62"/>
      <c r="F36" s="62"/>
      <c r="G36" s="63">
        <f>G14+E25-F25</f>
        <v>-380976.36100000003</v>
      </c>
      <c r="H36" s="54"/>
      <c r="I36" s="54"/>
      <c r="K36" s="130"/>
    </row>
    <row r="37" spans="1:20" s="59" customFormat="1" ht="15" x14ac:dyDescent="0.25">
      <c r="A37" s="392" t="s">
        <v>90</v>
      </c>
      <c r="B37" s="392"/>
      <c r="C37" s="60"/>
      <c r="D37" s="38"/>
      <c r="E37" s="58"/>
      <c r="F37" s="58"/>
      <c r="G37" s="38"/>
      <c r="H37" s="54"/>
      <c r="I37" s="54"/>
      <c r="K37" s="130"/>
    </row>
    <row r="38" spans="1:20" s="59" customFormat="1" ht="15" x14ac:dyDescent="0.25">
      <c r="A38" s="444" t="s">
        <v>91</v>
      </c>
      <c r="B38" s="445"/>
      <c r="C38" s="305" t="s">
        <v>92</v>
      </c>
      <c r="D38" s="305" t="s">
        <v>93</v>
      </c>
      <c r="E38" s="138" t="s">
        <v>94</v>
      </c>
      <c r="F38" s="306" t="s">
        <v>95</v>
      </c>
      <c r="G38" s="138" t="s">
        <v>96</v>
      </c>
      <c r="H38" s="54"/>
      <c r="I38" s="54"/>
      <c r="K38" s="130"/>
    </row>
    <row r="39" spans="1:20" s="92" customFormat="1" ht="15" x14ac:dyDescent="0.25">
      <c r="A39" s="446"/>
      <c r="B39" s="447"/>
      <c r="C39" s="305">
        <v>58.5</v>
      </c>
      <c r="D39" s="138">
        <f>E39/C39/12</f>
        <v>25.290085470085469</v>
      </c>
      <c r="E39" s="358">
        <v>17753.64</v>
      </c>
      <c r="F39" s="358">
        <v>17753.64</v>
      </c>
      <c r="G39" s="138">
        <f>E39-F39</f>
        <v>0</v>
      </c>
      <c r="H39" s="91">
        <f>C17+C25</f>
        <v>25.290000000000003</v>
      </c>
      <c r="I39" s="91">
        <f>H39*C39*3</f>
        <v>4438.3950000000004</v>
      </c>
      <c r="J39" s="91">
        <f>11783.1</f>
        <v>11783.1</v>
      </c>
      <c r="K39" s="91">
        <f>5812.56</f>
        <v>5812.56</v>
      </c>
    </row>
    <row r="40" spans="1:20" ht="31.5" customHeight="1" x14ac:dyDescent="0.25">
      <c r="A40" s="371" t="s">
        <v>106</v>
      </c>
      <c r="B40" s="422"/>
      <c r="C40" s="422"/>
      <c r="D40" s="422"/>
      <c r="E40" s="422"/>
      <c r="F40" s="422"/>
      <c r="G40" s="422"/>
      <c r="H40" s="50"/>
      <c r="I40" s="50"/>
      <c r="J40" s="50"/>
      <c r="K40" s="50"/>
      <c r="L40" s="566"/>
      <c r="M40" s="566"/>
      <c r="N40" s="225"/>
      <c r="O40" s="225"/>
      <c r="P40" s="199"/>
      <c r="Q40" s="226"/>
      <c r="R40" s="199"/>
      <c r="S40" s="83"/>
      <c r="T40" s="83"/>
    </row>
    <row r="41" spans="1:20" ht="15" x14ac:dyDescent="0.25">
      <c r="L41" s="566"/>
      <c r="M41" s="566"/>
      <c r="N41" s="225"/>
      <c r="O41" s="199"/>
      <c r="P41" s="227"/>
      <c r="Q41" s="227"/>
      <c r="R41" s="199"/>
      <c r="S41" s="83"/>
      <c r="T41" s="83"/>
    </row>
    <row r="42" spans="1:20" s="66" customFormat="1" ht="37.5" customHeight="1" x14ac:dyDescent="0.2">
      <c r="A42" s="94" t="s">
        <v>11</v>
      </c>
      <c r="B42" s="550" t="s">
        <v>45</v>
      </c>
      <c r="C42" s="550"/>
      <c r="D42" s="94" t="s">
        <v>99</v>
      </c>
      <c r="E42" s="94" t="s">
        <v>98</v>
      </c>
      <c r="F42" s="550" t="s">
        <v>46</v>
      </c>
      <c r="G42" s="550"/>
      <c r="H42" s="95"/>
      <c r="I42" s="96"/>
      <c r="L42" s="97"/>
    </row>
    <row r="43" spans="1:20" s="103" customFormat="1" ht="15" customHeight="1" x14ac:dyDescent="0.25">
      <c r="A43" s="98" t="s">
        <v>47</v>
      </c>
      <c r="B43" s="559" t="s">
        <v>75</v>
      </c>
      <c r="C43" s="559"/>
      <c r="D43" s="99"/>
      <c r="E43" s="99"/>
      <c r="F43" s="548">
        <f>SUM(F44:G48)</f>
        <v>129975.7637</v>
      </c>
      <c r="G43" s="549"/>
      <c r="H43" s="101"/>
      <c r="I43" s="102"/>
      <c r="L43" s="104"/>
    </row>
    <row r="44" spans="1:20" ht="15" x14ac:dyDescent="0.25">
      <c r="A44" s="34" t="s">
        <v>16</v>
      </c>
      <c r="B44" s="406" t="s">
        <v>593</v>
      </c>
      <c r="C44" s="407"/>
      <c r="D44" s="176" t="s">
        <v>458</v>
      </c>
      <c r="E44" s="176">
        <v>0.24</v>
      </c>
      <c r="F44" s="435">
        <v>124163.08</v>
      </c>
      <c r="G44" s="435"/>
      <c r="H44" s="38"/>
      <c r="I44" s="38"/>
      <c r="L44" s="106"/>
    </row>
    <row r="45" spans="1:20" ht="15" x14ac:dyDescent="0.25">
      <c r="A45" s="34" t="s">
        <v>18</v>
      </c>
      <c r="B45" s="406" t="s">
        <v>622</v>
      </c>
      <c r="C45" s="431"/>
      <c r="D45" s="105" t="s">
        <v>458</v>
      </c>
      <c r="E45" s="105">
        <v>6</v>
      </c>
      <c r="F45" s="466">
        <v>4930.2299999999996</v>
      </c>
      <c r="G45" s="467"/>
      <c r="H45" s="38"/>
      <c r="I45" s="38"/>
      <c r="L45" s="106"/>
    </row>
    <row r="46" spans="1:20" ht="15" x14ac:dyDescent="0.25">
      <c r="A46" s="34" t="s">
        <v>20</v>
      </c>
      <c r="B46" s="412"/>
      <c r="C46" s="428"/>
      <c r="D46" s="258"/>
      <c r="E46" s="258"/>
      <c r="F46" s="468"/>
      <c r="G46" s="469"/>
      <c r="H46" s="38"/>
      <c r="I46" s="38"/>
      <c r="L46" s="106"/>
    </row>
    <row r="47" spans="1:20" ht="15.6" customHeight="1" x14ac:dyDescent="0.25">
      <c r="A47" s="215" t="s">
        <v>22</v>
      </c>
      <c r="B47" s="412"/>
      <c r="C47" s="428"/>
      <c r="D47" s="258"/>
      <c r="E47" s="258"/>
      <c r="F47" s="468"/>
      <c r="G47" s="469"/>
      <c r="H47" s="38"/>
      <c r="I47" s="38"/>
      <c r="L47" s="106"/>
    </row>
    <row r="48" spans="1:20" s="59" customFormat="1" ht="20.25" customHeight="1" x14ac:dyDescent="0.25">
      <c r="A48" s="34" t="s">
        <v>24</v>
      </c>
      <c r="B48" s="458" t="s">
        <v>108</v>
      </c>
      <c r="C48" s="459"/>
      <c r="D48" s="108"/>
      <c r="E48" s="108"/>
      <c r="F48" s="435">
        <f>E25*1%</f>
        <v>882.45370000000003</v>
      </c>
      <c r="G48" s="435"/>
      <c r="H48" s="51"/>
      <c r="I48" s="51"/>
      <c r="J48" s="51"/>
      <c r="K48" s="51"/>
    </row>
    <row r="49" spans="1:7" x14ac:dyDescent="0.2">
      <c r="A49" s="51"/>
      <c r="B49" s="51"/>
      <c r="C49" s="51"/>
      <c r="D49" s="51"/>
      <c r="E49" s="51"/>
      <c r="F49" s="51"/>
      <c r="G49" s="51"/>
    </row>
    <row r="50" spans="1:7" ht="15" x14ac:dyDescent="0.25">
      <c r="A50" s="51" t="s">
        <v>372</v>
      </c>
      <c r="B50" s="59"/>
      <c r="C50" s="110" t="s">
        <v>49</v>
      </c>
      <c r="D50" s="59"/>
      <c r="E50" s="59"/>
      <c r="F50" s="59" t="s">
        <v>60</v>
      </c>
      <c r="G50" s="59"/>
    </row>
    <row r="51" spans="1:7" ht="15" x14ac:dyDescent="0.25">
      <c r="A51" s="59"/>
      <c r="B51" s="59"/>
      <c r="C51" s="110"/>
      <c r="D51" s="59"/>
      <c r="E51" s="59"/>
      <c r="F51" s="111" t="s">
        <v>438</v>
      </c>
      <c r="G51" s="59"/>
    </row>
    <row r="52" spans="1:7" ht="15" x14ac:dyDescent="0.25">
      <c r="A52" s="59" t="s">
        <v>50</v>
      </c>
      <c r="B52" s="59"/>
      <c r="C52" s="110"/>
      <c r="D52" s="59"/>
      <c r="E52" s="59"/>
      <c r="F52" s="59"/>
      <c r="G52" s="59"/>
    </row>
    <row r="53" spans="1:7" ht="15" x14ac:dyDescent="0.25">
      <c r="A53" s="59"/>
      <c r="B53" s="59"/>
      <c r="C53" s="112" t="s">
        <v>51</v>
      </c>
      <c r="D53" s="59"/>
      <c r="E53" s="113"/>
      <c r="F53" s="113"/>
      <c r="G53" s="113"/>
    </row>
  </sheetData>
  <mergeCells count="27">
    <mergeCell ref="A3:L3"/>
    <mergeCell ref="A12:K12"/>
    <mergeCell ref="A34:C34"/>
    <mergeCell ref="L40:M41"/>
    <mergeCell ref="B46:C46"/>
    <mergeCell ref="F46:G46"/>
    <mergeCell ref="F42:G42"/>
    <mergeCell ref="F43:G43"/>
    <mergeCell ref="A40:G40"/>
    <mergeCell ref="B45:C45"/>
    <mergeCell ref="F45:G45"/>
    <mergeCell ref="A37:B37"/>
    <mergeCell ref="A38:B39"/>
    <mergeCell ref="B47:C47"/>
    <mergeCell ref="F47:G47"/>
    <mergeCell ref="B44:C44"/>
    <mergeCell ref="F44:G44"/>
    <mergeCell ref="A1:K1"/>
    <mergeCell ref="A5:K5"/>
    <mergeCell ref="A10:K10"/>
    <mergeCell ref="B43:C43"/>
    <mergeCell ref="A2:L2"/>
    <mergeCell ref="B48:C48"/>
    <mergeCell ref="F48:G48"/>
    <mergeCell ref="A11:K11"/>
    <mergeCell ref="A33:F33"/>
    <mergeCell ref="B42:C42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652FC8-990B-40A4-9E25-C3D1F723F5ED}">
  <sheetPr>
    <tabColor rgb="FF7030A0"/>
  </sheetPr>
  <dimension ref="A1:N51"/>
  <sheetViews>
    <sheetView topLeftCell="A34" workbookViewId="0">
      <selection activeCell="A54" sqref="A54:IV55"/>
    </sheetView>
  </sheetViews>
  <sheetFormatPr defaultRowHeight="12.75" outlineLevelRow="1" outlineLevelCol="1" x14ac:dyDescent="0.2"/>
  <cols>
    <col min="1" max="1" width="6" style="49" customWidth="1"/>
    <col min="2" max="2" width="48.140625" style="49" customWidth="1"/>
    <col min="3" max="3" width="14" style="49" customWidth="1"/>
    <col min="4" max="4" width="14.85546875" style="49" customWidth="1"/>
    <col min="5" max="6" width="13.28515625" style="49" customWidth="1"/>
    <col min="7" max="7" width="14.5703125" style="49" customWidth="1"/>
    <col min="8" max="9" width="11.5703125" style="49" hidden="1" customWidth="1" outlineLevel="1"/>
    <col min="10" max="10" width="10.140625" style="49" hidden="1" customWidth="1" outlineLevel="1"/>
    <col min="11" max="11" width="10.42578125" style="49" hidden="1" customWidth="1" outlineLevel="1"/>
    <col min="12" max="12" width="9.140625" style="49" collapsed="1"/>
    <col min="13" max="13" width="10" style="49" bestFit="1" customWidth="1"/>
    <col min="14" max="14" width="15.85546875" style="49" customWidth="1"/>
    <col min="15" max="16384" width="9.140625" style="49"/>
  </cols>
  <sheetData>
    <row r="1" spans="1:12" x14ac:dyDescent="0.2">
      <c r="A1" s="370" t="s">
        <v>0</v>
      </c>
      <c r="B1" s="370"/>
      <c r="C1" s="370"/>
      <c r="D1" s="370"/>
      <c r="E1" s="370"/>
      <c r="F1" s="370"/>
      <c r="G1" s="370"/>
      <c r="H1" s="370"/>
      <c r="I1" s="370"/>
      <c r="J1" s="370"/>
      <c r="K1" s="370"/>
    </row>
    <row r="2" spans="1:12" ht="12.75" customHeight="1" x14ac:dyDescent="0.2">
      <c r="A2" s="370" t="s">
        <v>152</v>
      </c>
      <c r="B2" s="370"/>
      <c r="C2" s="370"/>
      <c r="D2" s="370"/>
      <c r="E2" s="370"/>
      <c r="F2" s="370"/>
      <c r="G2" s="370"/>
      <c r="H2" s="370"/>
      <c r="I2" s="370"/>
      <c r="J2" s="370"/>
      <c r="K2" s="370"/>
      <c r="L2" s="370"/>
    </row>
    <row r="3" spans="1:12" ht="13.5" customHeight="1" x14ac:dyDescent="0.2">
      <c r="A3" s="370" t="s">
        <v>426</v>
      </c>
      <c r="B3" s="370"/>
      <c r="C3" s="370"/>
      <c r="D3" s="370"/>
      <c r="E3" s="370"/>
      <c r="F3" s="370"/>
      <c r="G3" s="370"/>
      <c r="H3" s="370"/>
      <c r="I3" s="370"/>
      <c r="J3" s="370"/>
      <c r="K3" s="370"/>
      <c r="L3" s="370"/>
    </row>
    <row r="4" spans="1:12" ht="9" customHeight="1" x14ac:dyDescent="0.2">
      <c r="A4" s="48"/>
      <c r="B4" s="48"/>
      <c r="C4" s="48"/>
      <c r="D4" s="48"/>
      <c r="E4" s="48"/>
      <c r="F4" s="48"/>
      <c r="G4" s="48"/>
      <c r="H4" s="48"/>
      <c r="I4" s="48"/>
      <c r="J4" s="48"/>
      <c r="K4" s="48"/>
    </row>
    <row r="5" spans="1:12" ht="16.5" customHeight="1" x14ac:dyDescent="0.2">
      <c r="A5" s="371" t="s">
        <v>1</v>
      </c>
      <c r="B5" s="370"/>
      <c r="C5" s="370"/>
      <c r="D5" s="370"/>
      <c r="E5" s="370"/>
      <c r="F5" s="370"/>
      <c r="G5" s="370"/>
      <c r="H5" s="370"/>
      <c r="I5" s="370"/>
      <c r="J5" s="370"/>
      <c r="K5" s="370"/>
    </row>
    <row r="7" spans="1:12" s="51" customFormat="1" ht="16.5" customHeight="1" x14ac:dyDescent="0.2">
      <c r="A7" s="51" t="s">
        <v>2</v>
      </c>
      <c r="F7" s="52" t="s">
        <v>346</v>
      </c>
      <c r="H7" s="52"/>
    </row>
    <row r="8" spans="1:12" s="51" customFormat="1" x14ac:dyDescent="0.2">
      <c r="A8" s="51" t="s">
        <v>3</v>
      </c>
      <c r="F8" s="242" t="s">
        <v>347</v>
      </c>
      <c r="H8" s="52"/>
    </row>
    <row r="9" spans="1:12" s="51" customFormat="1" x14ac:dyDescent="0.2">
      <c r="B9" s="51" t="s">
        <v>252</v>
      </c>
      <c r="F9" s="242" t="s">
        <v>348</v>
      </c>
      <c r="H9" s="231">
        <f>71.6+32.9+47.5</f>
        <v>152</v>
      </c>
      <c r="I9" s="51">
        <f>J9-H9</f>
        <v>599.79999999999995</v>
      </c>
      <c r="J9" s="276">
        <v>751.8</v>
      </c>
    </row>
    <row r="10" spans="1:12" s="51" customFormat="1" x14ac:dyDescent="0.2">
      <c r="A10" s="372" t="s">
        <v>8</v>
      </c>
      <c r="B10" s="372"/>
      <c r="C10" s="372"/>
      <c r="D10" s="372"/>
      <c r="E10" s="372"/>
      <c r="F10" s="372"/>
      <c r="G10" s="372"/>
      <c r="H10" s="372"/>
      <c r="I10" s="372"/>
      <c r="J10" s="372"/>
      <c r="K10" s="372"/>
    </row>
    <row r="11" spans="1:12" s="51" customFormat="1" x14ac:dyDescent="0.2">
      <c r="A11" s="372" t="s">
        <v>9</v>
      </c>
      <c r="B11" s="372"/>
      <c r="C11" s="372"/>
      <c r="D11" s="372"/>
      <c r="E11" s="372"/>
      <c r="F11" s="372"/>
      <c r="G11" s="372"/>
      <c r="H11" s="372"/>
      <c r="I11" s="372"/>
      <c r="J11" s="372"/>
      <c r="K11" s="372"/>
    </row>
    <row r="12" spans="1:12" s="51" customFormat="1" x14ac:dyDescent="0.2">
      <c r="A12" s="372" t="s">
        <v>10</v>
      </c>
      <c r="B12" s="372"/>
      <c r="C12" s="372"/>
      <c r="D12" s="372"/>
      <c r="E12" s="372"/>
      <c r="F12" s="372"/>
      <c r="G12" s="372"/>
      <c r="H12" s="372"/>
      <c r="I12" s="372"/>
      <c r="J12" s="372"/>
      <c r="K12" s="372"/>
    </row>
    <row r="13" spans="1:12" s="59" customFormat="1" ht="6" customHeight="1" thickBot="1" x14ac:dyDescent="0.3">
      <c r="A13" s="60"/>
      <c r="B13" s="60"/>
      <c r="C13" s="60"/>
      <c r="D13" s="38"/>
      <c r="E13" s="58"/>
      <c r="F13" s="58"/>
      <c r="G13" s="58"/>
      <c r="H13" s="54"/>
      <c r="I13" s="54"/>
    </row>
    <row r="14" spans="1:12" s="59" customFormat="1" ht="15.75" thickBot="1" x14ac:dyDescent="0.3">
      <c r="A14" s="217" t="s">
        <v>388</v>
      </c>
      <c r="B14" s="218"/>
      <c r="C14" s="218"/>
      <c r="D14" s="61"/>
      <c r="E14" s="62"/>
      <c r="F14" s="62"/>
      <c r="G14" s="57">
        <f>'[1]Воронина 23а'!$G$36</f>
        <v>-27495.720099999995</v>
      </c>
      <c r="H14" s="54"/>
      <c r="I14" s="54"/>
    </row>
    <row r="15" spans="1:12" s="51" customFormat="1" ht="6.75" customHeight="1" x14ac:dyDescent="0.2"/>
    <row r="16" spans="1:12" s="66" customFormat="1" ht="38.25" x14ac:dyDescent="0.25">
      <c r="A16" s="64" t="s">
        <v>11</v>
      </c>
      <c r="B16" s="64" t="s">
        <v>12</v>
      </c>
      <c r="C16" s="64" t="s">
        <v>61</v>
      </c>
      <c r="D16" s="64" t="s">
        <v>432</v>
      </c>
      <c r="E16" s="64" t="s">
        <v>433</v>
      </c>
      <c r="F16" s="65" t="s">
        <v>434</v>
      </c>
      <c r="G16" s="64" t="s">
        <v>435</v>
      </c>
    </row>
    <row r="17" spans="1:14" s="51" customFormat="1" ht="14.25" x14ac:dyDescent="0.2">
      <c r="A17" s="67" t="s">
        <v>14</v>
      </c>
      <c r="B17" s="39" t="s">
        <v>379</v>
      </c>
      <c r="C17" s="43">
        <v>20.66</v>
      </c>
      <c r="D17" s="68">
        <v>121297.62</v>
      </c>
      <c r="E17" s="68">
        <v>112503.55</v>
      </c>
      <c r="F17" s="68">
        <f>D17</f>
        <v>121297.62</v>
      </c>
      <c r="G17" s="69">
        <f>D17-E17</f>
        <v>8794.0699999999924</v>
      </c>
      <c r="H17" s="70">
        <f>C17</f>
        <v>20.66</v>
      </c>
      <c r="I17" s="71"/>
      <c r="J17" s="71"/>
      <c r="K17" s="71"/>
      <c r="M17" s="70"/>
      <c r="N17" s="72"/>
    </row>
    <row r="18" spans="1:14" s="51" customFormat="1" ht="15" hidden="1" outlineLevel="1" x14ac:dyDescent="0.25">
      <c r="A18" s="73" t="s">
        <v>16</v>
      </c>
      <c r="B18" s="34" t="s">
        <v>17</v>
      </c>
      <c r="C18" s="74">
        <v>3.46</v>
      </c>
      <c r="D18" s="75">
        <f>D17*I18</f>
        <v>20314.122226524687</v>
      </c>
      <c r="E18" s="75">
        <f>E17*I18</f>
        <v>18841.349612778318</v>
      </c>
      <c r="F18" s="75">
        <f t="shared" ref="F18:F23" si="0">D18</f>
        <v>20314.122226524687</v>
      </c>
      <c r="G18" s="76">
        <f>D18-E18</f>
        <v>1472.7726137463687</v>
      </c>
      <c r="H18" s="70">
        <f>C18</f>
        <v>3.46</v>
      </c>
      <c r="I18" s="51">
        <f>H18/H17</f>
        <v>0.16747337850919652</v>
      </c>
    </row>
    <row r="19" spans="1:14" s="51" customFormat="1" ht="15" hidden="1" outlineLevel="1" x14ac:dyDescent="0.25">
      <c r="A19" s="73" t="s">
        <v>18</v>
      </c>
      <c r="B19" s="34" t="s">
        <v>19</v>
      </c>
      <c r="C19" s="77">
        <v>1.69</v>
      </c>
      <c r="D19" s="75">
        <f>D17*I19</f>
        <v>9922.2157696030972</v>
      </c>
      <c r="E19" s="75">
        <f>E17*I19</f>
        <v>9202.8557357211994</v>
      </c>
      <c r="F19" s="75">
        <f t="shared" si="0"/>
        <v>9922.2157696030972</v>
      </c>
      <c r="G19" s="76">
        <f>D19-E19</f>
        <v>719.36003388189783</v>
      </c>
      <c r="H19" s="70">
        <f>C19</f>
        <v>1.69</v>
      </c>
      <c r="I19" s="51">
        <f>H19/H17</f>
        <v>8.1800580832526615E-2</v>
      </c>
    </row>
    <row r="20" spans="1:14" s="51" customFormat="1" ht="15" hidden="1" outlineLevel="1" x14ac:dyDescent="0.25">
      <c r="A20" s="73" t="s">
        <v>20</v>
      </c>
      <c r="B20" s="34" t="s">
        <v>21</v>
      </c>
      <c r="C20" s="77">
        <v>1.69</v>
      </c>
      <c r="D20" s="75">
        <f>D17*I20</f>
        <v>9922.2157696030972</v>
      </c>
      <c r="E20" s="75">
        <f>E17*I20</f>
        <v>9202.8557357211994</v>
      </c>
      <c r="F20" s="75">
        <f t="shared" si="0"/>
        <v>9922.2157696030972</v>
      </c>
      <c r="G20" s="76">
        <f>D20-E20</f>
        <v>719.36003388189783</v>
      </c>
      <c r="H20" s="70">
        <f>C20</f>
        <v>1.69</v>
      </c>
      <c r="I20" s="51">
        <f>H20/H17</f>
        <v>8.1800580832526615E-2</v>
      </c>
    </row>
    <row r="21" spans="1:14" s="51" customFormat="1" ht="15" hidden="1" outlineLevel="1" x14ac:dyDescent="0.25">
      <c r="A21" s="73" t="s">
        <v>22</v>
      </c>
      <c r="B21" s="34" t="s">
        <v>23</v>
      </c>
      <c r="C21" s="74">
        <v>3.04</v>
      </c>
      <c r="D21" s="75">
        <f>D17*I21</f>
        <v>17848.246118102612</v>
      </c>
      <c r="E21" s="75">
        <f>E17*I21</f>
        <v>16554.249370764763</v>
      </c>
      <c r="F21" s="75">
        <f t="shared" si="0"/>
        <v>17848.246118102612</v>
      </c>
      <c r="G21" s="76">
        <f>D21-E21</f>
        <v>1293.9967473378492</v>
      </c>
      <c r="H21" s="70">
        <f>C21</f>
        <v>3.04</v>
      </c>
      <c r="I21" s="51">
        <f>H21/H17</f>
        <v>0.14714424007744434</v>
      </c>
    </row>
    <row r="22" spans="1:14" s="81" customFormat="1" ht="14.25" collapsed="1" x14ac:dyDescent="0.2">
      <c r="A22" s="78" t="s">
        <v>25</v>
      </c>
      <c r="B22" s="78" t="s">
        <v>26</v>
      </c>
      <c r="C22" s="43">
        <v>0</v>
      </c>
      <c r="D22" s="79">
        <v>0</v>
      </c>
      <c r="E22" s="79">
        <v>0</v>
      </c>
      <c r="F22" s="79">
        <f t="shared" si="0"/>
        <v>0</v>
      </c>
      <c r="G22" s="69">
        <f t="shared" ref="G22:G32" si="1">D22-E22</f>
        <v>0</v>
      </c>
      <c r="H22" s="80"/>
      <c r="I22" s="80"/>
      <c r="J22" s="80"/>
      <c r="K22" s="80"/>
    </row>
    <row r="23" spans="1:14" s="81" customFormat="1" ht="14.25" x14ac:dyDescent="0.2">
      <c r="A23" s="78" t="s">
        <v>27</v>
      </c>
      <c r="B23" s="78" t="s">
        <v>28</v>
      </c>
      <c r="C23" s="43">
        <v>0</v>
      </c>
      <c r="D23" s="79">
        <v>0</v>
      </c>
      <c r="E23" s="79">
        <v>0</v>
      </c>
      <c r="F23" s="79">
        <f t="shared" si="0"/>
        <v>0</v>
      </c>
      <c r="G23" s="69">
        <f t="shared" si="1"/>
        <v>0</v>
      </c>
      <c r="H23" s="80"/>
      <c r="I23" s="80"/>
      <c r="J23" s="80"/>
      <c r="K23" s="80"/>
    </row>
    <row r="24" spans="1:14" s="81" customFormat="1" ht="14.25" x14ac:dyDescent="0.2">
      <c r="A24" s="78" t="s">
        <v>29</v>
      </c>
      <c r="B24" s="78" t="s">
        <v>119</v>
      </c>
      <c r="C24" s="43">
        <v>0</v>
      </c>
      <c r="D24" s="79">
        <v>0</v>
      </c>
      <c r="E24" s="79">
        <v>0</v>
      </c>
      <c r="F24" s="79">
        <f>D24</f>
        <v>0</v>
      </c>
      <c r="G24" s="69">
        <f t="shared" si="1"/>
        <v>0</v>
      </c>
      <c r="H24" s="80"/>
      <c r="I24" s="80"/>
      <c r="J24" s="80"/>
      <c r="K24" s="80"/>
    </row>
    <row r="25" spans="1:14" s="81" customFormat="1" ht="14.25" x14ac:dyDescent="0.2">
      <c r="A25" s="78" t="s">
        <v>31</v>
      </c>
      <c r="B25" s="78" t="s">
        <v>80</v>
      </c>
      <c r="C25" s="86">
        <v>2.04</v>
      </c>
      <c r="D25" s="79">
        <f>13092.19+D26</f>
        <v>23403.07</v>
      </c>
      <c r="E25" s="79">
        <f>12194.45+E26</f>
        <v>15605.330000000002</v>
      </c>
      <c r="F25" s="79">
        <f>F43</f>
        <v>156.05330000000001</v>
      </c>
      <c r="G25" s="69">
        <f t="shared" si="1"/>
        <v>7797.739999999998</v>
      </c>
      <c r="H25" s="80"/>
      <c r="I25" s="80"/>
      <c r="J25" s="80"/>
      <c r="K25" s="224"/>
    </row>
    <row r="26" spans="1:14" s="81" customFormat="1" ht="14.25" x14ac:dyDescent="0.2">
      <c r="A26" s="78"/>
      <c r="B26" s="292" t="s">
        <v>244</v>
      </c>
      <c r="C26" s="293"/>
      <c r="D26" s="294">
        <f>1606.7+7638.28+1065.9</f>
        <v>10310.879999999999</v>
      </c>
      <c r="E26" s="294">
        <f>1606.7+738.28+1065.9</f>
        <v>3410.88</v>
      </c>
      <c r="F26" s="294"/>
      <c r="G26" s="248"/>
      <c r="H26" s="80"/>
      <c r="I26" s="80"/>
      <c r="J26" s="80"/>
      <c r="K26" s="224"/>
    </row>
    <row r="27" spans="1:14" ht="14.25" x14ac:dyDescent="0.2">
      <c r="A27" s="39" t="s">
        <v>33</v>
      </c>
      <c r="B27" s="39" t="s">
        <v>97</v>
      </c>
      <c r="C27" s="87">
        <v>0</v>
      </c>
      <c r="D27" s="69">
        <v>0</v>
      </c>
      <c r="E27" s="69">
        <v>0</v>
      </c>
      <c r="F27" s="79">
        <f>D27</f>
        <v>0</v>
      </c>
      <c r="G27" s="69">
        <f t="shared" si="1"/>
        <v>0</v>
      </c>
      <c r="H27" s="88"/>
      <c r="I27" s="88"/>
      <c r="J27" s="88"/>
      <c r="K27" s="88"/>
      <c r="L27" s="193"/>
    </row>
    <row r="28" spans="1:14" ht="14.25" x14ac:dyDescent="0.2">
      <c r="A28" s="39" t="s">
        <v>35</v>
      </c>
      <c r="B28" s="39" t="s">
        <v>36</v>
      </c>
      <c r="C28" s="87"/>
      <c r="D28" s="69">
        <f>SUM(D29:D32)</f>
        <v>127877.24</v>
      </c>
      <c r="E28" s="69">
        <f>SUM(E29:E32)</f>
        <v>91711.58</v>
      </c>
      <c r="F28" s="69">
        <f>SUM(F29:F32)</f>
        <v>127877.24</v>
      </c>
      <c r="G28" s="69">
        <f t="shared" si="1"/>
        <v>36165.660000000003</v>
      </c>
      <c r="H28" s="88"/>
      <c r="I28" s="88"/>
      <c r="J28" s="88"/>
      <c r="K28" s="88"/>
    </row>
    <row r="29" spans="1:14" ht="15" x14ac:dyDescent="0.25">
      <c r="A29" s="34" t="s">
        <v>37</v>
      </c>
      <c r="B29" s="34" t="s">
        <v>105</v>
      </c>
      <c r="C29" s="89">
        <v>7.36</v>
      </c>
      <c r="D29" s="76">
        <v>11753.36</v>
      </c>
      <c r="E29" s="76">
        <v>10830.6</v>
      </c>
      <c r="F29" s="76">
        <f>D29</f>
        <v>11753.36</v>
      </c>
      <c r="G29" s="76">
        <f t="shared" si="1"/>
        <v>922.76000000000022</v>
      </c>
    </row>
    <row r="30" spans="1:14" ht="15" x14ac:dyDescent="0.25">
      <c r="A30" s="34" t="s">
        <v>39</v>
      </c>
      <c r="B30" s="34" t="s">
        <v>84</v>
      </c>
      <c r="C30" s="89">
        <v>88.38</v>
      </c>
      <c r="D30" s="76">
        <v>116123.88</v>
      </c>
      <c r="E30" s="76">
        <v>80880.98</v>
      </c>
      <c r="F30" s="76">
        <f>D30</f>
        <v>116123.88</v>
      </c>
      <c r="G30" s="76">
        <f t="shared" si="1"/>
        <v>35242.900000000009</v>
      </c>
    </row>
    <row r="31" spans="1:14" ht="15" x14ac:dyDescent="0.25">
      <c r="A31" s="34" t="s">
        <v>42</v>
      </c>
      <c r="B31" s="34" t="s">
        <v>135</v>
      </c>
      <c r="C31" s="128">
        <v>0</v>
      </c>
      <c r="D31" s="76">
        <v>0</v>
      </c>
      <c r="E31" s="76">
        <v>0</v>
      </c>
      <c r="F31" s="76">
        <f>D31</f>
        <v>0</v>
      </c>
      <c r="G31" s="76">
        <f>D31-E31</f>
        <v>0</v>
      </c>
    </row>
    <row r="32" spans="1:14" ht="15" x14ac:dyDescent="0.25">
      <c r="A32" s="34" t="s">
        <v>41</v>
      </c>
      <c r="B32" s="34" t="s">
        <v>43</v>
      </c>
      <c r="C32" s="89">
        <v>0</v>
      </c>
      <c r="D32" s="76">
        <v>0</v>
      </c>
      <c r="E32" s="76">
        <v>0</v>
      </c>
      <c r="F32" s="76">
        <f>D32</f>
        <v>0</v>
      </c>
      <c r="G32" s="76">
        <f t="shared" si="1"/>
        <v>0</v>
      </c>
    </row>
    <row r="33" spans="1:12" s="92" customFormat="1" ht="15.75" customHeight="1" thickBot="1" x14ac:dyDescent="0.3">
      <c r="A33" s="373"/>
      <c r="B33" s="374"/>
      <c r="C33" s="374"/>
      <c r="D33" s="375"/>
      <c r="E33" s="375"/>
      <c r="F33" s="375"/>
      <c r="G33" s="91"/>
      <c r="H33" s="91"/>
      <c r="I33" s="91"/>
    </row>
    <row r="34" spans="1:12" s="59" customFormat="1" ht="15.75" thickBot="1" x14ac:dyDescent="0.3">
      <c r="A34" s="387" t="s">
        <v>427</v>
      </c>
      <c r="B34" s="388"/>
      <c r="C34" s="388"/>
      <c r="D34" s="57">
        <v>52757.47</v>
      </c>
      <c r="E34" s="58"/>
      <c r="F34" s="58"/>
      <c r="G34" s="58"/>
      <c r="H34" s="54"/>
      <c r="I34" s="54"/>
    </row>
    <row r="35" spans="1:12" s="59" customFormat="1" ht="6" customHeight="1" thickBot="1" x14ac:dyDescent="0.3">
      <c r="A35" s="60"/>
      <c r="B35" s="60"/>
      <c r="C35" s="60"/>
      <c r="D35" s="38"/>
      <c r="E35" s="58"/>
      <c r="F35" s="58"/>
      <c r="G35" s="58"/>
      <c r="H35" s="54"/>
      <c r="I35" s="54"/>
    </row>
    <row r="36" spans="1:12" s="59" customFormat="1" ht="15.75" thickBot="1" x14ac:dyDescent="0.3">
      <c r="A36" s="55" t="s">
        <v>428</v>
      </c>
      <c r="B36" s="56"/>
      <c r="C36" s="56"/>
      <c r="D36" s="61"/>
      <c r="E36" s="62"/>
      <c r="F36" s="62"/>
      <c r="G36" s="129">
        <f>G14+E25-F25</f>
        <v>-12046.443399999993</v>
      </c>
      <c r="H36" s="54"/>
      <c r="I36" s="54"/>
      <c r="K36" s="130"/>
    </row>
    <row r="37" spans="1:12" s="59" customFormat="1" ht="15" x14ac:dyDescent="0.25">
      <c r="A37" s="392" t="s">
        <v>90</v>
      </c>
      <c r="B37" s="392"/>
      <c r="C37" s="60"/>
      <c r="D37" s="38"/>
      <c r="E37" s="58"/>
      <c r="F37" s="58"/>
      <c r="G37" s="38"/>
      <c r="H37" s="54"/>
      <c r="I37" s="54">
        <f>47.5*H39*3</f>
        <v>3234.75</v>
      </c>
      <c r="K37" s="130"/>
    </row>
    <row r="38" spans="1:12" s="59" customFormat="1" ht="15" x14ac:dyDescent="0.25">
      <c r="A38" s="444" t="s">
        <v>91</v>
      </c>
      <c r="B38" s="445"/>
      <c r="C38" s="305" t="s">
        <v>92</v>
      </c>
      <c r="D38" s="305" t="s">
        <v>93</v>
      </c>
      <c r="E38" s="138" t="s">
        <v>94</v>
      </c>
      <c r="F38" s="306" t="s">
        <v>95</v>
      </c>
      <c r="G38" s="138" t="s">
        <v>96</v>
      </c>
      <c r="H38" s="54"/>
      <c r="I38" s="54">
        <f>32.9*H39*3</f>
        <v>2240.4899999999998</v>
      </c>
      <c r="K38" s="130"/>
    </row>
    <row r="39" spans="1:12" s="92" customFormat="1" ht="15" x14ac:dyDescent="0.25">
      <c r="A39" s="446"/>
      <c r="B39" s="447"/>
      <c r="C39" s="342">
        <f>71.6+32.9+47.5</f>
        <v>152</v>
      </c>
      <c r="D39" s="138">
        <f>E39/C39/12</f>
        <v>20.240816885964914</v>
      </c>
      <c r="E39" s="358">
        <f>7991.08+17390.92+11537.25</f>
        <v>36919.25</v>
      </c>
      <c r="F39" s="358">
        <f>13257.7+27142.84+18006.77</f>
        <v>58407.31</v>
      </c>
      <c r="G39" s="138">
        <f>E39-F39</f>
        <v>-21488.059999999998</v>
      </c>
      <c r="H39" s="91">
        <f>C17+C25</f>
        <v>22.7</v>
      </c>
      <c r="I39" s="91">
        <f>71.6*H39*3</f>
        <v>4875.9599999999991</v>
      </c>
      <c r="J39" s="91">
        <f>6052.26+13107.12+8635.5</f>
        <v>27794.880000000001</v>
      </c>
      <c r="K39" s="91">
        <f>1571.28+5032.8+7566.75</f>
        <v>14170.83</v>
      </c>
    </row>
    <row r="40" spans="1:12" ht="31.5" customHeight="1" x14ac:dyDescent="0.2">
      <c r="A40" s="371" t="s">
        <v>106</v>
      </c>
      <c r="B40" s="567"/>
      <c r="C40" s="567"/>
      <c r="D40" s="567"/>
      <c r="E40" s="567"/>
      <c r="F40" s="567"/>
      <c r="G40" s="567"/>
      <c r="H40" s="50"/>
      <c r="I40" s="50"/>
      <c r="J40" s="50"/>
      <c r="K40" s="50"/>
    </row>
    <row r="41" spans="1:12" x14ac:dyDescent="0.2">
      <c r="A41" s="568"/>
      <c r="B41" s="568"/>
      <c r="C41" s="568"/>
      <c r="D41" s="568"/>
      <c r="E41" s="568"/>
      <c r="F41" s="568"/>
      <c r="G41" s="568"/>
    </row>
    <row r="42" spans="1:12" s="66" customFormat="1" ht="37.5" customHeight="1" x14ac:dyDescent="0.2">
      <c r="A42" s="94" t="s">
        <v>11</v>
      </c>
      <c r="B42" s="416" t="s">
        <v>45</v>
      </c>
      <c r="C42" s="425"/>
      <c r="D42" s="94" t="s">
        <v>99</v>
      </c>
      <c r="E42" s="94" t="s">
        <v>98</v>
      </c>
      <c r="F42" s="550" t="s">
        <v>46</v>
      </c>
      <c r="G42" s="550"/>
      <c r="H42" s="95"/>
      <c r="I42" s="96"/>
      <c r="L42" s="97"/>
    </row>
    <row r="43" spans="1:12" s="103" customFormat="1" ht="15" customHeight="1" x14ac:dyDescent="0.25">
      <c r="A43" s="98" t="s">
        <v>47</v>
      </c>
      <c r="B43" s="418" t="s">
        <v>75</v>
      </c>
      <c r="C43" s="430"/>
      <c r="D43" s="99"/>
      <c r="E43" s="99"/>
      <c r="F43" s="548">
        <f>SUM(F44:J46)</f>
        <v>156.05330000000001</v>
      </c>
      <c r="G43" s="549"/>
      <c r="H43" s="101"/>
      <c r="I43" s="102"/>
      <c r="L43" s="104"/>
    </row>
    <row r="44" spans="1:12" ht="15" x14ac:dyDescent="0.25">
      <c r="A44" s="34" t="s">
        <v>16</v>
      </c>
      <c r="B44" s="412"/>
      <c r="C44" s="413"/>
      <c r="D44" s="260"/>
      <c r="E44" s="260"/>
      <c r="F44" s="463"/>
      <c r="G44" s="463"/>
      <c r="H44" s="38"/>
      <c r="I44" s="38"/>
      <c r="L44" s="106"/>
    </row>
    <row r="45" spans="1:12" ht="15" x14ac:dyDescent="0.25">
      <c r="A45" s="34" t="s">
        <v>18</v>
      </c>
      <c r="B45" s="561"/>
      <c r="C45" s="561"/>
      <c r="D45" s="258"/>
      <c r="E45" s="258"/>
      <c r="F45" s="463"/>
      <c r="G45" s="463"/>
      <c r="H45" s="38"/>
      <c r="I45" s="38"/>
      <c r="L45" s="106"/>
    </row>
    <row r="46" spans="1:12" s="59" customFormat="1" ht="18.75" customHeight="1" x14ac:dyDescent="0.25">
      <c r="A46" s="34" t="s">
        <v>20</v>
      </c>
      <c r="B46" s="458" t="s">
        <v>108</v>
      </c>
      <c r="C46" s="459"/>
      <c r="D46" s="108"/>
      <c r="E46" s="108"/>
      <c r="F46" s="435">
        <f>E25*1%</f>
        <v>156.05330000000001</v>
      </c>
      <c r="G46" s="435"/>
      <c r="H46" s="51"/>
      <c r="I46" s="51"/>
      <c r="J46" s="51"/>
      <c r="K46" s="51"/>
    </row>
    <row r="47" spans="1:12" x14ac:dyDescent="0.2">
      <c r="A47" s="51"/>
      <c r="B47" s="51"/>
      <c r="C47" s="51"/>
      <c r="D47" s="51"/>
      <c r="E47" s="51"/>
      <c r="F47" s="51"/>
      <c r="G47" s="51"/>
    </row>
    <row r="48" spans="1:12" ht="15" x14ac:dyDescent="0.25">
      <c r="A48" s="51" t="s">
        <v>372</v>
      </c>
      <c r="B48" s="59"/>
      <c r="C48" s="110" t="s">
        <v>49</v>
      </c>
      <c r="D48" s="59"/>
      <c r="E48" s="59"/>
      <c r="F48" s="59" t="s">
        <v>60</v>
      </c>
      <c r="G48" s="59"/>
    </row>
    <row r="49" spans="1:7" ht="15" x14ac:dyDescent="0.25">
      <c r="A49" s="59"/>
      <c r="B49" s="59"/>
      <c r="C49" s="110"/>
      <c r="D49" s="59"/>
      <c r="E49" s="59"/>
      <c r="F49" s="111" t="s">
        <v>438</v>
      </c>
      <c r="G49" s="59"/>
    </row>
    <row r="50" spans="1:7" ht="15" x14ac:dyDescent="0.25">
      <c r="A50" s="59" t="s">
        <v>50</v>
      </c>
      <c r="B50" s="59"/>
      <c r="C50" s="110"/>
      <c r="D50" s="59"/>
      <c r="E50" s="59"/>
      <c r="F50" s="59"/>
      <c r="G50" s="59"/>
    </row>
    <row r="51" spans="1:7" ht="15" x14ac:dyDescent="0.25">
      <c r="A51" s="59"/>
      <c r="B51" s="59"/>
      <c r="C51" s="112" t="s">
        <v>51</v>
      </c>
      <c r="D51" s="59"/>
      <c r="E51" s="113"/>
      <c r="F51" s="113"/>
      <c r="G51" s="113"/>
    </row>
  </sheetData>
  <mergeCells count="22">
    <mergeCell ref="A37:B37"/>
    <mergeCell ref="A38:B39"/>
    <mergeCell ref="B46:C46"/>
    <mergeCell ref="F46:G46"/>
    <mergeCell ref="F45:G45"/>
    <mergeCell ref="F42:G42"/>
    <mergeCell ref="A40:G41"/>
    <mergeCell ref="B43:C43"/>
    <mergeCell ref="F43:G43"/>
    <mergeCell ref="B42:C42"/>
    <mergeCell ref="B44:C44"/>
    <mergeCell ref="F44:G44"/>
    <mergeCell ref="B45:C45"/>
    <mergeCell ref="A12:K12"/>
    <mergeCell ref="A34:C34"/>
    <mergeCell ref="A1:K1"/>
    <mergeCell ref="A5:K5"/>
    <mergeCell ref="A10:K10"/>
    <mergeCell ref="A11:K11"/>
    <mergeCell ref="A2:L2"/>
    <mergeCell ref="A33:F33"/>
    <mergeCell ref="A3:L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  <drawing r:id="rId2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1E1D37-204F-48D9-BDA4-C9E2B872FA65}">
  <sheetPr>
    <tabColor rgb="FF7030A0"/>
  </sheetPr>
  <dimension ref="A1:N49"/>
  <sheetViews>
    <sheetView topLeftCell="A25" workbookViewId="0">
      <selection activeCell="A52" sqref="A52:IV53"/>
    </sheetView>
  </sheetViews>
  <sheetFormatPr defaultRowHeight="12.75" outlineLevelRow="1" outlineLevelCol="1" x14ac:dyDescent="0.2"/>
  <cols>
    <col min="1" max="1" width="6" style="49" customWidth="1"/>
    <col min="2" max="2" width="48.140625" style="49" customWidth="1"/>
    <col min="3" max="3" width="14" style="49" customWidth="1"/>
    <col min="4" max="4" width="14.85546875" style="49" customWidth="1"/>
    <col min="5" max="6" width="13.28515625" style="49" customWidth="1"/>
    <col min="7" max="7" width="14.5703125" style="49" customWidth="1"/>
    <col min="8" max="9" width="11.5703125" style="49" hidden="1" customWidth="1" outlineLevel="1"/>
    <col min="10" max="10" width="10.140625" style="49" hidden="1" customWidth="1" outlineLevel="1"/>
    <col min="11" max="11" width="10.42578125" style="49" customWidth="1" collapsed="1"/>
    <col min="12" max="12" width="9.140625" style="49"/>
    <col min="13" max="13" width="10" style="49" bestFit="1" customWidth="1"/>
    <col min="14" max="14" width="15.85546875" style="49" customWidth="1"/>
    <col min="15" max="16384" width="9.140625" style="49"/>
  </cols>
  <sheetData>
    <row r="1" spans="1:12" x14ac:dyDescent="0.2">
      <c r="A1" s="370" t="s">
        <v>0</v>
      </c>
      <c r="B1" s="370"/>
      <c r="C1" s="370"/>
      <c r="D1" s="370"/>
      <c r="E1" s="370"/>
      <c r="F1" s="370"/>
      <c r="G1" s="370"/>
      <c r="H1" s="370"/>
      <c r="I1" s="370"/>
      <c r="J1" s="370"/>
      <c r="K1" s="370"/>
    </row>
    <row r="2" spans="1:12" ht="12.75" customHeight="1" x14ac:dyDescent="0.2">
      <c r="A2" s="370" t="s">
        <v>152</v>
      </c>
      <c r="B2" s="370"/>
      <c r="C2" s="370"/>
      <c r="D2" s="370"/>
      <c r="E2" s="370"/>
      <c r="F2" s="370"/>
      <c r="G2" s="370"/>
      <c r="H2" s="370"/>
      <c r="I2" s="370"/>
      <c r="J2" s="370"/>
      <c r="K2" s="370"/>
      <c r="L2" s="370"/>
    </row>
    <row r="3" spans="1:12" ht="13.5" customHeight="1" x14ac:dyDescent="0.2">
      <c r="A3" s="370" t="s">
        <v>426</v>
      </c>
      <c r="B3" s="370"/>
      <c r="C3" s="370"/>
      <c r="D3" s="370"/>
      <c r="E3" s="370"/>
      <c r="F3" s="370"/>
      <c r="G3" s="370"/>
      <c r="H3" s="370"/>
      <c r="I3" s="370"/>
      <c r="J3" s="370"/>
      <c r="K3" s="370"/>
      <c r="L3" s="370"/>
    </row>
    <row r="4" spans="1:12" ht="9" customHeight="1" x14ac:dyDescent="0.2">
      <c r="A4" s="48"/>
      <c r="B4" s="48"/>
      <c r="C4" s="48"/>
      <c r="D4" s="48"/>
      <c r="E4" s="48"/>
      <c r="F4" s="48"/>
      <c r="G4" s="48"/>
      <c r="H4" s="48"/>
      <c r="I4" s="48"/>
      <c r="J4" s="48"/>
      <c r="K4" s="48"/>
    </row>
    <row r="5" spans="1:12" ht="16.5" customHeight="1" x14ac:dyDescent="0.2">
      <c r="A5" s="371" t="s">
        <v>1</v>
      </c>
      <c r="B5" s="370"/>
      <c r="C5" s="370"/>
      <c r="D5" s="370"/>
      <c r="E5" s="370"/>
      <c r="F5" s="370"/>
      <c r="G5" s="370"/>
      <c r="H5" s="370"/>
      <c r="I5" s="370"/>
      <c r="J5" s="370"/>
      <c r="K5" s="370"/>
    </row>
    <row r="7" spans="1:12" s="51" customFormat="1" ht="16.5" customHeight="1" x14ac:dyDescent="0.2">
      <c r="A7" s="51" t="s">
        <v>2</v>
      </c>
      <c r="F7" s="52" t="s">
        <v>349</v>
      </c>
      <c r="H7" s="52"/>
    </row>
    <row r="8" spans="1:12" s="51" customFormat="1" x14ac:dyDescent="0.2">
      <c r="A8" s="51" t="s">
        <v>3</v>
      </c>
      <c r="F8" s="242" t="s">
        <v>350</v>
      </c>
      <c r="H8" s="231">
        <v>0</v>
      </c>
      <c r="I8" s="214">
        <f>J8-H8</f>
        <v>259.89999999999998</v>
      </c>
      <c r="J8" s="276">
        <v>259.89999999999998</v>
      </c>
    </row>
    <row r="9" spans="1:12" s="51" customFormat="1" x14ac:dyDescent="0.2">
      <c r="A9" s="372" t="s">
        <v>8</v>
      </c>
      <c r="B9" s="372"/>
      <c r="C9" s="372"/>
      <c r="D9" s="372"/>
      <c r="E9" s="372"/>
      <c r="F9" s="372"/>
      <c r="G9" s="372"/>
      <c r="H9" s="372"/>
      <c r="I9" s="372"/>
      <c r="J9" s="372"/>
      <c r="K9" s="372"/>
    </row>
    <row r="10" spans="1:12" s="51" customFormat="1" x14ac:dyDescent="0.2">
      <c r="A10" s="372" t="s">
        <v>9</v>
      </c>
      <c r="B10" s="372"/>
      <c r="C10" s="372"/>
      <c r="D10" s="372"/>
      <c r="E10" s="372"/>
      <c r="F10" s="372"/>
      <c r="G10" s="372"/>
      <c r="H10" s="372"/>
      <c r="I10" s="372"/>
      <c r="J10" s="372"/>
      <c r="K10" s="372"/>
    </row>
    <row r="11" spans="1:12" s="51" customFormat="1" ht="13.5" thickBot="1" x14ac:dyDescent="0.25">
      <c r="A11" s="372" t="s">
        <v>10</v>
      </c>
      <c r="B11" s="372"/>
      <c r="C11" s="372"/>
      <c r="D11" s="372"/>
      <c r="E11" s="372"/>
      <c r="F11" s="372"/>
      <c r="G11" s="372"/>
      <c r="H11" s="372"/>
      <c r="I11" s="372"/>
      <c r="J11" s="372"/>
      <c r="K11" s="372"/>
    </row>
    <row r="12" spans="1:12" s="59" customFormat="1" ht="16.5" customHeight="1" thickBot="1" x14ac:dyDescent="0.3">
      <c r="A12" s="387"/>
      <c r="B12" s="388"/>
      <c r="C12" s="388"/>
      <c r="D12" s="44"/>
      <c r="E12" s="58"/>
      <c r="F12" s="58"/>
      <c r="G12" s="58"/>
      <c r="H12" s="54"/>
      <c r="I12" s="54"/>
    </row>
    <row r="13" spans="1:12" s="59" customFormat="1" ht="6" customHeight="1" thickBot="1" x14ac:dyDescent="0.3">
      <c r="A13" s="60"/>
      <c r="B13" s="60"/>
      <c r="C13" s="60"/>
      <c r="D13" s="38"/>
      <c r="E13" s="58"/>
      <c r="F13" s="58"/>
      <c r="G13" s="58"/>
      <c r="H13" s="54"/>
      <c r="I13" s="54"/>
    </row>
    <row r="14" spans="1:12" s="59" customFormat="1" ht="15.75" thickBot="1" x14ac:dyDescent="0.3">
      <c r="A14" s="217" t="s">
        <v>381</v>
      </c>
      <c r="B14" s="218"/>
      <c r="C14" s="218"/>
      <c r="D14" s="61"/>
      <c r="E14" s="62"/>
      <c r="F14" s="62"/>
      <c r="G14" s="57">
        <f>'[1]Воронина 13 дробь 52'!$G$35</f>
        <v>-4412.4526999999998</v>
      </c>
      <c r="H14" s="54"/>
      <c r="I14" s="54"/>
    </row>
    <row r="15" spans="1:12" s="51" customFormat="1" ht="6.75" customHeight="1" x14ac:dyDescent="0.2"/>
    <row r="16" spans="1:12" s="66" customFormat="1" ht="38.25" x14ac:dyDescent="0.25">
      <c r="A16" s="64" t="s">
        <v>11</v>
      </c>
      <c r="B16" s="64" t="s">
        <v>12</v>
      </c>
      <c r="C16" s="64" t="s">
        <v>61</v>
      </c>
      <c r="D16" s="64" t="s">
        <v>432</v>
      </c>
      <c r="E16" s="64" t="s">
        <v>433</v>
      </c>
      <c r="F16" s="65" t="s">
        <v>434</v>
      </c>
      <c r="G16" s="64" t="s">
        <v>435</v>
      </c>
    </row>
    <row r="17" spans="1:14" s="51" customFormat="1" ht="14.25" x14ac:dyDescent="0.2">
      <c r="A17" s="67" t="s">
        <v>14</v>
      </c>
      <c r="B17" s="39" t="s">
        <v>379</v>
      </c>
      <c r="C17" s="87">
        <v>20.66</v>
      </c>
      <c r="D17" s="68">
        <v>58945.32</v>
      </c>
      <c r="E17" s="68">
        <v>58945.440000000002</v>
      </c>
      <c r="F17" s="68">
        <f t="shared" ref="F17:F24" si="0">D17</f>
        <v>58945.32</v>
      </c>
      <c r="G17" s="69">
        <f>D17-E17</f>
        <v>-0.12000000000261934</v>
      </c>
      <c r="H17" s="70">
        <f>C17</f>
        <v>20.66</v>
      </c>
      <c r="I17" s="71"/>
      <c r="J17" s="71"/>
      <c r="K17" s="71"/>
      <c r="M17" s="70"/>
      <c r="N17" s="72"/>
    </row>
    <row r="18" spans="1:14" s="51" customFormat="1" ht="15" hidden="1" outlineLevel="1" x14ac:dyDescent="0.25">
      <c r="A18" s="73" t="s">
        <v>16</v>
      </c>
      <c r="B18" s="34" t="s">
        <v>17</v>
      </c>
      <c r="C18" s="74">
        <v>3.46</v>
      </c>
      <c r="D18" s="75">
        <f>D17*I18</f>
        <v>9871.7718877057123</v>
      </c>
      <c r="E18" s="75">
        <f>E17*I18</f>
        <v>9871.7919845111337</v>
      </c>
      <c r="F18" s="75">
        <f t="shared" si="0"/>
        <v>9871.7718877057123</v>
      </c>
      <c r="G18" s="76">
        <f>D18-E18</f>
        <v>-2.009680542141723E-2</v>
      </c>
      <c r="H18" s="70">
        <f>C18</f>
        <v>3.46</v>
      </c>
      <c r="I18" s="51">
        <f>H18/H17</f>
        <v>0.16747337850919652</v>
      </c>
    </row>
    <row r="19" spans="1:14" s="51" customFormat="1" ht="15" hidden="1" outlineLevel="1" x14ac:dyDescent="0.25">
      <c r="A19" s="73" t="s">
        <v>18</v>
      </c>
      <c r="B19" s="34" t="s">
        <v>19</v>
      </c>
      <c r="C19" s="74">
        <v>1.69</v>
      </c>
      <c r="D19" s="75">
        <f>D17*I19</f>
        <v>4821.7614133591478</v>
      </c>
      <c r="E19" s="75">
        <f>E17*I19</f>
        <v>4821.7712294288476</v>
      </c>
      <c r="F19" s="75">
        <f t="shared" si="0"/>
        <v>4821.7614133591478</v>
      </c>
      <c r="G19" s="76">
        <f>D19-E19</f>
        <v>-9.8160696998093044E-3</v>
      </c>
      <c r="H19" s="70">
        <f>C19</f>
        <v>1.69</v>
      </c>
      <c r="I19" s="51">
        <f>H19/H17</f>
        <v>8.1800580832526615E-2</v>
      </c>
    </row>
    <row r="20" spans="1:14" s="51" customFormat="1" ht="15" hidden="1" outlineLevel="1" x14ac:dyDescent="0.25">
      <c r="A20" s="73" t="s">
        <v>20</v>
      </c>
      <c r="B20" s="34" t="s">
        <v>21</v>
      </c>
      <c r="C20" s="74">
        <v>1.69</v>
      </c>
      <c r="D20" s="75">
        <f>D17*I20</f>
        <v>4821.7614133591478</v>
      </c>
      <c r="E20" s="75">
        <f>E17*I20</f>
        <v>4821.7712294288476</v>
      </c>
      <c r="F20" s="75">
        <f t="shared" si="0"/>
        <v>4821.7614133591478</v>
      </c>
      <c r="G20" s="76">
        <f>D20-E20</f>
        <v>-9.8160696998093044E-3</v>
      </c>
      <c r="H20" s="70">
        <f>C20</f>
        <v>1.69</v>
      </c>
      <c r="I20" s="51">
        <f>H20/H17</f>
        <v>8.1800580832526615E-2</v>
      </c>
    </row>
    <row r="21" spans="1:14" s="51" customFormat="1" ht="15" hidden="1" outlineLevel="1" x14ac:dyDescent="0.25">
      <c r="A21" s="73" t="s">
        <v>22</v>
      </c>
      <c r="B21" s="34" t="s">
        <v>23</v>
      </c>
      <c r="C21" s="74">
        <v>3.04</v>
      </c>
      <c r="D21" s="75">
        <f>D17*I21</f>
        <v>8673.4643175217807</v>
      </c>
      <c r="E21" s="75">
        <f>E17*I21</f>
        <v>8673.4819748305908</v>
      </c>
      <c r="F21" s="75">
        <f t="shared" si="0"/>
        <v>8673.4643175217807</v>
      </c>
      <c r="G21" s="76">
        <f>D21-E21</f>
        <v>-1.7657308810157701E-2</v>
      </c>
      <c r="H21" s="70">
        <f>C21</f>
        <v>3.04</v>
      </c>
      <c r="I21" s="51">
        <f>H21/H17</f>
        <v>0.14714424007744434</v>
      </c>
    </row>
    <row r="22" spans="1:14" s="81" customFormat="1" ht="14.25" collapsed="1" x14ac:dyDescent="0.2">
      <c r="A22" s="78" t="s">
        <v>25</v>
      </c>
      <c r="B22" s="78" t="s">
        <v>26</v>
      </c>
      <c r="C22" s="43">
        <v>0</v>
      </c>
      <c r="D22" s="79">
        <v>0</v>
      </c>
      <c r="E22" s="79">
        <v>0</v>
      </c>
      <c r="F22" s="79">
        <v>0</v>
      </c>
      <c r="G22" s="69">
        <f t="shared" ref="G22:G31" si="1">D22-E22</f>
        <v>0</v>
      </c>
      <c r="H22" s="80"/>
      <c r="I22" s="80"/>
      <c r="J22" s="80"/>
      <c r="K22" s="80"/>
    </row>
    <row r="23" spans="1:14" s="81" customFormat="1" ht="14.25" x14ac:dyDescent="0.2">
      <c r="A23" s="78" t="s">
        <v>27</v>
      </c>
      <c r="B23" s="78" t="s">
        <v>126</v>
      </c>
      <c r="C23" s="43">
        <v>0</v>
      </c>
      <c r="D23" s="79">
        <v>0</v>
      </c>
      <c r="E23" s="79">
        <v>0</v>
      </c>
      <c r="F23" s="79">
        <f>D23</f>
        <v>0</v>
      </c>
      <c r="G23" s="69">
        <f t="shared" si="1"/>
        <v>0</v>
      </c>
      <c r="H23" s="80"/>
      <c r="I23" s="80"/>
      <c r="J23" s="80"/>
      <c r="K23" s="80"/>
    </row>
    <row r="24" spans="1:14" s="81" customFormat="1" ht="14.25" x14ac:dyDescent="0.2">
      <c r="A24" s="78" t="s">
        <v>29</v>
      </c>
      <c r="B24" s="78" t="s">
        <v>30</v>
      </c>
      <c r="C24" s="43">
        <v>0</v>
      </c>
      <c r="D24" s="79">
        <v>0</v>
      </c>
      <c r="E24" s="79">
        <v>0</v>
      </c>
      <c r="F24" s="79">
        <f t="shared" si="0"/>
        <v>0</v>
      </c>
      <c r="G24" s="69">
        <f t="shared" si="1"/>
        <v>0</v>
      </c>
      <c r="H24" s="80"/>
      <c r="I24" s="80"/>
      <c r="J24" s="80"/>
      <c r="K24" s="80"/>
    </row>
    <row r="25" spans="1:14" s="81" customFormat="1" ht="14.25" x14ac:dyDescent="0.2">
      <c r="A25" s="78" t="s">
        <v>31</v>
      </c>
      <c r="B25" s="78" t="s">
        <v>80</v>
      </c>
      <c r="C25" s="86">
        <v>2.04</v>
      </c>
      <c r="D25" s="79">
        <v>6362.28</v>
      </c>
      <c r="E25" s="79">
        <v>6362.29</v>
      </c>
      <c r="F25" s="79">
        <f>F39</f>
        <v>6563.6229000000003</v>
      </c>
      <c r="G25" s="69">
        <f t="shared" si="1"/>
        <v>-1.0000000000218279E-2</v>
      </c>
      <c r="H25" s="80"/>
      <c r="I25" s="80"/>
      <c r="J25" s="80"/>
      <c r="K25" s="80"/>
    </row>
    <row r="26" spans="1:14" ht="14.25" x14ac:dyDescent="0.2">
      <c r="A26" s="39" t="s">
        <v>33</v>
      </c>
      <c r="B26" s="39" t="s">
        <v>97</v>
      </c>
      <c r="C26" s="87">
        <v>0</v>
      </c>
      <c r="D26" s="69">
        <v>0</v>
      </c>
      <c r="E26" s="69">
        <v>0</v>
      </c>
      <c r="F26" s="79">
        <f>D26</f>
        <v>0</v>
      </c>
      <c r="G26" s="69">
        <f t="shared" si="1"/>
        <v>0</v>
      </c>
      <c r="H26" s="88"/>
      <c r="I26" s="88"/>
      <c r="J26" s="88"/>
      <c r="K26" s="88"/>
    </row>
    <row r="27" spans="1:14" ht="14.25" x14ac:dyDescent="0.2">
      <c r="A27" s="39" t="s">
        <v>35</v>
      </c>
      <c r="B27" s="39" t="s">
        <v>36</v>
      </c>
      <c r="C27" s="87"/>
      <c r="D27" s="69">
        <f>SUM(D28:D31)</f>
        <v>13635.54</v>
      </c>
      <c r="E27" s="69">
        <f>SUM(E28:E31)</f>
        <v>13836.421</v>
      </c>
      <c r="F27" s="69">
        <f>SUM(F28:F31)</f>
        <v>13635.54</v>
      </c>
      <c r="G27" s="69">
        <f t="shared" si="1"/>
        <v>-200.8809999999994</v>
      </c>
      <c r="H27" s="88"/>
      <c r="I27" s="88"/>
      <c r="J27" s="88"/>
      <c r="K27" s="88"/>
    </row>
    <row r="28" spans="1:14" ht="15" x14ac:dyDescent="0.25">
      <c r="A28" s="34" t="s">
        <v>37</v>
      </c>
      <c r="B28" s="34" t="s">
        <v>101</v>
      </c>
      <c r="C28" s="89">
        <v>7.36</v>
      </c>
      <c r="D28" s="76">
        <v>6773.52</v>
      </c>
      <c r="E28" s="76">
        <v>6753.27</v>
      </c>
      <c r="F28" s="76">
        <f>D28</f>
        <v>6773.52</v>
      </c>
      <c r="G28" s="76">
        <f t="shared" si="1"/>
        <v>20.25</v>
      </c>
    </row>
    <row r="29" spans="1:14" ht="15" x14ac:dyDescent="0.25">
      <c r="A29" s="34" t="s">
        <v>39</v>
      </c>
      <c r="B29" s="34" t="s">
        <v>84</v>
      </c>
      <c r="C29" s="89">
        <v>88.38</v>
      </c>
      <c r="D29" s="76">
        <v>6862.02</v>
      </c>
      <c r="E29" s="76">
        <v>7083.1509999999998</v>
      </c>
      <c r="F29" s="76">
        <f>D29</f>
        <v>6862.02</v>
      </c>
      <c r="G29" s="76">
        <f t="shared" si="1"/>
        <v>-221.1309999999994</v>
      </c>
    </row>
    <row r="30" spans="1:14" ht="15" x14ac:dyDescent="0.25">
      <c r="A30" s="34" t="s">
        <v>42</v>
      </c>
      <c r="B30" s="34" t="s">
        <v>135</v>
      </c>
      <c r="C30" s="128">
        <v>0</v>
      </c>
      <c r="D30" s="188">
        <v>0</v>
      </c>
      <c r="E30" s="188">
        <v>0</v>
      </c>
      <c r="F30" s="76">
        <f>D30</f>
        <v>0</v>
      </c>
      <c r="G30" s="76">
        <f t="shared" si="1"/>
        <v>0</v>
      </c>
    </row>
    <row r="31" spans="1:14" ht="15" x14ac:dyDescent="0.25">
      <c r="A31" s="34" t="s">
        <v>41</v>
      </c>
      <c r="B31" s="34" t="s">
        <v>43</v>
      </c>
      <c r="C31" s="89">
        <v>0</v>
      </c>
      <c r="D31" s="76">
        <v>0</v>
      </c>
      <c r="E31" s="76">
        <v>0</v>
      </c>
      <c r="F31" s="76">
        <f>D31</f>
        <v>0</v>
      </c>
      <c r="G31" s="76">
        <f t="shared" si="1"/>
        <v>0</v>
      </c>
    </row>
    <row r="32" spans="1:14" s="92" customFormat="1" ht="21" customHeight="1" thickBot="1" x14ac:dyDescent="0.3">
      <c r="A32" s="373"/>
      <c r="B32" s="374"/>
      <c r="C32" s="374"/>
      <c r="D32" s="375"/>
      <c r="E32" s="375"/>
      <c r="F32" s="375"/>
      <c r="G32" s="91"/>
      <c r="H32" s="91"/>
      <c r="I32" s="91"/>
    </row>
    <row r="33" spans="1:12" s="59" customFormat="1" ht="15.75" thickBot="1" x14ac:dyDescent="0.3">
      <c r="A33" s="387" t="s">
        <v>427</v>
      </c>
      <c r="B33" s="388"/>
      <c r="C33" s="388"/>
      <c r="D33" s="57">
        <v>-201.01</v>
      </c>
      <c r="E33" s="58"/>
      <c r="F33" s="58"/>
      <c r="G33" s="58"/>
      <c r="H33" s="54"/>
      <c r="I33" s="54"/>
    </row>
    <row r="34" spans="1:12" s="59" customFormat="1" ht="6" customHeight="1" thickBot="1" x14ac:dyDescent="0.3">
      <c r="A34" s="60"/>
      <c r="B34" s="60"/>
      <c r="C34" s="60"/>
      <c r="D34" s="38"/>
      <c r="E34" s="58"/>
      <c r="F34" s="58"/>
      <c r="G34" s="58"/>
      <c r="H34" s="54"/>
      <c r="I34" s="54"/>
    </row>
    <row r="35" spans="1:12" s="59" customFormat="1" ht="15.75" thickBot="1" x14ac:dyDescent="0.3">
      <c r="A35" s="55" t="s">
        <v>428</v>
      </c>
      <c r="B35" s="56"/>
      <c r="C35" s="56"/>
      <c r="D35" s="61"/>
      <c r="E35" s="62"/>
      <c r="F35" s="62"/>
      <c r="G35" s="129">
        <f>G14+E25-F25</f>
        <v>-4613.7856000000002</v>
      </c>
      <c r="H35" s="54"/>
      <c r="I35" s="54"/>
    </row>
    <row r="36" spans="1:12" ht="31.5" customHeight="1" x14ac:dyDescent="0.2">
      <c r="A36" s="371" t="s">
        <v>106</v>
      </c>
      <c r="B36" s="371"/>
      <c r="C36" s="371"/>
      <c r="D36" s="371"/>
      <c r="E36" s="371"/>
      <c r="F36" s="371"/>
      <c r="G36" s="371"/>
      <c r="H36" s="371"/>
      <c r="I36" s="371"/>
      <c r="J36" s="371"/>
      <c r="K36" s="371"/>
    </row>
    <row r="38" spans="1:12" s="66" customFormat="1" ht="37.5" customHeight="1" x14ac:dyDescent="0.2">
      <c r="A38" s="94" t="s">
        <v>11</v>
      </c>
      <c r="B38" s="416" t="s">
        <v>45</v>
      </c>
      <c r="C38" s="425"/>
      <c r="D38" s="94" t="s">
        <v>99</v>
      </c>
      <c r="E38" s="94" t="s">
        <v>98</v>
      </c>
      <c r="F38" s="416" t="s">
        <v>46</v>
      </c>
      <c r="G38" s="425"/>
      <c r="H38" s="207"/>
      <c r="I38" s="208"/>
      <c r="L38" s="97"/>
    </row>
    <row r="39" spans="1:12" s="103" customFormat="1" ht="15" customHeight="1" x14ac:dyDescent="0.25">
      <c r="A39" s="98" t="s">
        <v>47</v>
      </c>
      <c r="B39" s="418" t="s">
        <v>75</v>
      </c>
      <c r="C39" s="430"/>
      <c r="D39" s="99"/>
      <c r="E39" s="99"/>
      <c r="F39" s="436">
        <f>SUM(F40:G43)</f>
        <v>6563.6229000000003</v>
      </c>
      <c r="G39" s="424"/>
      <c r="H39" s="209"/>
      <c r="I39" s="210"/>
      <c r="L39" s="104"/>
    </row>
    <row r="40" spans="1:12" ht="15" x14ac:dyDescent="0.25">
      <c r="A40" s="34" t="s">
        <v>16</v>
      </c>
      <c r="B40" s="406" t="s">
        <v>417</v>
      </c>
      <c r="C40" s="407"/>
      <c r="D40" s="176" t="s">
        <v>100</v>
      </c>
      <c r="E40" s="176">
        <v>2</v>
      </c>
      <c r="F40" s="435">
        <v>6500</v>
      </c>
      <c r="G40" s="435"/>
      <c r="H40" s="211"/>
      <c r="I40" s="212"/>
      <c r="L40" s="106"/>
    </row>
    <row r="41" spans="1:12" ht="15" x14ac:dyDescent="0.25">
      <c r="A41" s="34" t="s">
        <v>18</v>
      </c>
      <c r="B41" s="406"/>
      <c r="C41" s="431"/>
      <c r="D41" s="258"/>
      <c r="E41" s="258"/>
      <c r="F41" s="466"/>
      <c r="G41" s="467"/>
      <c r="H41" s="38"/>
      <c r="I41" s="38"/>
      <c r="L41" s="106"/>
    </row>
    <row r="42" spans="1:12" ht="15" x14ac:dyDescent="0.25">
      <c r="A42" s="34" t="s">
        <v>20</v>
      </c>
      <c r="B42" s="406"/>
      <c r="C42" s="431"/>
      <c r="D42" s="258"/>
      <c r="E42" s="258"/>
      <c r="F42" s="466"/>
      <c r="G42" s="467"/>
      <c r="H42" s="38"/>
      <c r="I42" s="38"/>
      <c r="L42" s="106"/>
    </row>
    <row r="43" spans="1:12" s="59" customFormat="1" ht="15" x14ac:dyDescent="0.25">
      <c r="A43" s="34" t="s">
        <v>22</v>
      </c>
      <c r="B43" s="458" t="s">
        <v>108</v>
      </c>
      <c r="C43" s="459"/>
      <c r="D43" s="108"/>
      <c r="E43" s="108"/>
      <c r="F43" s="435">
        <f>E25*1%</f>
        <v>63.622900000000001</v>
      </c>
      <c r="G43" s="435"/>
      <c r="H43" s="51"/>
      <c r="I43" s="51"/>
      <c r="J43" s="51"/>
      <c r="K43" s="51"/>
    </row>
    <row r="44" spans="1:12" s="51" customFormat="1" ht="9" customHeight="1" x14ac:dyDescent="0.2"/>
    <row r="45" spans="1:12" s="51" customFormat="1" ht="15" x14ac:dyDescent="0.25">
      <c r="A45" s="51" t="s">
        <v>372</v>
      </c>
      <c r="B45" s="59"/>
      <c r="C45" s="110" t="s">
        <v>49</v>
      </c>
      <c r="D45" s="59"/>
      <c r="E45" s="59"/>
      <c r="F45" s="59" t="s">
        <v>60</v>
      </c>
      <c r="G45" s="59"/>
      <c r="H45" s="59"/>
      <c r="I45" s="59"/>
      <c r="J45" s="59"/>
      <c r="K45" s="59"/>
    </row>
    <row r="46" spans="1:12" s="51" customFormat="1" ht="15" x14ac:dyDescent="0.25">
      <c r="A46" s="59"/>
      <c r="B46" s="59"/>
      <c r="C46" s="110"/>
      <c r="D46" s="59"/>
      <c r="E46" s="59"/>
      <c r="F46" s="111" t="s">
        <v>438</v>
      </c>
      <c r="G46" s="59"/>
    </row>
    <row r="47" spans="1:12" s="51" customFormat="1" ht="15" x14ac:dyDescent="0.25">
      <c r="A47" s="59" t="s">
        <v>50</v>
      </c>
      <c r="B47" s="59"/>
      <c r="C47" s="110"/>
      <c r="D47" s="59"/>
      <c r="E47" s="59"/>
      <c r="F47" s="59"/>
      <c r="G47" s="59"/>
      <c r="H47" s="141"/>
      <c r="I47" s="141"/>
      <c r="J47" s="141"/>
    </row>
    <row r="48" spans="1:12" ht="15" x14ac:dyDescent="0.25">
      <c r="A48" s="59"/>
      <c r="B48" s="59"/>
      <c r="C48" s="112" t="s">
        <v>51</v>
      </c>
      <c r="D48" s="59"/>
      <c r="E48" s="113"/>
      <c r="F48" s="113"/>
      <c r="G48" s="113"/>
      <c r="H48" s="51"/>
      <c r="I48" s="51"/>
      <c r="J48" s="51"/>
      <c r="K48" s="51"/>
    </row>
    <row r="49" spans="1:11" x14ac:dyDescent="0.2">
      <c r="A49" s="51"/>
      <c r="B49" s="51"/>
      <c r="C49" s="51"/>
      <c r="D49" s="51"/>
      <c r="E49" s="51"/>
      <c r="F49" s="51"/>
      <c r="G49" s="51"/>
      <c r="H49" s="51"/>
      <c r="I49" s="51"/>
      <c r="J49" s="51"/>
      <c r="K49" s="51"/>
    </row>
  </sheetData>
  <mergeCells count="23">
    <mergeCell ref="B43:C43"/>
    <mergeCell ref="F43:G43"/>
    <mergeCell ref="B39:C39"/>
    <mergeCell ref="F39:G39"/>
    <mergeCell ref="B40:C40"/>
    <mergeCell ref="F40:G40"/>
    <mergeCell ref="B41:C41"/>
    <mergeCell ref="B42:C42"/>
    <mergeCell ref="F41:G41"/>
    <mergeCell ref="F42:G42"/>
    <mergeCell ref="A11:K11"/>
    <mergeCell ref="A12:C12"/>
    <mergeCell ref="A33:C33"/>
    <mergeCell ref="A36:K36"/>
    <mergeCell ref="B38:C38"/>
    <mergeCell ref="F38:G38"/>
    <mergeCell ref="A32:F32"/>
    <mergeCell ref="A1:K1"/>
    <mergeCell ref="A5:K5"/>
    <mergeCell ref="A9:K9"/>
    <mergeCell ref="A10:K10"/>
    <mergeCell ref="A2:L2"/>
    <mergeCell ref="A3:L3"/>
  </mergeCells>
  <pageMargins left="0.7" right="0.7" top="0.75" bottom="0.75" header="0.3" footer="0.3"/>
  <pageSetup paperSize="9" orientation="portrait" verticalDpi="0" r:id="rId1"/>
  <drawing r:id="rId2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D4246B-C3B2-40E0-A9EA-7C3EC656BB39}">
  <sheetPr>
    <tabColor rgb="FF7030A0"/>
  </sheetPr>
  <dimension ref="A1:N48"/>
  <sheetViews>
    <sheetView topLeftCell="A25" workbookViewId="0">
      <selection activeCell="A51" sqref="A51:IV52"/>
    </sheetView>
  </sheetViews>
  <sheetFormatPr defaultRowHeight="12.75" outlineLevelRow="1" outlineLevelCol="1" x14ac:dyDescent="0.2"/>
  <cols>
    <col min="1" max="1" width="6" style="49" customWidth="1"/>
    <col min="2" max="2" width="48.140625" style="49" customWidth="1"/>
    <col min="3" max="3" width="14" style="49" customWidth="1"/>
    <col min="4" max="4" width="14.85546875" style="49" customWidth="1"/>
    <col min="5" max="6" width="13.28515625" style="49" customWidth="1"/>
    <col min="7" max="7" width="14.5703125" style="49" customWidth="1"/>
    <col min="8" max="9" width="11.5703125" style="49" hidden="1" customWidth="1" outlineLevel="1"/>
    <col min="10" max="10" width="10.140625" style="49" hidden="1" customWidth="1" outlineLevel="1"/>
    <col min="11" max="11" width="10.42578125" style="49" customWidth="1" collapsed="1"/>
    <col min="12" max="12" width="9.140625" style="49"/>
    <col min="13" max="13" width="10" style="49" bestFit="1" customWidth="1"/>
    <col min="14" max="14" width="15.85546875" style="49" customWidth="1"/>
    <col min="15" max="16384" width="9.140625" style="49"/>
  </cols>
  <sheetData>
    <row r="1" spans="1:12" x14ac:dyDescent="0.2">
      <c r="A1" s="370" t="s">
        <v>0</v>
      </c>
      <c r="B1" s="370"/>
      <c r="C1" s="370"/>
      <c r="D1" s="370"/>
      <c r="E1" s="370"/>
      <c r="F1" s="370"/>
      <c r="G1" s="370"/>
      <c r="H1" s="370"/>
      <c r="I1" s="370"/>
      <c r="J1" s="370"/>
      <c r="K1" s="370"/>
    </row>
    <row r="2" spans="1:12" ht="12.75" customHeight="1" x14ac:dyDescent="0.2">
      <c r="A2" s="370" t="s">
        <v>152</v>
      </c>
      <c r="B2" s="370"/>
      <c r="C2" s="370"/>
      <c r="D2" s="370"/>
      <c r="E2" s="370"/>
      <c r="F2" s="370"/>
      <c r="G2" s="370"/>
      <c r="H2" s="370"/>
      <c r="I2" s="370"/>
      <c r="J2" s="370"/>
      <c r="K2" s="370"/>
      <c r="L2" s="370"/>
    </row>
    <row r="3" spans="1:12" ht="13.5" customHeight="1" x14ac:dyDescent="0.2">
      <c r="A3" s="370" t="s">
        <v>426</v>
      </c>
      <c r="B3" s="370"/>
      <c r="C3" s="370"/>
      <c r="D3" s="370"/>
      <c r="E3" s="370"/>
      <c r="F3" s="370"/>
      <c r="G3" s="370"/>
      <c r="H3" s="370"/>
      <c r="I3" s="370"/>
      <c r="J3" s="370"/>
      <c r="K3" s="370"/>
      <c r="L3" s="370"/>
    </row>
    <row r="4" spans="1:12" ht="9" customHeight="1" x14ac:dyDescent="0.2">
      <c r="A4" s="48"/>
      <c r="B4" s="48"/>
      <c r="C4" s="48"/>
      <c r="D4" s="48"/>
      <c r="E4" s="48"/>
      <c r="F4" s="48"/>
      <c r="G4" s="48"/>
      <c r="H4" s="48"/>
      <c r="I4" s="48"/>
      <c r="J4" s="48"/>
      <c r="K4" s="48"/>
    </row>
    <row r="5" spans="1:12" ht="16.5" customHeight="1" x14ac:dyDescent="0.2">
      <c r="A5" s="371" t="s">
        <v>1</v>
      </c>
      <c r="B5" s="370"/>
      <c r="C5" s="370"/>
      <c r="D5" s="370"/>
      <c r="E5" s="370"/>
      <c r="F5" s="370"/>
      <c r="G5" s="370"/>
      <c r="H5" s="370"/>
      <c r="I5" s="370"/>
      <c r="J5" s="370"/>
      <c r="K5" s="370"/>
    </row>
    <row r="7" spans="1:12" s="51" customFormat="1" ht="16.5" customHeight="1" x14ac:dyDescent="0.2">
      <c r="A7" s="51" t="s">
        <v>2</v>
      </c>
      <c r="F7" s="52" t="s">
        <v>352</v>
      </c>
      <c r="H7" s="52"/>
    </row>
    <row r="8" spans="1:12" s="51" customFormat="1" x14ac:dyDescent="0.2">
      <c r="A8" s="51" t="s">
        <v>3</v>
      </c>
      <c r="F8" s="242" t="s">
        <v>391</v>
      </c>
      <c r="H8" s="231">
        <v>183.8</v>
      </c>
      <c r="I8" s="51">
        <v>558.5</v>
      </c>
      <c r="J8" s="276">
        <f>H8+I8</f>
        <v>742.3</v>
      </c>
    </row>
    <row r="9" spans="1:12" s="51" customFormat="1" x14ac:dyDescent="0.2">
      <c r="B9" s="51" t="s">
        <v>252</v>
      </c>
      <c r="F9" s="241" t="s">
        <v>392</v>
      </c>
      <c r="H9" s="206"/>
      <c r="J9" s="276"/>
    </row>
    <row r="10" spans="1:12" s="51" customFormat="1" x14ac:dyDescent="0.2">
      <c r="A10" s="372" t="s">
        <v>8</v>
      </c>
      <c r="B10" s="372"/>
      <c r="C10" s="372"/>
      <c r="D10" s="372"/>
      <c r="E10" s="372"/>
      <c r="F10" s="372"/>
      <c r="G10" s="372"/>
      <c r="H10" s="372"/>
      <c r="I10" s="372"/>
      <c r="J10" s="372"/>
      <c r="K10" s="372"/>
    </row>
    <row r="11" spans="1:12" s="51" customFormat="1" x14ac:dyDescent="0.2">
      <c r="A11" s="372" t="s">
        <v>9</v>
      </c>
      <c r="B11" s="372"/>
      <c r="C11" s="372"/>
      <c r="D11" s="372"/>
      <c r="E11" s="372"/>
      <c r="F11" s="372"/>
      <c r="G11" s="372"/>
      <c r="H11" s="372"/>
      <c r="I11" s="372"/>
      <c r="J11" s="372"/>
      <c r="K11" s="372"/>
    </row>
    <row r="12" spans="1:12" s="51" customFormat="1" x14ac:dyDescent="0.2">
      <c r="A12" s="372" t="s">
        <v>10</v>
      </c>
      <c r="B12" s="372"/>
      <c r="C12" s="372"/>
      <c r="D12" s="372"/>
      <c r="E12" s="372"/>
      <c r="F12" s="372"/>
      <c r="G12" s="372"/>
      <c r="H12" s="372"/>
      <c r="I12" s="372"/>
      <c r="J12" s="372"/>
      <c r="K12" s="372"/>
    </row>
    <row r="13" spans="1:12" s="59" customFormat="1" ht="6" customHeight="1" thickBot="1" x14ac:dyDescent="0.3">
      <c r="A13" s="60"/>
      <c r="B13" s="60"/>
      <c r="C13" s="60"/>
      <c r="D13" s="38"/>
      <c r="E13" s="58"/>
      <c r="F13" s="58"/>
      <c r="G13" s="58"/>
      <c r="H13" s="54"/>
      <c r="I13" s="54"/>
    </row>
    <row r="14" spans="1:12" s="59" customFormat="1" ht="15.75" thickBot="1" x14ac:dyDescent="0.3">
      <c r="A14" s="55" t="s">
        <v>580</v>
      </c>
      <c r="B14" s="56"/>
      <c r="C14" s="56"/>
      <c r="D14" s="61"/>
      <c r="E14" s="62"/>
      <c r="F14" s="62"/>
      <c r="G14" s="57">
        <f>'[1]Рылеева 14'!$G$35</f>
        <v>-29333.938999999995</v>
      </c>
      <c r="H14" s="54"/>
      <c r="I14" s="54"/>
    </row>
    <row r="15" spans="1:12" s="51" customFormat="1" ht="6.75" customHeight="1" x14ac:dyDescent="0.2"/>
    <row r="16" spans="1:12" s="66" customFormat="1" ht="38.25" x14ac:dyDescent="0.25">
      <c r="A16" s="64" t="s">
        <v>11</v>
      </c>
      <c r="B16" s="64" t="s">
        <v>12</v>
      </c>
      <c r="C16" s="64" t="s">
        <v>61</v>
      </c>
      <c r="D16" s="64" t="s">
        <v>432</v>
      </c>
      <c r="E16" s="64" t="s">
        <v>433</v>
      </c>
      <c r="F16" s="65" t="s">
        <v>434</v>
      </c>
      <c r="G16" s="64" t="s">
        <v>435</v>
      </c>
    </row>
    <row r="17" spans="1:14" s="51" customFormat="1" ht="14.25" x14ac:dyDescent="0.2">
      <c r="A17" s="67" t="s">
        <v>14</v>
      </c>
      <c r="B17" s="39" t="s">
        <v>379</v>
      </c>
      <c r="C17" s="87">
        <v>22.69</v>
      </c>
      <c r="D17" s="68">
        <v>139561.07999999999</v>
      </c>
      <c r="E17" s="68">
        <v>136767.37</v>
      </c>
      <c r="F17" s="68">
        <f t="shared" ref="F17:F24" si="0">D17</f>
        <v>139561.07999999999</v>
      </c>
      <c r="G17" s="69">
        <f>D17-E17</f>
        <v>2793.7099999999919</v>
      </c>
      <c r="H17" s="70">
        <f>C17</f>
        <v>22.69</v>
      </c>
      <c r="I17" s="71"/>
      <c r="J17" s="71"/>
      <c r="K17" s="71"/>
      <c r="M17" s="70"/>
      <c r="N17" s="72"/>
    </row>
    <row r="18" spans="1:14" s="51" customFormat="1" ht="15" hidden="1" outlineLevel="1" x14ac:dyDescent="0.25">
      <c r="A18" s="73" t="s">
        <v>16</v>
      </c>
      <c r="B18" s="34" t="s">
        <v>17</v>
      </c>
      <c r="C18" s="74">
        <v>3.46</v>
      </c>
      <c r="D18" s="75">
        <f>D17*I18</f>
        <v>21281.680775672095</v>
      </c>
      <c r="E18" s="75">
        <f>E17*I18</f>
        <v>20855.667703834286</v>
      </c>
      <c r="F18" s="75">
        <f t="shared" si="0"/>
        <v>21281.680775672095</v>
      </c>
      <c r="G18" s="76">
        <f>D18-E18</f>
        <v>426.01307183780955</v>
      </c>
      <c r="H18" s="70">
        <f>C18</f>
        <v>3.46</v>
      </c>
      <c r="I18" s="51">
        <f>H18/H17</f>
        <v>0.1524900837373292</v>
      </c>
    </row>
    <row r="19" spans="1:14" s="51" customFormat="1" ht="15" hidden="1" outlineLevel="1" x14ac:dyDescent="0.25">
      <c r="A19" s="73" t="s">
        <v>18</v>
      </c>
      <c r="B19" s="34" t="s">
        <v>19</v>
      </c>
      <c r="C19" s="74">
        <v>1.69</v>
      </c>
      <c r="D19" s="75">
        <f>D17*I19</f>
        <v>10394.809396209783</v>
      </c>
      <c r="E19" s="75">
        <f>E17*I19</f>
        <v>10186.727866901718</v>
      </c>
      <c r="F19" s="75">
        <f t="shared" si="0"/>
        <v>10394.809396209783</v>
      </c>
      <c r="G19" s="76">
        <f>D19-E19</f>
        <v>208.081529308065</v>
      </c>
      <c r="H19" s="70">
        <f>C19</f>
        <v>1.69</v>
      </c>
      <c r="I19" s="51">
        <f>H19/H17</f>
        <v>7.4482150727192595E-2</v>
      </c>
    </row>
    <row r="20" spans="1:14" s="51" customFormat="1" ht="15" hidden="1" outlineLevel="1" x14ac:dyDescent="0.25">
      <c r="A20" s="73" t="s">
        <v>20</v>
      </c>
      <c r="B20" s="34" t="s">
        <v>21</v>
      </c>
      <c r="C20" s="74">
        <v>1.69</v>
      </c>
      <c r="D20" s="75">
        <f>D17*I20</f>
        <v>10394.809396209783</v>
      </c>
      <c r="E20" s="75">
        <f>E17*I20</f>
        <v>10186.727866901718</v>
      </c>
      <c r="F20" s="75">
        <f t="shared" si="0"/>
        <v>10394.809396209783</v>
      </c>
      <c r="G20" s="76">
        <f>D20-E20</f>
        <v>208.081529308065</v>
      </c>
      <c r="H20" s="70">
        <f>C20</f>
        <v>1.69</v>
      </c>
      <c r="I20" s="51">
        <f>H20/H17</f>
        <v>7.4482150727192595E-2</v>
      </c>
    </row>
    <row r="21" spans="1:14" s="51" customFormat="1" ht="15" hidden="1" outlineLevel="1" x14ac:dyDescent="0.25">
      <c r="A21" s="73" t="s">
        <v>22</v>
      </c>
      <c r="B21" s="34" t="s">
        <v>23</v>
      </c>
      <c r="C21" s="74">
        <v>3.04</v>
      </c>
      <c r="D21" s="75">
        <f>D17*I21</f>
        <v>18698.355363596293</v>
      </c>
      <c r="E21" s="75">
        <f>E17*I21</f>
        <v>18324.054861172321</v>
      </c>
      <c r="F21" s="75">
        <f t="shared" si="0"/>
        <v>18698.355363596293</v>
      </c>
      <c r="G21" s="76">
        <f>D21-E21</f>
        <v>374.30050242397192</v>
      </c>
      <c r="H21" s="70">
        <f>C21</f>
        <v>3.04</v>
      </c>
      <c r="I21" s="51">
        <f>H21/H17</f>
        <v>0.13397972675187306</v>
      </c>
    </row>
    <row r="22" spans="1:14" s="81" customFormat="1" ht="14.25" collapsed="1" x14ac:dyDescent="0.2">
      <c r="A22" s="78" t="s">
        <v>25</v>
      </c>
      <c r="B22" s="78" t="s">
        <v>26</v>
      </c>
      <c r="C22" s="43">
        <v>0</v>
      </c>
      <c r="D22" s="79">
        <v>0</v>
      </c>
      <c r="E22" s="79">
        <v>0</v>
      </c>
      <c r="F22" s="79">
        <v>0</v>
      </c>
      <c r="G22" s="79">
        <f>E22-D22</f>
        <v>0</v>
      </c>
      <c r="H22" s="80"/>
      <c r="I22" s="80"/>
      <c r="J22" s="80"/>
      <c r="K22" s="80"/>
    </row>
    <row r="23" spans="1:14" s="81" customFormat="1" ht="14.25" x14ac:dyDescent="0.2">
      <c r="A23" s="78" t="s">
        <v>27</v>
      </c>
      <c r="B23" s="78" t="s">
        <v>351</v>
      </c>
      <c r="C23" s="43">
        <v>0</v>
      </c>
      <c r="D23" s="79">
        <v>0</v>
      </c>
      <c r="E23" s="79">
        <v>0</v>
      </c>
      <c r="F23" s="79">
        <f>D23</f>
        <v>0</v>
      </c>
      <c r="G23" s="69">
        <f t="shared" ref="G23:G31" si="1">D23-E23</f>
        <v>0</v>
      </c>
      <c r="H23" s="80"/>
      <c r="I23" s="80"/>
      <c r="J23" s="80"/>
      <c r="K23" s="80"/>
    </row>
    <row r="24" spans="1:14" s="81" customFormat="1" ht="14.25" x14ac:dyDescent="0.2">
      <c r="A24" s="78" t="s">
        <v>29</v>
      </c>
      <c r="B24" s="78" t="s">
        <v>30</v>
      </c>
      <c r="C24" s="43">
        <v>0</v>
      </c>
      <c r="D24" s="79">
        <v>0</v>
      </c>
      <c r="E24" s="79">
        <v>0</v>
      </c>
      <c r="F24" s="79">
        <f t="shared" si="0"/>
        <v>0</v>
      </c>
      <c r="G24" s="69">
        <f t="shared" si="1"/>
        <v>0</v>
      </c>
      <c r="H24" s="80"/>
      <c r="I24" s="80"/>
      <c r="J24" s="80"/>
      <c r="K24" s="80"/>
    </row>
    <row r="25" spans="1:14" s="81" customFormat="1" ht="14.25" x14ac:dyDescent="0.2">
      <c r="A25" s="78" t="s">
        <v>31</v>
      </c>
      <c r="B25" s="78" t="s">
        <v>80</v>
      </c>
      <c r="C25" s="86">
        <v>2.2400000000000002</v>
      </c>
      <c r="D25" s="79">
        <v>14936.14</v>
      </c>
      <c r="E25" s="79">
        <v>16079.94</v>
      </c>
      <c r="F25" s="79">
        <f>F39</f>
        <v>160.79940000000002</v>
      </c>
      <c r="G25" s="69">
        <f t="shared" si="1"/>
        <v>-1143.8000000000011</v>
      </c>
      <c r="H25" s="80"/>
      <c r="I25" s="80"/>
      <c r="J25" s="80"/>
      <c r="K25" s="80"/>
    </row>
    <row r="26" spans="1:14" ht="14.25" x14ac:dyDescent="0.2">
      <c r="A26" s="39" t="s">
        <v>33</v>
      </c>
      <c r="B26" s="39" t="s">
        <v>97</v>
      </c>
      <c r="C26" s="87">
        <v>0</v>
      </c>
      <c r="D26" s="69">
        <v>0</v>
      </c>
      <c r="E26" s="69">
        <v>0</v>
      </c>
      <c r="F26" s="79">
        <f>D26</f>
        <v>0</v>
      </c>
      <c r="G26" s="69">
        <f t="shared" si="1"/>
        <v>0</v>
      </c>
      <c r="H26" s="88"/>
      <c r="I26" s="88"/>
      <c r="J26" s="88"/>
      <c r="K26" s="88"/>
    </row>
    <row r="27" spans="1:14" ht="14.25" x14ac:dyDescent="0.2">
      <c r="A27" s="39" t="s">
        <v>35</v>
      </c>
      <c r="B27" s="39" t="s">
        <v>36</v>
      </c>
      <c r="C27" s="87"/>
      <c r="D27" s="69">
        <f>SUM(D28:D31)</f>
        <v>378352.17</v>
      </c>
      <c r="E27" s="69">
        <f>SUM(E28:E31)</f>
        <v>387031.19</v>
      </c>
      <c r="F27" s="69">
        <f>SUM(F28:F31)</f>
        <v>378352.17</v>
      </c>
      <c r="G27" s="69">
        <f t="shared" si="1"/>
        <v>-8679.0200000000186</v>
      </c>
      <c r="H27" s="88"/>
      <c r="I27" s="88"/>
      <c r="J27" s="88"/>
      <c r="K27" s="88"/>
    </row>
    <row r="28" spans="1:14" ht="15" x14ac:dyDescent="0.25">
      <c r="A28" s="34" t="s">
        <v>37</v>
      </c>
      <c r="B28" s="34" t="s">
        <v>101</v>
      </c>
      <c r="C28" s="89">
        <v>7.36</v>
      </c>
      <c r="D28" s="76">
        <v>12851.44</v>
      </c>
      <c r="E28" s="76">
        <v>13331.91</v>
      </c>
      <c r="F28" s="76">
        <f>D28</f>
        <v>12851.44</v>
      </c>
      <c r="G28" s="76">
        <f t="shared" si="1"/>
        <v>-480.46999999999935</v>
      </c>
    </row>
    <row r="29" spans="1:14" ht="15" x14ac:dyDescent="0.25">
      <c r="A29" s="34" t="s">
        <v>39</v>
      </c>
      <c r="B29" s="34" t="s">
        <v>84</v>
      </c>
      <c r="C29" s="89">
        <v>88.38</v>
      </c>
      <c r="D29" s="76">
        <v>50578.42</v>
      </c>
      <c r="E29" s="76">
        <v>38087.839999999997</v>
      </c>
      <c r="F29" s="76">
        <f>D29</f>
        <v>50578.42</v>
      </c>
      <c r="G29" s="76">
        <f t="shared" si="1"/>
        <v>12490.580000000002</v>
      </c>
    </row>
    <row r="30" spans="1:14" ht="15" x14ac:dyDescent="0.25">
      <c r="A30" s="34" t="s">
        <v>42</v>
      </c>
      <c r="B30" s="34" t="s">
        <v>40</v>
      </c>
      <c r="C30" s="128">
        <v>0</v>
      </c>
      <c r="D30" s="188">
        <v>0</v>
      </c>
      <c r="E30" s="188">
        <v>0</v>
      </c>
      <c r="F30" s="76">
        <f>D30</f>
        <v>0</v>
      </c>
      <c r="G30" s="76">
        <f t="shared" si="1"/>
        <v>0</v>
      </c>
    </row>
    <row r="31" spans="1:14" ht="15" x14ac:dyDescent="0.25">
      <c r="A31" s="34" t="s">
        <v>41</v>
      </c>
      <c r="B31" s="34" t="s">
        <v>43</v>
      </c>
      <c r="C31" s="89">
        <v>2995.24</v>
      </c>
      <c r="D31" s="76">
        <v>314922.31</v>
      </c>
      <c r="E31" s="76">
        <v>335611.44</v>
      </c>
      <c r="F31" s="76">
        <f>D31</f>
        <v>314922.31</v>
      </c>
      <c r="G31" s="76">
        <f t="shared" si="1"/>
        <v>-20689.130000000005</v>
      </c>
    </row>
    <row r="32" spans="1:14" s="92" customFormat="1" ht="18" customHeight="1" thickBot="1" x14ac:dyDescent="0.3">
      <c r="A32" s="373"/>
      <c r="B32" s="374"/>
      <c r="C32" s="374"/>
      <c r="D32" s="375"/>
      <c r="E32" s="375"/>
      <c r="F32" s="375"/>
      <c r="G32" s="91"/>
      <c r="H32" s="91"/>
      <c r="I32" s="91"/>
    </row>
    <row r="33" spans="1:12" s="59" customFormat="1" ht="15.75" thickBot="1" x14ac:dyDescent="0.3">
      <c r="A33" s="387" t="s">
        <v>427</v>
      </c>
      <c r="B33" s="388"/>
      <c r="C33" s="388"/>
      <c r="D33" s="57">
        <v>-7029.11</v>
      </c>
      <c r="E33" s="58"/>
      <c r="F33" s="58"/>
      <c r="G33" s="58"/>
      <c r="H33" s="54"/>
      <c r="I33" s="54"/>
    </row>
    <row r="34" spans="1:12" s="59" customFormat="1" ht="6" customHeight="1" thickBot="1" x14ac:dyDescent="0.3">
      <c r="A34" s="60"/>
      <c r="B34" s="60"/>
      <c r="C34" s="60"/>
      <c r="D34" s="38"/>
      <c r="E34" s="58"/>
      <c r="F34" s="58"/>
      <c r="G34" s="58"/>
      <c r="H34" s="54"/>
      <c r="I34" s="54"/>
    </row>
    <row r="35" spans="1:12" s="59" customFormat="1" ht="15.75" thickBot="1" x14ac:dyDescent="0.3">
      <c r="A35" s="55" t="s">
        <v>428</v>
      </c>
      <c r="B35" s="56"/>
      <c r="C35" s="56"/>
      <c r="D35" s="61"/>
      <c r="E35" s="62"/>
      <c r="F35" s="62"/>
      <c r="G35" s="129">
        <f>G14+E25-F25</f>
        <v>-13414.798399999994</v>
      </c>
      <c r="H35" s="54"/>
      <c r="I35" s="54"/>
    </row>
    <row r="36" spans="1:12" ht="31.5" customHeight="1" x14ac:dyDescent="0.2">
      <c r="A36" s="371" t="s">
        <v>106</v>
      </c>
      <c r="B36" s="371"/>
      <c r="C36" s="371"/>
      <c r="D36" s="371"/>
      <c r="E36" s="371"/>
      <c r="F36" s="371"/>
      <c r="G36" s="371"/>
      <c r="H36" s="371"/>
      <c r="I36" s="371"/>
      <c r="J36" s="371"/>
      <c r="K36" s="371"/>
    </row>
    <row r="38" spans="1:12" s="66" customFormat="1" ht="37.5" customHeight="1" x14ac:dyDescent="0.2">
      <c r="A38" s="94" t="s">
        <v>11</v>
      </c>
      <c r="B38" s="416" t="s">
        <v>45</v>
      </c>
      <c r="C38" s="425"/>
      <c r="D38" s="94" t="s">
        <v>99</v>
      </c>
      <c r="E38" s="94" t="s">
        <v>98</v>
      </c>
      <c r="F38" s="416" t="s">
        <v>46</v>
      </c>
      <c r="G38" s="425"/>
      <c r="H38" s="207"/>
      <c r="I38" s="208"/>
      <c r="L38" s="97"/>
    </row>
    <row r="39" spans="1:12" s="103" customFormat="1" ht="15" customHeight="1" x14ac:dyDescent="0.25">
      <c r="A39" s="98" t="s">
        <v>47</v>
      </c>
      <c r="B39" s="418" t="s">
        <v>75</v>
      </c>
      <c r="C39" s="430"/>
      <c r="D39" s="99"/>
      <c r="E39" s="99"/>
      <c r="F39" s="436">
        <f>SUM(F40:G42)</f>
        <v>160.79940000000002</v>
      </c>
      <c r="G39" s="424"/>
      <c r="H39" s="209"/>
      <c r="I39" s="210"/>
      <c r="L39" s="104"/>
    </row>
    <row r="40" spans="1:12" ht="15" x14ac:dyDescent="0.25">
      <c r="A40" s="34" t="s">
        <v>16</v>
      </c>
      <c r="B40" s="412"/>
      <c r="C40" s="413"/>
      <c r="D40" s="260"/>
      <c r="E40" s="260"/>
      <c r="F40" s="463"/>
      <c r="G40" s="463"/>
      <c r="H40" s="211"/>
      <c r="I40" s="212"/>
      <c r="L40" s="106"/>
    </row>
    <row r="41" spans="1:12" ht="15" x14ac:dyDescent="0.25">
      <c r="A41" s="34" t="s">
        <v>18</v>
      </c>
      <c r="B41" s="412"/>
      <c r="C41" s="428"/>
      <c r="D41" s="258"/>
      <c r="E41" s="258"/>
      <c r="F41" s="468"/>
      <c r="G41" s="469"/>
      <c r="H41" s="38"/>
      <c r="I41" s="38"/>
      <c r="L41" s="106"/>
    </row>
    <row r="42" spans="1:12" s="59" customFormat="1" ht="15" x14ac:dyDescent="0.25">
      <c r="A42" s="34" t="s">
        <v>20</v>
      </c>
      <c r="B42" s="458" t="s">
        <v>108</v>
      </c>
      <c r="C42" s="459"/>
      <c r="D42" s="108"/>
      <c r="E42" s="108"/>
      <c r="F42" s="435">
        <f>E25*1%</f>
        <v>160.79940000000002</v>
      </c>
      <c r="G42" s="435"/>
      <c r="H42" s="51"/>
      <c r="I42" s="51"/>
      <c r="J42" s="51"/>
      <c r="K42" s="51"/>
    </row>
    <row r="43" spans="1:12" s="51" customFormat="1" ht="9" customHeight="1" x14ac:dyDescent="0.2"/>
    <row r="44" spans="1:12" s="51" customFormat="1" ht="15" x14ac:dyDescent="0.25">
      <c r="A44" s="51" t="s">
        <v>372</v>
      </c>
      <c r="B44" s="59"/>
      <c r="C44" s="110" t="s">
        <v>49</v>
      </c>
      <c r="D44" s="59"/>
      <c r="E44" s="59"/>
      <c r="F44" s="59" t="s">
        <v>60</v>
      </c>
      <c r="G44" s="59"/>
      <c r="H44" s="59"/>
      <c r="I44" s="59"/>
      <c r="J44" s="59"/>
      <c r="K44" s="59"/>
    </row>
    <row r="45" spans="1:12" s="51" customFormat="1" ht="15" x14ac:dyDescent="0.25">
      <c r="A45" s="59"/>
      <c r="B45" s="59"/>
      <c r="C45" s="110"/>
      <c r="D45" s="59"/>
      <c r="E45" s="59"/>
      <c r="F45" s="111" t="s">
        <v>438</v>
      </c>
      <c r="G45" s="59"/>
    </row>
    <row r="46" spans="1:12" s="51" customFormat="1" ht="15" x14ac:dyDescent="0.25">
      <c r="A46" s="59" t="s">
        <v>50</v>
      </c>
      <c r="B46" s="59"/>
      <c r="C46" s="110"/>
      <c r="D46" s="59"/>
      <c r="E46" s="59"/>
      <c r="F46" s="59"/>
      <c r="G46" s="59"/>
      <c r="H46" s="141"/>
      <c r="I46" s="141"/>
      <c r="J46" s="141"/>
    </row>
    <row r="47" spans="1:12" ht="15" x14ac:dyDescent="0.25">
      <c r="A47" s="59"/>
      <c r="B47" s="59"/>
      <c r="C47" s="112" t="s">
        <v>51</v>
      </c>
      <c r="D47" s="59"/>
      <c r="E47" s="113"/>
      <c r="F47" s="113"/>
      <c r="G47" s="113"/>
      <c r="H47" s="51"/>
      <c r="I47" s="51"/>
      <c r="J47" s="51"/>
      <c r="K47" s="51"/>
    </row>
    <row r="48" spans="1:12" x14ac:dyDescent="0.2">
      <c r="A48" s="51"/>
      <c r="B48" s="51"/>
      <c r="C48" s="51"/>
      <c r="D48" s="51"/>
      <c r="E48" s="51"/>
      <c r="F48" s="51"/>
      <c r="G48" s="51"/>
      <c r="H48" s="51"/>
      <c r="I48" s="51"/>
      <c r="J48" s="51"/>
      <c r="K48" s="51"/>
    </row>
  </sheetData>
  <mergeCells count="20">
    <mergeCell ref="B42:C42"/>
    <mergeCell ref="F42:G42"/>
    <mergeCell ref="B40:C40"/>
    <mergeCell ref="F40:G40"/>
    <mergeCell ref="B41:C41"/>
    <mergeCell ref="F41:G41"/>
    <mergeCell ref="A33:C33"/>
    <mergeCell ref="A36:K36"/>
    <mergeCell ref="B38:C38"/>
    <mergeCell ref="F38:G38"/>
    <mergeCell ref="B39:C39"/>
    <mergeCell ref="F39:G39"/>
    <mergeCell ref="A32:F32"/>
    <mergeCell ref="A12:K12"/>
    <mergeCell ref="A1:K1"/>
    <mergeCell ref="A5:K5"/>
    <mergeCell ref="A10:K10"/>
    <mergeCell ref="A11:K11"/>
    <mergeCell ref="A2:L2"/>
    <mergeCell ref="A3:L3"/>
  </mergeCells>
  <pageMargins left="0.7" right="0.7" top="0.75" bottom="0.75" header="0.3" footer="0.3"/>
  <pageSetup paperSize="9" orientation="portrait" verticalDpi="0" r:id="rId1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6C886A-B61B-43B0-837E-BEB1DDF55D97}">
  <sheetPr>
    <tabColor rgb="FF7030A0"/>
  </sheetPr>
  <dimension ref="A1:N52"/>
  <sheetViews>
    <sheetView topLeftCell="A31" workbookViewId="0">
      <selection activeCell="A55" sqref="A55:IV56"/>
    </sheetView>
  </sheetViews>
  <sheetFormatPr defaultRowHeight="12.75" outlineLevelRow="3" outlineLevelCol="1" x14ac:dyDescent="0.2"/>
  <cols>
    <col min="1" max="1" width="6" style="49" customWidth="1"/>
    <col min="2" max="2" width="48.140625" style="49" customWidth="1"/>
    <col min="3" max="3" width="14" style="49" customWidth="1"/>
    <col min="4" max="4" width="14.85546875" style="49" customWidth="1"/>
    <col min="5" max="6" width="13.28515625" style="49" customWidth="1"/>
    <col min="7" max="7" width="14.5703125" style="49" customWidth="1"/>
    <col min="8" max="9" width="11.5703125" style="49" hidden="1" customWidth="1" outlineLevel="1"/>
    <col min="10" max="10" width="10.140625" style="49" hidden="1" customWidth="1" outlineLevel="1"/>
    <col min="11" max="11" width="10.42578125" style="49" hidden="1" customWidth="1" outlineLevel="1"/>
    <col min="12" max="12" width="9.140625" style="49" collapsed="1"/>
    <col min="13" max="13" width="10" style="49" bestFit="1" customWidth="1"/>
    <col min="14" max="14" width="15.85546875" style="49" customWidth="1"/>
    <col min="15" max="16384" width="9.140625" style="49"/>
  </cols>
  <sheetData>
    <row r="1" spans="1:12" x14ac:dyDescent="0.2">
      <c r="A1" s="370" t="s">
        <v>0</v>
      </c>
      <c r="B1" s="370"/>
      <c r="C1" s="370"/>
      <c r="D1" s="370"/>
      <c r="E1" s="370"/>
      <c r="F1" s="370"/>
      <c r="G1" s="370"/>
      <c r="H1" s="370"/>
      <c r="I1" s="370"/>
      <c r="J1" s="370"/>
      <c r="K1" s="370"/>
    </row>
    <row r="2" spans="1:12" ht="12.75" customHeight="1" x14ac:dyDescent="0.2">
      <c r="A2" s="370" t="s">
        <v>152</v>
      </c>
      <c r="B2" s="370"/>
      <c r="C2" s="370"/>
      <c r="D2" s="370"/>
      <c r="E2" s="370"/>
      <c r="F2" s="370"/>
      <c r="G2" s="370"/>
      <c r="H2" s="370"/>
      <c r="I2" s="370"/>
      <c r="J2" s="370"/>
      <c r="K2" s="370"/>
      <c r="L2" s="370"/>
    </row>
    <row r="3" spans="1:12" ht="13.5" customHeight="1" x14ac:dyDescent="0.2">
      <c r="A3" s="370" t="s">
        <v>426</v>
      </c>
      <c r="B3" s="370"/>
      <c r="C3" s="370"/>
      <c r="D3" s="370"/>
      <c r="E3" s="370"/>
      <c r="F3" s="370"/>
      <c r="G3" s="370"/>
      <c r="H3" s="370"/>
      <c r="I3" s="370"/>
      <c r="J3" s="370"/>
      <c r="K3" s="370"/>
      <c r="L3" s="370"/>
    </row>
    <row r="4" spans="1:12" ht="9" customHeight="1" x14ac:dyDescent="0.2">
      <c r="A4" s="48"/>
      <c r="B4" s="48"/>
      <c r="C4" s="48"/>
      <c r="D4" s="48"/>
      <c r="E4" s="48"/>
      <c r="F4" s="48"/>
      <c r="G4" s="48"/>
      <c r="H4" s="48"/>
      <c r="I4" s="48"/>
      <c r="J4" s="48"/>
      <c r="K4" s="48"/>
    </row>
    <row r="5" spans="1:12" ht="16.5" customHeight="1" x14ac:dyDescent="0.2">
      <c r="A5" s="371" t="s">
        <v>1</v>
      </c>
      <c r="B5" s="370"/>
      <c r="C5" s="370"/>
      <c r="D5" s="370"/>
      <c r="E5" s="370"/>
      <c r="F5" s="370"/>
      <c r="G5" s="370"/>
      <c r="H5" s="370"/>
      <c r="I5" s="370"/>
      <c r="J5" s="370"/>
      <c r="K5" s="370"/>
    </row>
    <row r="7" spans="1:12" s="51" customFormat="1" ht="16.5" customHeight="1" x14ac:dyDescent="0.2">
      <c r="A7" s="51" t="s">
        <v>2</v>
      </c>
      <c r="F7" s="52" t="s">
        <v>353</v>
      </c>
      <c r="H7" s="206"/>
      <c r="I7" s="214"/>
      <c r="J7" s="214"/>
    </row>
    <row r="8" spans="1:12" s="51" customFormat="1" x14ac:dyDescent="0.2">
      <c r="A8" s="51" t="s">
        <v>3</v>
      </c>
      <c r="F8" s="242" t="s">
        <v>354</v>
      </c>
      <c r="H8" s="231">
        <f>101+20.2</f>
        <v>121.2</v>
      </c>
      <c r="I8" s="53">
        <f>J8-H8</f>
        <v>339.1</v>
      </c>
      <c r="J8" s="53">
        <v>460.3</v>
      </c>
    </row>
    <row r="9" spans="1:12" s="51" customFormat="1" x14ac:dyDescent="0.2">
      <c r="B9" s="51" t="s">
        <v>252</v>
      </c>
      <c r="F9" s="242" t="s">
        <v>393</v>
      </c>
      <c r="H9" s="206"/>
      <c r="I9" s="214"/>
      <c r="J9" s="214"/>
    </row>
    <row r="10" spans="1:12" s="51" customFormat="1" x14ac:dyDescent="0.2">
      <c r="A10" s="372" t="s">
        <v>8</v>
      </c>
      <c r="B10" s="372"/>
      <c r="C10" s="372"/>
      <c r="D10" s="372"/>
      <c r="E10" s="372"/>
      <c r="F10" s="372"/>
      <c r="G10" s="372"/>
      <c r="H10" s="372"/>
      <c r="I10" s="372"/>
      <c r="J10" s="372"/>
      <c r="K10" s="372"/>
    </row>
    <row r="11" spans="1:12" s="51" customFormat="1" x14ac:dyDescent="0.2">
      <c r="A11" s="372" t="s">
        <v>9</v>
      </c>
      <c r="B11" s="372"/>
      <c r="C11" s="372"/>
      <c r="D11" s="372"/>
      <c r="E11" s="372"/>
      <c r="F11" s="372"/>
      <c r="G11" s="372"/>
      <c r="H11" s="372"/>
      <c r="I11" s="372"/>
      <c r="J11" s="372"/>
      <c r="K11" s="372"/>
    </row>
    <row r="12" spans="1:12" s="51" customFormat="1" x14ac:dyDescent="0.2">
      <c r="A12" s="372" t="s">
        <v>10</v>
      </c>
      <c r="B12" s="372"/>
      <c r="C12" s="372"/>
      <c r="D12" s="372"/>
      <c r="E12" s="372"/>
      <c r="F12" s="372"/>
      <c r="G12" s="372"/>
      <c r="H12" s="372"/>
      <c r="I12" s="372"/>
      <c r="J12" s="372"/>
      <c r="K12" s="372"/>
    </row>
    <row r="13" spans="1:12" s="59" customFormat="1" ht="6" customHeight="1" thickBot="1" x14ac:dyDescent="0.3">
      <c r="A13" s="60"/>
      <c r="B13" s="60"/>
      <c r="C13" s="60"/>
      <c r="D13" s="38"/>
      <c r="E13" s="58"/>
      <c r="F13" s="58"/>
      <c r="G13" s="58"/>
      <c r="H13" s="54"/>
      <c r="I13" s="54"/>
    </row>
    <row r="14" spans="1:12" s="59" customFormat="1" ht="15.75" thickBot="1" x14ac:dyDescent="0.3">
      <c r="A14" s="55" t="s">
        <v>580</v>
      </c>
      <c r="B14" s="56"/>
      <c r="C14" s="56"/>
      <c r="D14" s="61"/>
      <c r="E14" s="62"/>
      <c r="F14" s="62"/>
      <c r="G14" s="57">
        <f>'[1]Воронина 23'!$G$36</f>
        <v>-8003.2492999999959</v>
      </c>
      <c r="H14" s="54"/>
      <c r="I14" s="54"/>
    </row>
    <row r="15" spans="1:12" s="51" customFormat="1" ht="6.75" customHeight="1" x14ac:dyDescent="0.2"/>
    <row r="16" spans="1:12" s="66" customFormat="1" ht="38.25" x14ac:dyDescent="0.25">
      <c r="A16" s="64" t="s">
        <v>11</v>
      </c>
      <c r="B16" s="64" t="s">
        <v>12</v>
      </c>
      <c r="C16" s="64" t="s">
        <v>61</v>
      </c>
      <c r="D16" s="64" t="s">
        <v>432</v>
      </c>
      <c r="E16" s="64" t="s">
        <v>433</v>
      </c>
      <c r="F16" s="65" t="s">
        <v>434</v>
      </c>
      <c r="G16" s="64" t="s">
        <v>435</v>
      </c>
    </row>
    <row r="17" spans="1:14" s="51" customFormat="1" ht="14.25" x14ac:dyDescent="0.2">
      <c r="A17" s="67" t="s">
        <v>14</v>
      </c>
      <c r="B17" s="39" t="s">
        <v>379</v>
      </c>
      <c r="C17" s="87">
        <v>20.66</v>
      </c>
      <c r="D17" s="68">
        <v>68576.210000000006</v>
      </c>
      <c r="E17" s="68">
        <v>68501.279999999999</v>
      </c>
      <c r="F17" s="68">
        <f t="shared" ref="F17:F24" si="0">D17</f>
        <v>68576.210000000006</v>
      </c>
      <c r="G17" s="69">
        <f>D17-E17</f>
        <v>74.930000000007567</v>
      </c>
      <c r="H17" s="70">
        <f>C17</f>
        <v>20.66</v>
      </c>
      <c r="I17" s="71"/>
      <c r="J17" s="71">
        <f>D17/3115.9/12</f>
        <v>1.8340396568139756</v>
      </c>
      <c r="K17" s="71"/>
      <c r="M17" s="70"/>
      <c r="N17" s="72"/>
    </row>
    <row r="18" spans="1:14" s="51" customFormat="1" ht="15" hidden="1" outlineLevel="3" x14ac:dyDescent="0.25">
      <c r="A18" s="73" t="s">
        <v>16</v>
      </c>
      <c r="B18" s="34" t="s">
        <v>17</v>
      </c>
      <c r="C18" s="74">
        <v>3.46</v>
      </c>
      <c r="D18" s="75">
        <f>D17*I18</f>
        <v>11484.689574056149</v>
      </c>
      <c r="E18" s="75">
        <f>E17*I18</f>
        <v>11472.140793804454</v>
      </c>
      <c r="F18" s="75">
        <f t="shared" si="0"/>
        <v>11484.689574056149</v>
      </c>
      <c r="G18" s="76">
        <f>D18-E18</f>
        <v>12.548780251694552</v>
      </c>
      <c r="H18" s="70">
        <f>C18</f>
        <v>3.46</v>
      </c>
      <c r="I18" s="51">
        <f>H18/H17</f>
        <v>0.16747337850919652</v>
      </c>
    </row>
    <row r="19" spans="1:14" s="51" customFormat="1" ht="15" hidden="1" outlineLevel="3" x14ac:dyDescent="0.25">
      <c r="A19" s="73" t="s">
        <v>18</v>
      </c>
      <c r="B19" s="34" t="s">
        <v>19</v>
      </c>
      <c r="C19" s="74">
        <v>1.69</v>
      </c>
      <c r="D19" s="75">
        <f>D17*I19</f>
        <v>5609.5738092933207</v>
      </c>
      <c r="E19" s="75">
        <f>E17*I19</f>
        <v>5603.4444917715391</v>
      </c>
      <c r="F19" s="75">
        <f t="shared" si="0"/>
        <v>5609.5738092933207</v>
      </c>
      <c r="G19" s="76">
        <f>D19-E19</f>
        <v>6.1293175217815588</v>
      </c>
      <c r="H19" s="70">
        <f>C19</f>
        <v>1.69</v>
      </c>
      <c r="I19" s="51">
        <f>H19/H17</f>
        <v>8.1800580832526615E-2</v>
      </c>
    </row>
    <row r="20" spans="1:14" s="51" customFormat="1" ht="15" hidden="1" outlineLevel="3" x14ac:dyDescent="0.25">
      <c r="A20" s="73" t="s">
        <v>20</v>
      </c>
      <c r="B20" s="34" t="s">
        <v>21</v>
      </c>
      <c r="C20" s="74">
        <v>1.69</v>
      </c>
      <c r="D20" s="75">
        <f>D17*I20</f>
        <v>5609.5738092933207</v>
      </c>
      <c r="E20" s="75">
        <f>E17*I20</f>
        <v>5603.4444917715391</v>
      </c>
      <c r="F20" s="75">
        <f t="shared" si="0"/>
        <v>5609.5738092933207</v>
      </c>
      <c r="G20" s="76">
        <f>D20-E20</f>
        <v>6.1293175217815588</v>
      </c>
      <c r="H20" s="70">
        <f>C20</f>
        <v>1.69</v>
      </c>
      <c r="I20" s="51">
        <f>H20/H17</f>
        <v>8.1800580832526615E-2</v>
      </c>
    </row>
    <row r="21" spans="1:14" s="51" customFormat="1" ht="15" hidden="1" outlineLevel="3" x14ac:dyDescent="0.25">
      <c r="A21" s="73" t="s">
        <v>22</v>
      </c>
      <c r="B21" s="34" t="s">
        <v>23</v>
      </c>
      <c r="C21" s="74">
        <v>3.04</v>
      </c>
      <c r="D21" s="75">
        <f>D17*I21</f>
        <v>10090.59430784124</v>
      </c>
      <c r="E21" s="75">
        <f>E17*I21</f>
        <v>10079.568789932237</v>
      </c>
      <c r="F21" s="75">
        <f t="shared" si="0"/>
        <v>10090.59430784124</v>
      </c>
      <c r="G21" s="76">
        <f>D21-E21</f>
        <v>11.025517909003611</v>
      </c>
      <c r="H21" s="70">
        <f>C21</f>
        <v>3.04</v>
      </c>
      <c r="I21" s="51">
        <f>H21/H17</f>
        <v>0.14714424007744434</v>
      </c>
    </row>
    <row r="22" spans="1:14" s="81" customFormat="1" ht="14.25" collapsed="1" x14ac:dyDescent="0.2">
      <c r="A22" s="78" t="s">
        <v>25</v>
      </c>
      <c r="B22" s="78" t="s">
        <v>394</v>
      </c>
      <c r="C22" s="43">
        <v>0</v>
      </c>
      <c r="D22" s="79">
        <v>2695.8</v>
      </c>
      <c r="E22" s="79">
        <v>2695.8</v>
      </c>
      <c r="F22" s="79">
        <f>D22</f>
        <v>2695.8</v>
      </c>
      <c r="G22" s="69">
        <f t="shared" ref="G22:G32" si="1">D22-E22</f>
        <v>0</v>
      </c>
      <c r="H22" s="80"/>
      <c r="I22" s="80"/>
      <c r="J22" s="80"/>
      <c r="K22" s="80"/>
    </row>
    <row r="23" spans="1:14" s="81" customFormat="1" ht="28.5" x14ac:dyDescent="0.2">
      <c r="A23" s="78" t="s">
        <v>27</v>
      </c>
      <c r="B23" s="78" t="s">
        <v>355</v>
      </c>
      <c r="C23" s="43">
        <v>0</v>
      </c>
      <c r="D23" s="79">
        <v>0</v>
      </c>
      <c r="E23" s="79">
        <v>0</v>
      </c>
      <c r="F23" s="79">
        <f t="shared" si="0"/>
        <v>0</v>
      </c>
      <c r="G23" s="69">
        <f t="shared" si="1"/>
        <v>0</v>
      </c>
      <c r="H23" s="80"/>
      <c r="I23" s="80"/>
      <c r="J23" s="80"/>
      <c r="K23" s="80"/>
    </row>
    <row r="24" spans="1:14" s="81" customFormat="1" ht="14.25" x14ac:dyDescent="0.2">
      <c r="A24" s="78" t="s">
        <v>29</v>
      </c>
      <c r="B24" s="78" t="s">
        <v>30</v>
      </c>
      <c r="C24" s="43">
        <v>0</v>
      </c>
      <c r="D24" s="79">
        <v>0</v>
      </c>
      <c r="E24" s="79">
        <v>0</v>
      </c>
      <c r="F24" s="79">
        <f t="shared" si="0"/>
        <v>0</v>
      </c>
      <c r="G24" s="69">
        <f t="shared" si="1"/>
        <v>0</v>
      </c>
      <c r="H24" s="80"/>
      <c r="I24" s="80"/>
      <c r="J24" s="80"/>
      <c r="K24" s="80"/>
    </row>
    <row r="25" spans="1:14" s="81" customFormat="1" ht="14.25" x14ac:dyDescent="0.2">
      <c r="A25" s="78" t="s">
        <v>31</v>
      </c>
      <c r="B25" s="78" t="s">
        <v>80</v>
      </c>
      <c r="C25" s="86">
        <v>2.04</v>
      </c>
      <c r="D25" s="79">
        <f>7401.95+D26</f>
        <v>9874.43</v>
      </c>
      <c r="E25" s="79">
        <f>7405.27+E26</f>
        <v>8641.51</v>
      </c>
      <c r="F25" s="79">
        <f>F43</f>
        <v>86.41510000000001</v>
      </c>
      <c r="G25" s="69">
        <f t="shared" si="1"/>
        <v>1232.92</v>
      </c>
      <c r="H25" s="80"/>
      <c r="I25" s="80"/>
      <c r="J25" s="80"/>
      <c r="K25" s="80"/>
    </row>
    <row r="26" spans="1:14" s="81" customFormat="1" ht="14.25" x14ac:dyDescent="0.2">
      <c r="A26" s="78"/>
      <c r="B26" s="292" t="s">
        <v>244</v>
      </c>
      <c r="C26" s="293"/>
      <c r="D26" s="294">
        <f>2472.48</f>
        <v>2472.48</v>
      </c>
      <c r="E26" s="294">
        <f>1236.24</f>
        <v>1236.24</v>
      </c>
      <c r="F26" s="294"/>
      <c r="G26" s="248"/>
      <c r="H26" s="80"/>
      <c r="I26" s="80"/>
      <c r="J26" s="80"/>
      <c r="K26" s="80"/>
    </row>
    <row r="27" spans="1:14" ht="14.25" x14ac:dyDescent="0.2">
      <c r="A27" s="39" t="s">
        <v>33</v>
      </c>
      <c r="B27" s="39" t="s">
        <v>97</v>
      </c>
      <c r="C27" s="87">
        <v>0</v>
      </c>
      <c r="D27" s="69">
        <v>0</v>
      </c>
      <c r="E27" s="69">
        <v>0</v>
      </c>
      <c r="F27" s="79">
        <f>D27</f>
        <v>0</v>
      </c>
      <c r="G27" s="69">
        <f t="shared" si="1"/>
        <v>0</v>
      </c>
      <c r="H27" s="88"/>
      <c r="I27" s="88"/>
      <c r="J27" s="88"/>
      <c r="K27" s="88"/>
    </row>
    <row r="28" spans="1:14" ht="14.25" x14ac:dyDescent="0.2">
      <c r="A28" s="39" t="s">
        <v>35</v>
      </c>
      <c r="B28" s="39" t="s">
        <v>36</v>
      </c>
      <c r="C28" s="87"/>
      <c r="D28" s="69">
        <f>SUM(D29:D32)</f>
        <v>87010.26999999999</v>
      </c>
      <c r="E28" s="69">
        <f>SUM(E29:E32)</f>
        <v>85408.23</v>
      </c>
      <c r="F28" s="69">
        <f>SUM(F29:F32)</f>
        <v>87010.26999999999</v>
      </c>
      <c r="G28" s="69">
        <f t="shared" si="1"/>
        <v>1602.0399999999936</v>
      </c>
      <c r="H28" s="88"/>
      <c r="I28" s="88"/>
      <c r="J28" s="88"/>
      <c r="K28" s="88"/>
    </row>
    <row r="29" spans="1:14" ht="15" x14ac:dyDescent="0.25">
      <c r="A29" s="34" t="s">
        <v>37</v>
      </c>
      <c r="B29" s="34" t="s">
        <v>101</v>
      </c>
      <c r="C29" s="89">
        <v>7.36</v>
      </c>
      <c r="D29" s="76">
        <v>14200.34</v>
      </c>
      <c r="E29" s="76">
        <v>10897.17</v>
      </c>
      <c r="F29" s="76">
        <f>D29</f>
        <v>14200.34</v>
      </c>
      <c r="G29" s="76">
        <f t="shared" si="1"/>
        <v>3303.17</v>
      </c>
    </row>
    <row r="30" spans="1:14" ht="15" x14ac:dyDescent="0.25">
      <c r="A30" s="34" t="s">
        <v>39</v>
      </c>
      <c r="B30" s="34" t="s">
        <v>84</v>
      </c>
      <c r="C30" s="89">
        <v>88.38</v>
      </c>
      <c r="D30" s="76">
        <v>72809.929999999993</v>
      </c>
      <c r="E30" s="76">
        <v>74511.06</v>
      </c>
      <c r="F30" s="76">
        <f>D30</f>
        <v>72809.929999999993</v>
      </c>
      <c r="G30" s="76">
        <f t="shared" si="1"/>
        <v>-1701.1300000000047</v>
      </c>
    </row>
    <row r="31" spans="1:14" ht="15" x14ac:dyDescent="0.25">
      <c r="A31" s="34" t="s">
        <v>42</v>
      </c>
      <c r="B31" s="34" t="s">
        <v>135</v>
      </c>
      <c r="C31" s="128">
        <v>0</v>
      </c>
      <c r="D31" s="188">
        <v>0</v>
      </c>
      <c r="E31" s="188">
        <v>0</v>
      </c>
      <c r="F31" s="76">
        <f>D31</f>
        <v>0</v>
      </c>
      <c r="G31" s="76">
        <f t="shared" si="1"/>
        <v>0</v>
      </c>
    </row>
    <row r="32" spans="1:14" ht="15" x14ac:dyDescent="0.25">
      <c r="A32" s="34" t="s">
        <v>41</v>
      </c>
      <c r="B32" s="34" t="s">
        <v>43</v>
      </c>
      <c r="C32" s="89">
        <v>0</v>
      </c>
      <c r="D32" s="76">
        <v>0</v>
      </c>
      <c r="E32" s="76">
        <v>0</v>
      </c>
      <c r="F32" s="76">
        <f>D32</f>
        <v>0</v>
      </c>
      <c r="G32" s="76">
        <f t="shared" si="1"/>
        <v>0</v>
      </c>
    </row>
    <row r="33" spans="1:12" s="92" customFormat="1" ht="7.5" customHeight="1" thickBot="1" x14ac:dyDescent="0.3">
      <c r="A33" s="90"/>
      <c r="B33" s="90"/>
      <c r="C33" s="90"/>
      <c r="D33" s="91"/>
      <c r="E33" s="91"/>
      <c r="F33" s="91"/>
      <c r="G33" s="91"/>
      <c r="H33" s="91"/>
      <c r="I33" s="91"/>
    </row>
    <row r="34" spans="1:12" s="59" customFormat="1" ht="15.75" thickBot="1" x14ac:dyDescent="0.3">
      <c r="A34" s="387" t="s">
        <v>427</v>
      </c>
      <c r="B34" s="388"/>
      <c r="C34" s="388"/>
      <c r="D34" s="57">
        <v>2909.89</v>
      </c>
      <c r="E34" s="58"/>
      <c r="F34" s="58"/>
      <c r="G34" s="58"/>
      <c r="H34" s="54"/>
      <c r="I34" s="54"/>
    </row>
    <row r="35" spans="1:12" s="59" customFormat="1" ht="6" customHeight="1" thickBot="1" x14ac:dyDescent="0.3">
      <c r="A35" s="60"/>
      <c r="B35" s="60"/>
      <c r="C35" s="60"/>
      <c r="D35" s="38"/>
      <c r="E35" s="58"/>
      <c r="F35" s="58"/>
      <c r="G35" s="58"/>
      <c r="H35" s="54"/>
      <c r="I35" s="54"/>
    </row>
    <row r="36" spans="1:12" s="59" customFormat="1" ht="15.75" thickBot="1" x14ac:dyDescent="0.3">
      <c r="A36" s="55" t="s">
        <v>563</v>
      </c>
      <c r="B36" s="56"/>
      <c r="C36" s="56"/>
      <c r="D36" s="61"/>
      <c r="E36" s="62"/>
      <c r="F36" s="62"/>
      <c r="G36" s="129">
        <f>G14+E25-F25</f>
        <v>551.84560000000431</v>
      </c>
      <c r="H36" s="54"/>
      <c r="I36" s="54"/>
    </row>
    <row r="37" spans="1:12" s="59" customFormat="1" ht="15" x14ac:dyDescent="0.25">
      <c r="A37" s="392" t="s">
        <v>90</v>
      </c>
      <c r="B37" s="392"/>
      <c r="C37" s="60"/>
      <c r="D37" s="38"/>
      <c r="E37" s="58"/>
      <c r="F37" s="58"/>
      <c r="G37" s="38"/>
      <c r="H37" s="54"/>
      <c r="I37" s="54"/>
    </row>
    <row r="38" spans="1:12" s="59" customFormat="1" ht="15" x14ac:dyDescent="0.25">
      <c r="A38" s="444" t="s">
        <v>91</v>
      </c>
      <c r="B38" s="445"/>
      <c r="C38" s="305" t="s">
        <v>92</v>
      </c>
      <c r="D38" s="305" t="s">
        <v>93</v>
      </c>
      <c r="E38" s="138" t="s">
        <v>94</v>
      </c>
      <c r="F38" s="306" t="s">
        <v>95</v>
      </c>
      <c r="G38" s="138" t="s">
        <v>96</v>
      </c>
      <c r="H38" s="54"/>
      <c r="I38" s="54">
        <f>20.2*H39*3</f>
        <v>1375.62</v>
      </c>
    </row>
    <row r="39" spans="1:12" s="59" customFormat="1" ht="15" x14ac:dyDescent="0.25">
      <c r="A39" s="446"/>
      <c r="B39" s="447"/>
      <c r="C39" s="342">
        <f>101+20.2</f>
        <v>121.2</v>
      </c>
      <c r="D39" s="138">
        <f>E39/C39/12</f>
        <v>16.867361111111112</v>
      </c>
      <c r="E39" s="358">
        <v>24531.89</v>
      </c>
      <c r="F39" s="358">
        <v>25219.7</v>
      </c>
      <c r="G39" s="138">
        <f>E39-F39</f>
        <v>-687.81000000000131</v>
      </c>
      <c r="H39" s="335">
        <f>C17+C25</f>
        <v>22.7</v>
      </c>
      <c r="I39" s="54">
        <f>101*H39*3</f>
        <v>6878.0999999999995</v>
      </c>
      <c r="J39" s="59">
        <f>17816.4</f>
        <v>17816.400000000001</v>
      </c>
      <c r="K39" s="59">
        <f>12705.8</f>
        <v>12705.8</v>
      </c>
    </row>
    <row r="40" spans="1:12" ht="31.5" customHeight="1" x14ac:dyDescent="0.2">
      <c r="A40" s="370" t="s">
        <v>106</v>
      </c>
      <c r="B40" s="370"/>
      <c r="C40" s="370"/>
      <c r="D40" s="370"/>
      <c r="E40" s="370"/>
      <c r="F40" s="370"/>
      <c r="G40" s="370"/>
      <c r="H40" s="370"/>
      <c r="I40" s="370"/>
      <c r="J40" s="370"/>
      <c r="K40" s="370"/>
    </row>
    <row r="42" spans="1:12" s="66" customFormat="1" ht="37.5" customHeight="1" x14ac:dyDescent="0.2">
      <c r="A42" s="94" t="s">
        <v>11</v>
      </c>
      <c r="B42" s="416" t="s">
        <v>45</v>
      </c>
      <c r="C42" s="425"/>
      <c r="D42" s="94" t="s">
        <v>99</v>
      </c>
      <c r="E42" s="94" t="s">
        <v>98</v>
      </c>
      <c r="F42" s="550" t="s">
        <v>46</v>
      </c>
      <c r="G42" s="550"/>
      <c r="H42" s="95"/>
      <c r="I42" s="96"/>
      <c r="L42" s="356"/>
    </row>
    <row r="43" spans="1:12" s="103" customFormat="1" ht="15" customHeight="1" x14ac:dyDescent="0.25">
      <c r="A43" s="98" t="s">
        <v>47</v>
      </c>
      <c r="B43" s="418" t="s">
        <v>75</v>
      </c>
      <c r="C43" s="430"/>
      <c r="D43" s="99"/>
      <c r="E43" s="99"/>
      <c r="F43" s="548">
        <f>SUM(F44:G46)</f>
        <v>86.41510000000001</v>
      </c>
      <c r="G43" s="549"/>
      <c r="H43" s="101"/>
      <c r="I43" s="102"/>
      <c r="L43" s="104"/>
    </row>
    <row r="44" spans="1:12" ht="15" x14ac:dyDescent="0.25">
      <c r="A44" s="34" t="s">
        <v>16</v>
      </c>
      <c r="B44" s="412"/>
      <c r="C44" s="413"/>
      <c r="D44" s="260"/>
      <c r="E44" s="260"/>
      <c r="F44" s="463"/>
      <c r="G44" s="463"/>
      <c r="H44" s="38"/>
      <c r="I44" s="38"/>
      <c r="L44" s="106"/>
    </row>
    <row r="45" spans="1:12" ht="15" x14ac:dyDescent="0.25">
      <c r="A45" s="34" t="s">
        <v>18</v>
      </c>
      <c r="B45" s="412"/>
      <c r="C45" s="517"/>
      <c r="D45" s="258"/>
      <c r="E45" s="258"/>
      <c r="F45" s="463"/>
      <c r="G45" s="463"/>
      <c r="H45" s="38"/>
      <c r="I45" s="38"/>
      <c r="L45" s="106"/>
    </row>
    <row r="46" spans="1:12" s="59" customFormat="1" ht="15" x14ac:dyDescent="0.25">
      <c r="A46" s="34" t="s">
        <v>20</v>
      </c>
      <c r="B46" s="458" t="s">
        <v>108</v>
      </c>
      <c r="C46" s="459"/>
      <c r="D46" s="108"/>
      <c r="E46" s="108"/>
      <c r="F46" s="435">
        <f>E25*1%</f>
        <v>86.41510000000001</v>
      </c>
      <c r="G46" s="435"/>
      <c r="H46" s="51"/>
      <c r="I46" s="51"/>
      <c r="J46" s="51"/>
      <c r="K46" s="51"/>
    </row>
    <row r="47" spans="1:12" s="51" customFormat="1" ht="9" customHeight="1" x14ac:dyDescent="0.2"/>
    <row r="48" spans="1:12" s="51" customFormat="1" ht="15" x14ac:dyDescent="0.25">
      <c r="A48" s="51" t="s">
        <v>372</v>
      </c>
      <c r="B48" s="59"/>
      <c r="C48" s="110" t="s">
        <v>49</v>
      </c>
      <c r="D48" s="59"/>
      <c r="E48" s="59"/>
      <c r="F48" s="59" t="s">
        <v>60</v>
      </c>
      <c r="G48" s="59"/>
      <c r="H48" s="59"/>
      <c r="I48" s="59"/>
      <c r="J48" s="59"/>
      <c r="K48" s="59"/>
    </row>
    <row r="49" spans="1:11" s="51" customFormat="1" ht="15" x14ac:dyDescent="0.25">
      <c r="A49" s="59"/>
      <c r="B49" s="59"/>
      <c r="C49" s="110"/>
      <c r="D49" s="59"/>
      <c r="E49" s="59"/>
      <c r="F49" s="111" t="s">
        <v>438</v>
      </c>
      <c r="G49" s="59"/>
    </row>
    <row r="50" spans="1:11" s="51" customFormat="1" ht="15" x14ac:dyDescent="0.25">
      <c r="A50" s="59" t="s">
        <v>50</v>
      </c>
      <c r="B50" s="59"/>
      <c r="C50" s="110"/>
      <c r="D50" s="59"/>
      <c r="E50" s="59"/>
      <c r="F50" s="59"/>
      <c r="G50" s="59"/>
      <c r="H50" s="141"/>
      <c r="I50" s="141"/>
      <c r="J50" s="141"/>
    </row>
    <row r="51" spans="1:11" ht="15" x14ac:dyDescent="0.25">
      <c r="A51" s="59"/>
      <c r="B51" s="59"/>
      <c r="C51" s="112" t="s">
        <v>51</v>
      </c>
      <c r="D51" s="59"/>
      <c r="E51" s="113"/>
      <c r="F51" s="113"/>
      <c r="G51" s="113"/>
      <c r="H51" s="51"/>
      <c r="I51" s="51"/>
      <c r="J51" s="51"/>
      <c r="K51" s="51"/>
    </row>
    <row r="52" spans="1:11" x14ac:dyDescent="0.2">
      <c r="A52" s="51"/>
      <c r="B52" s="51"/>
      <c r="C52" s="51"/>
      <c r="D52" s="51"/>
      <c r="E52" s="51"/>
      <c r="F52" s="51"/>
      <c r="G52" s="51"/>
      <c r="H52" s="51"/>
      <c r="I52" s="51"/>
      <c r="J52" s="51"/>
      <c r="K52" s="51"/>
    </row>
  </sheetData>
  <mergeCells count="21">
    <mergeCell ref="A3:L3"/>
    <mergeCell ref="A40:K40"/>
    <mergeCell ref="F42:G42"/>
    <mergeCell ref="B42:C42"/>
    <mergeCell ref="B45:C45"/>
    <mergeCell ref="B46:C46"/>
    <mergeCell ref="F46:G46"/>
    <mergeCell ref="B43:C43"/>
    <mergeCell ref="F43:G43"/>
    <mergeCell ref="B44:C44"/>
    <mergeCell ref="F44:G44"/>
    <mergeCell ref="A1:K1"/>
    <mergeCell ref="A5:K5"/>
    <mergeCell ref="A10:K10"/>
    <mergeCell ref="F45:G45"/>
    <mergeCell ref="A12:K12"/>
    <mergeCell ref="A34:C34"/>
    <mergeCell ref="A2:L2"/>
    <mergeCell ref="A37:B37"/>
    <mergeCell ref="A38:B39"/>
    <mergeCell ref="A11:K11"/>
  </mergeCells>
  <pageMargins left="0.7" right="0.7" top="0.75" bottom="0.75" header="0.3" footer="0.3"/>
  <pageSetup paperSize="9" orientation="portrait" verticalDpi="0" r:id="rId1"/>
  <drawing r:id="rId2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BD7089-0F75-4675-BE74-912DA4395423}">
  <sheetPr>
    <tabColor rgb="FF7030A0"/>
  </sheetPr>
  <dimension ref="A1:V48"/>
  <sheetViews>
    <sheetView topLeftCell="A23" workbookViewId="0">
      <selection activeCell="A51" sqref="A51:IV52"/>
    </sheetView>
  </sheetViews>
  <sheetFormatPr defaultRowHeight="12.75" outlineLevelRow="1" outlineLevelCol="1" x14ac:dyDescent="0.2"/>
  <cols>
    <col min="1" max="1" width="6" style="49" customWidth="1"/>
    <col min="2" max="2" width="48.140625" style="49" customWidth="1"/>
    <col min="3" max="3" width="14" style="49" customWidth="1"/>
    <col min="4" max="4" width="14.85546875" style="49" customWidth="1"/>
    <col min="5" max="6" width="13.28515625" style="49" customWidth="1"/>
    <col min="7" max="7" width="14.5703125" style="49" customWidth="1"/>
    <col min="8" max="9" width="11.5703125" style="49" hidden="1" customWidth="1" outlineLevel="1"/>
    <col min="10" max="10" width="10.140625" style="49" hidden="1" customWidth="1" outlineLevel="1"/>
    <col min="11" max="11" width="10.42578125" style="49" customWidth="1" collapsed="1"/>
    <col min="12" max="12" width="9.140625" style="49"/>
    <col min="13" max="13" width="10" style="49" bestFit="1" customWidth="1"/>
    <col min="14" max="14" width="15.85546875" style="49" customWidth="1"/>
    <col min="15" max="16384" width="9.140625" style="49"/>
  </cols>
  <sheetData>
    <row r="1" spans="1:14" x14ac:dyDescent="0.2">
      <c r="A1" s="370" t="s">
        <v>0</v>
      </c>
      <c r="B1" s="370"/>
      <c r="C1" s="370"/>
      <c r="D1" s="370"/>
      <c r="E1" s="370"/>
      <c r="F1" s="370"/>
      <c r="G1" s="370"/>
      <c r="H1" s="370"/>
      <c r="I1" s="370"/>
      <c r="J1" s="370"/>
      <c r="K1" s="370"/>
    </row>
    <row r="2" spans="1:14" ht="12.75" customHeight="1" x14ac:dyDescent="0.2">
      <c r="A2" s="370" t="s">
        <v>152</v>
      </c>
      <c r="B2" s="370"/>
      <c r="C2" s="370"/>
      <c r="D2" s="370"/>
      <c r="E2" s="370"/>
      <c r="F2" s="370"/>
      <c r="G2" s="370"/>
      <c r="H2" s="370"/>
      <c r="I2" s="370"/>
      <c r="J2" s="370"/>
      <c r="K2" s="370"/>
      <c r="L2" s="370"/>
    </row>
    <row r="3" spans="1:14" ht="13.5" customHeight="1" x14ac:dyDescent="0.2">
      <c r="A3" s="370" t="s">
        <v>426</v>
      </c>
      <c r="B3" s="370"/>
      <c r="C3" s="370"/>
      <c r="D3" s="370"/>
      <c r="E3" s="370"/>
      <c r="F3" s="370"/>
      <c r="G3" s="370"/>
      <c r="H3" s="370"/>
      <c r="I3" s="370"/>
      <c r="J3" s="370"/>
      <c r="K3" s="370"/>
      <c r="L3" s="370"/>
    </row>
    <row r="4" spans="1:14" ht="9" customHeight="1" x14ac:dyDescent="0.2">
      <c r="A4" s="48"/>
      <c r="B4" s="48"/>
      <c r="C4" s="48"/>
      <c r="D4" s="48"/>
      <c r="E4" s="48"/>
      <c r="F4" s="48"/>
      <c r="G4" s="48"/>
      <c r="H4" s="48"/>
      <c r="I4" s="48"/>
      <c r="J4" s="48"/>
      <c r="K4" s="48"/>
    </row>
    <row r="5" spans="1:14" ht="16.5" customHeight="1" x14ac:dyDescent="0.2">
      <c r="A5" s="371" t="s">
        <v>1</v>
      </c>
      <c r="B5" s="370"/>
      <c r="C5" s="370"/>
      <c r="D5" s="370"/>
      <c r="E5" s="370"/>
      <c r="F5" s="370"/>
      <c r="G5" s="370"/>
      <c r="H5" s="370"/>
      <c r="I5" s="370"/>
      <c r="J5" s="370"/>
      <c r="K5" s="370"/>
    </row>
    <row r="7" spans="1:14" s="51" customFormat="1" ht="16.5" customHeight="1" x14ac:dyDescent="0.2">
      <c r="A7" s="51" t="s">
        <v>2</v>
      </c>
      <c r="F7" s="52" t="s">
        <v>357</v>
      </c>
      <c r="H7" s="52"/>
    </row>
    <row r="8" spans="1:14" s="51" customFormat="1" x14ac:dyDescent="0.2">
      <c r="A8" s="51" t="s">
        <v>3</v>
      </c>
      <c r="F8" s="242" t="s">
        <v>356</v>
      </c>
      <c r="H8" s="53">
        <v>0</v>
      </c>
      <c r="I8" s="243">
        <v>558.9</v>
      </c>
      <c r="J8" s="53">
        <f>H8+I8</f>
        <v>558.9</v>
      </c>
    </row>
    <row r="9" spans="1:14" s="51" customFormat="1" x14ac:dyDescent="0.2">
      <c r="A9" s="372" t="s">
        <v>8</v>
      </c>
      <c r="B9" s="372"/>
      <c r="C9" s="372"/>
      <c r="D9" s="372"/>
      <c r="E9" s="372"/>
      <c r="F9" s="372"/>
      <c r="G9" s="372"/>
      <c r="H9" s="372"/>
      <c r="I9" s="372"/>
      <c r="J9" s="372"/>
      <c r="K9" s="372"/>
    </row>
    <row r="10" spans="1:14" s="51" customFormat="1" x14ac:dyDescent="0.2">
      <c r="A10" s="372" t="s">
        <v>9</v>
      </c>
      <c r="B10" s="372"/>
      <c r="C10" s="372"/>
      <c r="D10" s="372"/>
      <c r="E10" s="372"/>
      <c r="F10" s="372"/>
      <c r="G10" s="372"/>
      <c r="H10" s="372"/>
      <c r="I10" s="372"/>
      <c r="J10" s="372"/>
      <c r="K10" s="372"/>
    </row>
    <row r="11" spans="1:14" s="51" customFormat="1" ht="13.5" thickBot="1" x14ac:dyDescent="0.25">
      <c r="A11" s="372" t="s">
        <v>10</v>
      </c>
      <c r="B11" s="372"/>
      <c r="C11" s="372"/>
      <c r="D11" s="372"/>
      <c r="E11" s="372"/>
      <c r="F11" s="372"/>
      <c r="G11" s="372"/>
      <c r="H11" s="372"/>
      <c r="I11" s="372"/>
      <c r="J11" s="372"/>
      <c r="K11" s="372"/>
    </row>
    <row r="12" spans="1:14" s="59" customFormat="1" ht="25.5" customHeight="1" thickBot="1" x14ac:dyDescent="0.3">
      <c r="A12" s="55" t="s">
        <v>580</v>
      </c>
      <c r="B12" s="56"/>
      <c r="C12" s="56"/>
      <c r="D12" s="61"/>
      <c r="E12" s="62"/>
      <c r="F12" s="62"/>
      <c r="G12" s="57">
        <f>'[1]пер.Труда 4 корп.1'!$G$34</f>
        <v>104715.87549999999</v>
      </c>
      <c r="H12" s="54"/>
      <c r="I12" s="54"/>
    </row>
    <row r="13" spans="1:14" s="51" customFormat="1" ht="6.75" customHeight="1" x14ac:dyDescent="0.2"/>
    <row r="14" spans="1:14" s="66" customFormat="1" ht="38.25" x14ac:dyDescent="0.25">
      <c r="A14" s="64" t="s">
        <v>11</v>
      </c>
      <c r="B14" s="64" t="s">
        <v>12</v>
      </c>
      <c r="C14" s="64" t="s">
        <v>61</v>
      </c>
      <c r="D14" s="64" t="s">
        <v>432</v>
      </c>
      <c r="E14" s="64" t="s">
        <v>433</v>
      </c>
      <c r="F14" s="65" t="s">
        <v>434</v>
      </c>
      <c r="G14" s="64" t="s">
        <v>435</v>
      </c>
    </row>
    <row r="15" spans="1:14" s="51" customFormat="1" ht="14.25" x14ac:dyDescent="0.2">
      <c r="A15" s="67" t="s">
        <v>14</v>
      </c>
      <c r="B15" s="39" t="s">
        <v>379</v>
      </c>
      <c r="C15" s="87">
        <v>20.66</v>
      </c>
      <c r="D15" s="68">
        <v>126758.52</v>
      </c>
      <c r="E15" s="68">
        <v>119769.02</v>
      </c>
      <c r="F15" s="68">
        <f t="shared" ref="F15:F21" si="0">D15</f>
        <v>126758.52</v>
      </c>
      <c r="G15" s="69">
        <f>D15-E15</f>
        <v>6989.5</v>
      </c>
      <c r="H15" s="70">
        <f>C15</f>
        <v>20.66</v>
      </c>
      <c r="I15" s="71"/>
      <c r="J15" s="71"/>
      <c r="K15" s="71"/>
      <c r="M15" s="70"/>
      <c r="N15" s="72"/>
    </row>
    <row r="16" spans="1:14" s="51" customFormat="1" ht="15" hidden="1" outlineLevel="1" x14ac:dyDescent="0.25">
      <c r="A16" s="73" t="s">
        <v>16</v>
      </c>
      <c r="B16" s="34" t="s">
        <v>17</v>
      </c>
      <c r="C16" s="74">
        <v>3.46</v>
      </c>
      <c r="D16" s="75">
        <f>D15*I16</f>
        <v>21228.677599225557</v>
      </c>
      <c r="E16" s="75">
        <f>E15*I16</f>
        <v>20058.122420135529</v>
      </c>
      <c r="F16" s="75">
        <f t="shared" si="0"/>
        <v>21228.677599225557</v>
      </c>
      <c r="G16" s="76">
        <f>D16-E16</f>
        <v>1170.5551790900281</v>
      </c>
      <c r="H16" s="70">
        <f>C16</f>
        <v>3.46</v>
      </c>
      <c r="I16" s="51">
        <f>H16/H15</f>
        <v>0.16747337850919652</v>
      </c>
    </row>
    <row r="17" spans="1:22" s="51" customFormat="1" ht="15" hidden="1" outlineLevel="1" x14ac:dyDescent="0.25">
      <c r="A17" s="73" t="s">
        <v>18</v>
      </c>
      <c r="B17" s="34" t="s">
        <v>19</v>
      </c>
      <c r="C17" s="74">
        <v>1.69</v>
      </c>
      <c r="D17" s="75">
        <f>D15*I17</f>
        <v>10368.920561471441</v>
      </c>
      <c r="E17" s="75">
        <f>E15*I17</f>
        <v>9797.1754017424973</v>
      </c>
      <c r="F17" s="75">
        <f t="shared" si="0"/>
        <v>10368.920561471441</v>
      </c>
      <c r="G17" s="76">
        <f>D17-E17</f>
        <v>571.74515972894369</v>
      </c>
      <c r="H17" s="70">
        <f>C17</f>
        <v>1.69</v>
      </c>
      <c r="I17" s="51">
        <f>H17/H15</f>
        <v>8.1800580832526615E-2</v>
      </c>
    </row>
    <row r="18" spans="1:22" s="51" customFormat="1" ht="15" hidden="1" outlineLevel="1" x14ac:dyDescent="0.25">
      <c r="A18" s="73" t="s">
        <v>20</v>
      </c>
      <c r="B18" s="34" t="s">
        <v>21</v>
      </c>
      <c r="C18" s="74">
        <v>1.1499999999999999</v>
      </c>
      <c r="D18" s="75">
        <f>D15*I18</f>
        <v>7055.7743465634067</v>
      </c>
      <c r="E18" s="75">
        <f>E15*I18</f>
        <v>6666.7169893514028</v>
      </c>
      <c r="F18" s="75">
        <f t="shared" si="0"/>
        <v>7055.7743465634067</v>
      </c>
      <c r="G18" s="76">
        <f>D18-E18</f>
        <v>389.05735721200381</v>
      </c>
      <c r="H18" s="70">
        <f>C18</f>
        <v>1.1499999999999999</v>
      </c>
      <c r="I18" s="51">
        <f>H18/H15</f>
        <v>5.5663117134559528E-2</v>
      </c>
    </row>
    <row r="19" spans="1:22" s="51" customFormat="1" ht="15" hidden="1" outlineLevel="1" x14ac:dyDescent="0.25">
      <c r="A19" s="73" t="s">
        <v>22</v>
      </c>
      <c r="B19" s="34" t="s">
        <v>23</v>
      </c>
      <c r="C19" s="74">
        <v>3.04</v>
      </c>
      <c r="D19" s="75">
        <f>D15*I19</f>
        <v>18651.78609874153</v>
      </c>
      <c r="E19" s="75">
        <f>E15*I19</f>
        <v>17623.321432720233</v>
      </c>
      <c r="F19" s="75">
        <f t="shared" si="0"/>
        <v>18651.78609874153</v>
      </c>
      <c r="G19" s="76">
        <f>D19-E19</f>
        <v>1028.4646660212966</v>
      </c>
      <c r="H19" s="70">
        <f>C19</f>
        <v>3.04</v>
      </c>
      <c r="I19" s="51">
        <f>H19/H15</f>
        <v>0.14714424007744434</v>
      </c>
    </row>
    <row r="20" spans="1:22" s="81" customFormat="1" ht="14.25" collapsed="1" x14ac:dyDescent="0.2">
      <c r="A20" s="78" t="s">
        <v>25</v>
      </c>
      <c r="B20" s="78" t="s">
        <v>118</v>
      </c>
      <c r="C20" s="43">
        <v>0</v>
      </c>
      <c r="D20" s="79">
        <v>0</v>
      </c>
      <c r="E20" s="79">
        <v>0</v>
      </c>
      <c r="F20" s="79">
        <v>0</v>
      </c>
      <c r="G20" s="69">
        <f t="shared" ref="G20:G30" si="1">D20-E20</f>
        <v>0</v>
      </c>
      <c r="H20" s="80"/>
      <c r="I20" s="80"/>
      <c r="J20" s="80"/>
      <c r="K20" s="80"/>
    </row>
    <row r="21" spans="1:22" s="81" customFormat="1" ht="14.25" x14ac:dyDescent="0.2">
      <c r="A21" s="78" t="s">
        <v>27</v>
      </c>
      <c r="B21" s="78" t="s">
        <v>113</v>
      </c>
      <c r="C21" s="43">
        <v>0</v>
      </c>
      <c r="D21" s="79">
        <v>0</v>
      </c>
      <c r="E21" s="79">
        <v>0</v>
      </c>
      <c r="F21" s="79">
        <f t="shared" si="0"/>
        <v>0</v>
      </c>
      <c r="G21" s="69">
        <f t="shared" si="1"/>
        <v>0</v>
      </c>
      <c r="H21" s="80"/>
      <c r="I21" s="80"/>
      <c r="J21" s="80"/>
      <c r="K21" s="80"/>
    </row>
    <row r="22" spans="1:22" s="81" customFormat="1" ht="14.25" x14ac:dyDescent="0.2">
      <c r="A22" s="78" t="s">
        <v>29</v>
      </c>
      <c r="B22" s="78" t="s">
        <v>139</v>
      </c>
      <c r="C22" s="43">
        <v>0</v>
      </c>
      <c r="D22" s="79">
        <v>0</v>
      </c>
      <c r="E22" s="79">
        <v>0</v>
      </c>
      <c r="F22" s="79">
        <f>D22</f>
        <v>0</v>
      </c>
      <c r="G22" s="69">
        <f t="shared" si="1"/>
        <v>0</v>
      </c>
      <c r="H22" s="80">
        <f>130*115*12</f>
        <v>179400</v>
      </c>
      <c r="I22" s="80"/>
      <c r="J22" s="80"/>
      <c r="K22" s="80"/>
    </row>
    <row r="23" spans="1:22" s="81" customFormat="1" ht="14.25" x14ac:dyDescent="0.2">
      <c r="A23" s="78" t="s">
        <v>31</v>
      </c>
      <c r="B23" s="78" t="s">
        <v>80</v>
      </c>
      <c r="C23" s="86">
        <v>2.04</v>
      </c>
      <c r="D23" s="79">
        <v>13682.04</v>
      </c>
      <c r="E23" s="79">
        <v>12988.13</v>
      </c>
      <c r="F23" s="79">
        <f>F38-F22</f>
        <v>8577.2812999999987</v>
      </c>
      <c r="G23" s="69">
        <f>D23-E23</f>
        <v>693.91000000000167</v>
      </c>
      <c r="H23" s="80"/>
      <c r="I23" s="80"/>
      <c r="J23" s="80"/>
      <c r="K23" s="80"/>
    </row>
    <row r="24" spans="1:22" ht="14.25" x14ac:dyDescent="0.2">
      <c r="A24" s="39" t="s">
        <v>33</v>
      </c>
      <c r="B24" s="39" t="s">
        <v>97</v>
      </c>
      <c r="C24" s="87">
        <v>0</v>
      </c>
      <c r="D24" s="69">
        <v>0</v>
      </c>
      <c r="E24" s="69">
        <v>0</v>
      </c>
      <c r="F24" s="79">
        <f>D24</f>
        <v>0</v>
      </c>
      <c r="G24" s="69">
        <f t="shared" si="1"/>
        <v>0</v>
      </c>
      <c r="H24" s="88"/>
      <c r="I24" s="88"/>
      <c r="J24" s="88"/>
      <c r="K24" s="88"/>
    </row>
    <row r="25" spans="1:22" ht="14.25" x14ac:dyDescent="0.2">
      <c r="A25" s="39" t="s">
        <v>35</v>
      </c>
      <c r="B25" s="39" t="s">
        <v>36</v>
      </c>
      <c r="C25" s="87"/>
      <c r="D25" s="69">
        <f>SUM(D26:D29)</f>
        <v>145810.07999999999</v>
      </c>
      <c r="E25" s="69">
        <f>SUM(E26:E29)</f>
        <v>135747.88</v>
      </c>
      <c r="F25" s="69">
        <f>SUM(F26:F29)</f>
        <v>145810.07999999999</v>
      </c>
      <c r="G25" s="69">
        <f t="shared" si="1"/>
        <v>10062.199999999983</v>
      </c>
      <c r="H25" s="88"/>
      <c r="I25" s="88"/>
      <c r="J25" s="88"/>
      <c r="K25" s="88"/>
    </row>
    <row r="26" spans="1:22" ht="15" x14ac:dyDescent="0.25">
      <c r="A26" s="34" t="s">
        <v>37</v>
      </c>
      <c r="B26" s="34" t="s">
        <v>101</v>
      </c>
      <c r="C26" s="89">
        <v>7.36</v>
      </c>
      <c r="D26" s="76">
        <v>16267.38</v>
      </c>
      <c r="E26" s="76">
        <v>15375.14</v>
      </c>
      <c r="F26" s="76">
        <f>D26</f>
        <v>16267.38</v>
      </c>
      <c r="G26" s="76">
        <f t="shared" si="1"/>
        <v>892.23999999999978</v>
      </c>
    </row>
    <row r="27" spans="1:22" ht="15" x14ac:dyDescent="0.25">
      <c r="A27" s="34" t="s">
        <v>39</v>
      </c>
      <c r="B27" s="34" t="s">
        <v>84</v>
      </c>
      <c r="C27" s="89">
        <v>88.38</v>
      </c>
      <c r="D27" s="76">
        <v>129542.7</v>
      </c>
      <c r="E27" s="76">
        <v>120372.74</v>
      </c>
      <c r="F27" s="76">
        <f>D27</f>
        <v>129542.7</v>
      </c>
      <c r="G27" s="76">
        <f t="shared" si="1"/>
        <v>9169.9599999999919</v>
      </c>
    </row>
    <row r="28" spans="1:22" ht="15" x14ac:dyDescent="0.25">
      <c r="A28" s="34" t="s">
        <v>42</v>
      </c>
      <c r="B28" s="34" t="s">
        <v>135</v>
      </c>
      <c r="C28" s="128">
        <v>0</v>
      </c>
      <c r="D28" s="76">
        <v>0</v>
      </c>
      <c r="E28" s="76">
        <v>0</v>
      </c>
      <c r="F28" s="76">
        <f>D28</f>
        <v>0</v>
      </c>
      <c r="G28" s="76">
        <f t="shared" si="1"/>
        <v>0</v>
      </c>
    </row>
    <row r="29" spans="1:22" ht="15.75" thickBot="1" x14ac:dyDescent="0.3">
      <c r="A29" s="34" t="s">
        <v>41</v>
      </c>
      <c r="B29" s="34" t="s">
        <v>43</v>
      </c>
      <c r="C29" s="128">
        <v>0</v>
      </c>
      <c r="D29" s="76">
        <v>0</v>
      </c>
      <c r="E29" s="76">
        <v>0</v>
      </c>
      <c r="F29" s="76">
        <f>D29</f>
        <v>0</v>
      </c>
      <c r="G29" s="76">
        <f t="shared" si="1"/>
        <v>0</v>
      </c>
    </row>
    <row r="30" spans="1:22" ht="14.25" hidden="1" outlineLevel="1" x14ac:dyDescent="0.2">
      <c r="A30" s="286" t="s">
        <v>112</v>
      </c>
      <c r="B30" s="300" t="s">
        <v>140</v>
      </c>
      <c r="C30" s="298"/>
      <c r="D30" s="248">
        <v>1800</v>
      </c>
      <c r="E30" s="248">
        <v>1800</v>
      </c>
      <c r="F30" s="248">
        <v>0</v>
      </c>
      <c r="G30" s="248">
        <f t="shared" si="1"/>
        <v>0</v>
      </c>
      <c r="L30" s="106"/>
      <c r="M30" s="106"/>
      <c r="N30" s="106"/>
      <c r="O30" s="106"/>
      <c r="P30" s="106"/>
      <c r="Q30" s="106"/>
      <c r="R30" s="106"/>
      <c r="S30" s="106"/>
      <c r="T30" s="106"/>
      <c r="U30" s="106"/>
      <c r="V30" s="106"/>
    </row>
    <row r="31" spans="1:22" s="92" customFormat="1" ht="21.75" hidden="1" customHeight="1" outlineLevel="1" thickBot="1" x14ac:dyDescent="0.3">
      <c r="A31" s="153"/>
      <c r="B31" s="301"/>
      <c r="C31" s="376" t="s">
        <v>246</v>
      </c>
      <c r="D31" s="377"/>
      <c r="E31" s="377"/>
      <c r="F31" s="377"/>
      <c r="G31" s="82">
        <f>E30-(E30*15%)</f>
        <v>1530</v>
      </c>
      <c r="H31" s="91"/>
      <c r="I31" s="91"/>
      <c r="L31" s="286"/>
      <c r="M31" s="301"/>
      <c r="N31" s="313"/>
      <c r="O31" s="314"/>
      <c r="P31" s="314"/>
      <c r="Q31" s="314"/>
      <c r="R31" s="314"/>
      <c r="S31" s="315"/>
      <c r="T31" s="315"/>
      <c r="U31" s="315"/>
      <c r="V31" s="315"/>
    </row>
    <row r="32" spans="1:22" s="59" customFormat="1" ht="15.75" collapsed="1" thickBot="1" x14ac:dyDescent="0.3">
      <c r="A32" s="387" t="s">
        <v>427</v>
      </c>
      <c r="B32" s="388"/>
      <c r="C32" s="388"/>
      <c r="D32" s="57">
        <v>17745.61</v>
      </c>
      <c r="E32" s="58"/>
      <c r="F32" s="58"/>
      <c r="G32" s="58"/>
      <c r="H32" s="54"/>
      <c r="I32" s="54"/>
      <c r="L32" s="153"/>
      <c r="M32" s="301"/>
      <c r="N32" s="569"/>
      <c r="O32" s="570"/>
      <c r="P32" s="570"/>
      <c r="Q32" s="570"/>
      <c r="R32" s="197"/>
      <c r="S32" s="284"/>
      <c r="T32" s="284"/>
      <c r="U32" s="284"/>
      <c r="V32" s="284"/>
    </row>
    <row r="33" spans="1:12" s="59" customFormat="1" ht="6" customHeight="1" thickBot="1" x14ac:dyDescent="0.3">
      <c r="A33" s="60"/>
      <c r="B33" s="60"/>
      <c r="C33" s="60"/>
      <c r="D33" s="38"/>
      <c r="E33" s="58"/>
      <c r="F33" s="58"/>
      <c r="G33" s="58"/>
      <c r="H33" s="54"/>
      <c r="I33" s="54"/>
    </row>
    <row r="34" spans="1:12" s="59" customFormat="1" ht="15.75" thickBot="1" x14ac:dyDescent="0.3">
      <c r="A34" s="55" t="s">
        <v>428</v>
      </c>
      <c r="B34" s="56"/>
      <c r="C34" s="56"/>
      <c r="D34" s="61"/>
      <c r="E34" s="62"/>
      <c r="F34" s="62"/>
      <c r="G34" s="129">
        <f>G12+E23-F23</f>
        <v>109126.7242</v>
      </c>
      <c r="H34" s="54"/>
      <c r="I34" s="54"/>
    </row>
    <row r="35" spans="1:12" ht="31.5" customHeight="1" x14ac:dyDescent="0.2">
      <c r="A35" s="371" t="s">
        <v>106</v>
      </c>
      <c r="B35" s="371"/>
      <c r="C35" s="371"/>
      <c r="D35" s="371"/>
      <c r="E35" s="371"/>
      <c r="F35" s="371"/>
      <c r="G35" s="371"/>
      <c r="H35" s="371"/>
      <c r="I35" s="371"/>
      <c r="J35" s="371"/>
      <c r="K35" s="371"/>
    </row>
    <row r="37" spans="1:12" s="66" customFormat="1" ht="37.5" customHeight="1" x14ac:dyDescent="0.2">
      <c r="A37" s="94" t="s">
        <v>11</v>
      </c>
      <c r="B37" s="416" t="s">
        <v>45</v>
      </c>
      <c r="C37" s="425"/>
      <c r="D37" s="94" t="s">
        <v>99</v>
      </c>
      <c r="E37" s="94" t="s">
        <v>98</v>
      </c>
      <c r="F37" s="416" t="s">
        <v>46</v>
      </c>
      <c r="G37" s="425"/>
      <c r="H37" s="207"/>
      <c r="I37" s="208"/>
      <c r="L37" s="97"/>
    </row>
    <row r="38" spans="1:12" s="103" customFormat="1" ht="15" customHeight="1" x14ac:dyDescent="0.25">
      <c r="A38" s="98" t="s">
        <v>47</v>
      </c>
      <c r="B38" s="418" t="s">
        <v>75</v>
      </c>
      <c r="C38" s="430"/>
      <c r="D38" s="99"/>
      <c r="E38" s="99"/>
      <c r="F38" s="436">
        <f>SUM(F39:G42)</f>
        <v>8577.2812999999987</v>
      </c>
      <c r="G38" s="424"/>
      <c r="H38" s="209"/>
      <c r="I38" s="210"/>
      <c r="L38" s="104"/>
    </row>
    <row r="39" spans="1:12" ht="15" x14ac:dyDescent="0.25">
      <c r="A39" s="34" t="s">
        <v>16</v>
      </c>
      <c r="B39" s="406" t="s">
        <v>411</v>
      </c>
      <c r="C39" s="407"/>
      <c r="D39" s="176" t="s">
        <v>137</v>
      </c>
      <c r="E39" s="176">
        <v>1.7999999999999999E-2</v>
      </c>
      <c r="F39" s="435">
        <v>8447.4</v>
      </c>
      <c r="G39" s="435"/>
      <c r="H39" s="211"/>
      <c r="I39" s="212"/>
      <c r="L39" s="106"/>
    </row>
    <row r="40" spans="1:12" ht="15" x14ac:dyDescent="0.25">
      <c r="A40" s="34" t="s">
        <v>18</v>
      </c>
      <c r="B40" s="406"/>
      <c r="C40" s="431"/>
      <c r="D40" s="105"/>
      <c r="E40" s="105"/>
      <c r="F40" s="466"/>
      <c r="G40" s="467"/>
      <c r="H40" s="38"/>
      <c r="I40" s="38"/>
      <c r="L40" s="106"/>
    </row>
    <row r="41" spans="1:12" ht="15" x14ac:dyDescent="0.25">
      <c r="A41" s="34" t="s">
        <v>20</v>
      </c>
      <c r="B41" s="406"/>
      <c r="C41" s="431"/>
      <c r="D41" s="105"/>
      <c r="E41" s="105"/>
      <c r="F41" s="466"/>
      <c r="G41" s="467"/>
      <c r="H41" s="38"/>
      <c r="I41" s="38"/>
      <c r="L41" s="106"/>
    </row>
    <row r="42" spans="1:12" s="59" customFormat="1" ht="15" x14ac:dyDescent="0.25">
      <c r="A42" s="34" t="s">
        <v>22</v>
      </c>
      <c r="B42" s="458" t="s">
        <v>108</v>
      </c>
      <c r="C42" s="459"/>
      <c r="D42" s="108"/>
      <c r="E42" s="108"/>
      <c r="F42" s="435">
        <f>E23*1%</f>
        <v>129.88129999999998</v>
      </c>
      <c r="G42" s="435"/>
      <c r="H42" s="51"/>
      <c r="I42" s="51"/>
      <c r="J42" s="51"/>
      <c r="K42" s="51"/>
    </row>
    <row r="43" spans="1:12" s="51" customFormat="1" ht="9" customHeight="1" x14ac:dyDescent="0.2"/>
    <row r="44" spans="1:12" s="51" customFormat="1" ht="15" x14ac:dyDescent="0.25">
      <c r="A44" s="51" t="s">
        <v>372</v>
      </c>
      <c r="B44" s="59"/>
      <c r="C44" s="110" t="s">
        <v>49</v>
      </c>
      <c r="D44" s="59"/>
      <c r="E44" s="59"/>
      <c r="F44" s="59" t="s">
        <v>60</v>
      </c>
      <c r="G44" s="59"/>
      <c r="H44" s="59"/>
      <c r="I44" s="59"/>
      <c r="J44" s="59"/>
      <c r="K44" s="59"/>
    </row>
    <row r="45" spans="1:12" s="51" customFormat="1" ht="15" x14ac:dyDescent="0.25">
      <c r="A45" s="59"/>
      <c r="B45" s="59"/>
      <c r="C45" s="110"/>
      <c r="D45" s="59"/>
      <c r="E45" s="59"/>
      <c r="F45" s="111" t="s">
        <v>438</v>
      </c>
      <c r="G45" s="59"/>
    </row>
    <row r="46" spans="1:12" s="51" customFormat="1" ht="15" x14ac:dyDescent="0.25">
      <c r="A46" s="59" t="s">
        <v>50</v>
      </c>
      <c r="B46" s="59"/>
      <c r="C46" s="110"/>
      <c r="D46" s="59"/>
      <c r="E46" s="59"/>
      <c r="F46" s="59"/>
      <c r="G46" s="59"/>
      <c r="H46" s="141"/>
      <c r="I46" s="141"/>
      <c r="J46" s="141"/>
    </row>
    <row r="47" spans="1:12" ht="15" x14ac:dyDescent="0.25">
      <c r="A47" s="59"/>
      <c r="B47" s="59"/>
      <c r="C47" s="112" t="s">
        <v>51</v>
      </c>
      <c r="D47" s="59"/>
      <c r="E47" s="113"/>
      <c r="F47" s="113"/>
      <c r="G47" s="113"/>
      <c r="H47" s="51"/>
      <c r="I47" s="51"/>
      <c r="J47" s="51"/>
      <c r="K47" s="51"/>
    </row>
    <row r="48" spans="1:12" x14ac:dyDescent="0.2">
      <c r="A48" s="51"/>
      <c r="B48" s="51"/>
      <c r="C48" s="51"/>
      <c r="D48" s="51"/>
      <c r="E48" s="51"/>
      <c r="F48" s="51"/>
      <c r="G48" s="51"/>
      <c r="H48" s="51"/>
      <c r="I48" s="51"/>
      <c r="J48" s="51"/>
      <c r="K48" s="51"/>
    </row>
  </sheetData>
  <mergeCells count="23">
    <mergeCell ref="F37:G37"/>
    <mergeCell ref="B42:C42"/>
    <mergeCell ref="F42:G42"/>
    <mergeCell ref="B38:C38"/>
    <mergeCell ref="F38:G38"/>
    <mergeCell ref="B39:C39"/>
    <mergeCell ref="N32:Q32"/>
    <mergeCell ref="A32:C32"/>
    <mergeCell ref="F39:G39"/>
    <mergeCell ref="B40:C40"/>
    <mergeCell ref="B41:C41"/>
    <mergeCell ref="C31:F31"/>
    <mergeCell ref="F40:G40"/>
    <mergeCell ref="F41:G41"/>
    <mergeCell ref="A35:K35"/>
    <mergeCell ref="B37:C37"/>
    <mergeCell ref="A11:K11"/>
    <mergeCell ref="A1:K1"/>
    <mergeCell ref="A5:K5"/>
    <mergeCell ref="A9:K9"/>
    <mergeCell ref="A10:K10"/>
    <mergeCell ref="A2:L2"/>
    <mergeCell ref="A3:L3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31CCA7-D1BA-46A3-B355-C34131C6EE2A}">
  <sheetPr>
    <tabColor rgb="FF7030A0"/>
  </sheetPr>
  <dimension ref="A1:N53"/>
  <sheetViews>
    <sheetView topLeftCell="A31" workbookViewId="0">
      <selection activeCell="A57" sqref="A57:IV58"/>
    </sheetView>
  </sheetViews>
  <sheetFormatPr defaultRowHeight="12.75" outlineLevelRow="1" outlineLevelCol="1" x14ac:dyDescent="0.2"/>
  <cols>
    <col min="1" max="1" width="6" style="49" customWidth="1"/>
    <col min="2" max="2" width="48.140625" style="49" customWidth="1"/>
    <col min="3" max="3" width="14" style="49" customWidth="1"/>
    <col min="4" max="4" width="14.85546875" style="49" customWidth="1"/>
    <col min="5" max="6" width="13.28515625" style="49" customWidth="1"/>
    <col min="7" max="7" width="14.5703125" style="49" customWidth="1"/>
    <col min="8" max="9" width="11.5703125" style="49" hidden="1" customWidth="1" outlineLevel="1"/>
    <col min="10" max="10" width="10.140625" style="49" hidden="1" customWidth="1" outlineLevel="1"/>
    <col min="11" max="11" width="10.42578125" style="49" hidden="1" customWidth="1" outlineLevel="1"/>
    <col min="12" max="12" width="9.140625" style="49" collapsed="1"/>
    <col min="13" max="13" width="10" style="49" bestFit="1" customWidth="1"/>
    <col min="14" max="14" width="15.85546875" style="49" customWidth="1"/>
    <col min="15" max="16384" width="9.140625" style="49"/>
  </cols>
  <sheetData>
    <row r="1" spans="1:12" x14ac:dyDescent="0.2">
      <c r="A1" s="370" t="s">
        <v>0</v>
      </c>
      <c r="B1" s="370"/>
      <c r="C1" s="370"/>
      <c r="D1" s="370"/>
      <c r="E1" s="370"/>
      <c r="F1" s="370"/>
      <c r="G1" s="370"/>
      <c r="H1" s="370"/>
      <c r="I1" s="370"/>
      <c r="J1" s="370"/>
      <c r="K1" s="370"/>
    </row>
    <row r="2" spans="1:12" ht="12.75" customHeight="1" x14ac:dyDescent="0.2">
      <c r="A2" s="370" t="s">
        <v>152</v>
      </c>
      <c r="B2" s="370"/>
      <c r="C2" s="370"/>
      <c r="D2" s="370"/>
      <c r="E2" s="370"/>
      <c r="F2" s="370"/>
      <c r="G2" s="370"/>
      <c r="H2" s="370"/>
      <c r="I2" s="370"/>
      <c r="J2" s="370"/>
      <c r="K2" s="370"/>
      <c r="L2" s="370"/>
    </row>
    <row r="3" spans="1:12" ht="13.5" customHeight="1" x14ac:dyDescent="0.2">
      <c r="A3" s="370" t="s">
        <v>426</v>
      </c>
      <c r="B3" s="370"/>
      <c r="C3" s="370"/>
      <c r="D3" s="370"/>
      <c r="E3" s="370"/>
      <c r="F3" s="370"/>
      <c r="G3" s="370"/>
      <c r="H3" s="370"/>
      <c r="I3" s="370"/>
      <c r="J3" s="370"/>
      <c r="K3" s="370"/>
      <c r="L3" s="370"/>
    </row>
    <row r="4" spans="1:12" ht="9" customHeight="1" x14ac:dyDescent="0.2">
      <c r="A4" s="48"/>
      <c r="B4" s="48"/>
      <c r="C4" s="48"/>
      <c r="D4" s="48"/>
      <c r="E4" s="48"/>
      <c r="F4" s="48"/>
      <c r="G4" s="48"/>
      <c r="H4" s="48"/>
      <c r="I4" s="48"/>
      <c r="J4" s="48"/>
      <c r="K4" s="48"/>
    </row>
    <row r="5" spans="1:12" ht="16.5" customHeight="1" x14ac:dyDescent="0.2">
      <c r="A5" s="371" t="s">
        <v>1</v>
      </c>
      <c r="B5" s="370"/>
      <c r="C5" s="370"/>
      <c r="D5" s="370"/>
      <c r="E5" s="370"/>
      <c r="F5" s="370"/>
      <c r="G5" s="370"/>
      <c r="H5" s="370"/>
      <c r="I5" s="370"/>
      <c r="J5" s="370"/>
      <c r="K5" s="370"/>
    </row>
    <row r="7" spans="1:12" s="51" customFormat="1" ht="16.5" customHeight="1" x14ac:dyDescent="0.2">
      <c r="A7" s="51" t="s">
        <v>2</v>
      </c>
      <c r="F7" s="52" t="s">
        <v>358</v>
      </c>
      <c r="H7" s="52"/>
    </row>
    <row r="8" spans="1:12" s="51" customFormat="1" x14ac:dyDescent="0.2">
      <c r="A8" s="51" t="s">
        <v>3</v>
      </c>
      <c r="F8" s="242" t="s">
        <v>359</v>
      </c>
      <c r="H8" s="231">
        <v>60.3</v>
      </c>
      <c r="I8" s="51">
        <f>J8-H8</f>
        <v>280.89999999999998</v>
      </c>
      <c r="J8" s="276">
        <v>341.2</v>
      </c>
    </row>
    <row r="9" spans="1:12" s="51" customFormat="1" x14ac:dyDescent="0.2">
      <c r="B9" s="51" t="s">
        <v>252</v>
      </c>
      <c r="F9" s="242" t="s">
        <v>360</v>
      </c>
      <c r="H9" s="231"/>
      <c r="J9" s="276"/>
    </row>
    <row r="10" spans="1:12" s="51" customFormat="1" x14ac:dyDescent="0.2">
      <c r="A10" s="372" t="s">
        <v>8</v>
      </c>
      <c r="B10" s="372"/>
      <c r="C10" s="372"/>
      <c r="D10" s="372"/>
      <c r="E10" s="372"/>
      <c r="F10" s="372"/>
      <c r="G10" s="372"/>
      <c r="H10" s="372"/>
      <c r="I10" s="372"/>
      <c r="J10" s="372"/>
      <c r="K10" s="372"/>
    </row>
    <row r="11" spans="1:12" s="51" customFormat="1" x14ac:dyDescent="0.2">
      <c r="A11" s="372" t="s">
        <v>9</v>
      </c>
      <c r="B11" s="372"/>
      <c r="C11" s="372"/>
      <c r="D11" s="372"/>
      <c r="E11" s="372"/>
      <c r="F11" s="372"/>
      <c r="G11" s="372"/>
      <c r="H11" s="372"/>
      <c r="I11" s="372"/>
      <c r="J11" s="372"/>
      <c r="K11" s="372"/>
    </row>
    <row r="12" spans="1:12" s="51" customFormat="1" x14ac:dyDescent="0.2">
      <c r="A12" s="372" t="s">
        <v>10</v>
      </c>
      <c r="B12" s="372"/>
      <c r="C12" s="372"/>
      <c r="D12" s="372"/>
      <c r="E12" s="372"/>
      <c r="F12" s="372"/>
      <c r="G12" s="372"/>
      <c r="H12" s="372"/>
      <c r="I12" s="372"/>
      <c r="J12" s="372"/>
      <c r="K12" s="372"/>
    </row>
    <row r="13" spans="1:12" s="59" customFormat="1" ht="6" customHeight="1" thickBot="1" x14ac:dyDescent="0.3">
      <c r="A13" s="60"/>
      <c r="B13" s="60"/>
      <c r="C13" s="60"/>
      <c r="D13" s="38"/>
      <c r="E13" s="58"/>
      <c r="F13" s="58"/>
      <c r="G13" s="58"/>
      <c r="H13" s="54"/>
      <c r="I13" s="54"/>
    </row>
    <row r="14" spans="1:12" s="59" customFormat="1" ht="15.75" thickBot="1" x14ac:dyDescent="0.3">
      <c r="A14" s="55" t="s">
        <v>580</v>
      </c>
      <c r="B14" s="56"/>
      <c r="C14" s="56"/>
      <c r="D14" s="61"/>
      <c r="E14" s="62"/>
      <c r="F14" s="62"/>
      <c r="G14" s="57">
        <f>'[1]Воронина 21'!$G$36</f>
        <v>37971.960499999994</v>
      </c>
      <c r="H14" s="54"/>
      <c r="I14" s="54"/>
    </row>
    <row r="15" spans="1:12" s="51" customFormat="1" ht="6.75" customHeight="1" x14ac:dyDescent="0.2"/>
    <row r="16" spans="1:12" s="66" customFormat="1" ht="38.25" x14ac:dyDescent="0.25">
      <c r="A16" s="64" t="s">
        <v>11</v>
      </c>
      <c r="B16" s="64" t="s">
        <v>12</v>
      </c>
      <c r="C16" s="64" t="s">
        <v>61</v>
      </c>
      <c r="D16" s="64" t="s">
        <v>432</v>
      </c>
      <c r="E16" s="64" t="s">
        <v>433</v>
      </c>
      <c r="F16" s="65" t="s">
        <v>434</v>
      </c>
      <c r="G16" s="64" t="s">
        <v>435</v>
      </c>
    </row>
    <row r="17" spans="1:14" s="51" customFormat="1" ht="14.25" x14ac:dyDescent="0.2">
      <c r="A17" s="67" t="s">
        <v>14</v>
      </c>
      <c r="B17" s="39" t="s">
        <v>379</v>
      </c>
      <c r="C17" s="87">
        <v>20.66</v>
      </c>
      <c r="D17" s="68">
        <v>63708.12</v>
      </c>
      <c r="E17" s="68">
        <v>61458.77</v>
      </c>
      <c r="F17" s="68">
        <f t="shared" ref="F17:F24" si="0">D17</f>
        <v>63708.12</v>
      </c>
      <c r="G17" s="69">
        <f>D17-E17</f>
        <v>2249.3500000000058</v>
      </c>
      <c r="H17" s="70">
        <f>C17</f>
        <v>20.66</v>
      </c>
      <c r="I17" s="71"/>
      <c r="J17" s="71"/>
      <c r="K17" s="71"/>
      <c r="M17" s="70"/>
      <c r="N17" s="72"/>
    </row>
    <row r="18" spans="1:14" s="51" customFormat="1" ht="15" hidden="1" outlineLevel="1" x14ac:dyDescent="0.25">
      <c r="A18" s="73" t="s">
        <v>16</v>
      </c>
      <c r="B18" s="34" t="s">
        <v>17</v>
      </c>
      <c r="C18" s="74">
        <v>3.46</v>
      </c>
      <c r="D18" s="75">
        <f>D17*I18</f>
        <v>10669.414094869313</v>
      </c>
      <c r="E18" s="75">
        <f>E17*I18</f>
        <v>10292.707850919651</v>
      </c>
      <c r="F18" s="75">
        <f t="shared" si="0"/>
        <v>10669.414094869313</v>
      </c>
      <c r="G18" s="76">
        <f>D18-E18</f>
        <v>376.70624394966217</v>
      </c>
      <c r="H18" s="70">
        <f>C18</f>
        <v>3.46</v>
      </c>
      <c r="I18" s="51">
        <f>H18/H17</f>
        <v>0.16747337850919652</v>
      </c>
    </row>
    <row r="19" spans="1:14" s="51" customFormat="1" ht="15" hidden="1" outlineLevel="1" x14ac:dyDescent="0.25">
      <c r="A19" s="73" t="s">
        <v>18</v>
      </c>
      <c r="B19" s="34" t="s">
        <v>19</v>
      </c>
      <c r="C19" s="74">
        <v>1.69</v>
      </c>
      <c r="D19" s="75">
        <f>D17*I19</f>
        <v>5211.3612197483053</v>
      </c>
      <c r="E19" s="75">
        <f>E17*I19</f>
        <v>5027.3630832526615</v>
      </c>
      <c r="F19" s="75">
        <f t="shared" si="0"/>
        <v>5211.3612197483053</v>
      </c>
      <c r="G19" s="76">
        <f>D19-E19</f>
        <v>183.99813649564385</v>
      </c>
      <c r="H19" s="70">
        <f>C19</f>
        <v>1.69</v>
      </c>
      <c r="I19" s="51">
        <f>H19/H17</f>
        <v>8.1800580832526615E-2</v>
      </c>
    </row>
    <row r="20" spans="1:14" s="51" customFormat="1" ht="15" hidden="1" outlineLevel="1" x14ac:dyDescent="0.25">
      <c r="A20" s="73" t="s">
        <v>20</v>
      </c>
      <c r="B20" s="34" t="s">
        <v>21</v>
      </c>
      <c r="C20" s="74">
        <v>1.69</v>
      </c>
      <c r="D20" s="75">
        <f>D17*I20</f>
        <v>5211.3612197483053</v>
      </c>
      <c r="E20" s="75">
        <f>E17*I20</f>
        <v>5027.3630832526615</v>
      </c>
      <c r="F20" s="75">
        <f t="shared" si="0"/>
        <v>5211.3612197483053</v>
      </c>
      <c r="G20" s="76">
        <f>D20-E20</f>
        <v>183.99813649564385</v>
      </c>
      <c r="H20" s="70">
        <f>C20</f>
        <v>1.69</v>
      </c>
      <c r="I20" s="51">
        <f>H20/H17</f>
        <v>8.1800580832526615E-2</v>
      </c>
    </row>
    <row r="21" spans="1:14" s="51" customFormat="1" ht="15" hidden="1" outlineLevel="1" x14ac:dyDescent="0.25">
      <c r="A21" s="73" t="s">
        <v>22</v>
      </c>
      <c r="B21" s="34" t="s">
        <v>23</v>
      </c>
      <c r="C21" s="74">
        <v>3.04</v>
      </c>
      <c r="D21" s="75">
        <f>D17*I21</f>
        <v>9374.2829041626337</v>
      </c>
      <c r="E21" s="75">
        <f>E17*I21</f>
        <v>9043.304007744433</v>
      </c>
      <c r="F21" s="75">
        <f t="shared" si="0"/>
        <v>9374.2829041626337</v>
      </c>
      <c r="G21" s="76">
        <f>D21-E21</f>
        <v>330.97889641820075</v>
      </c>
      <c r="H21" s="70">
        <f>C21</f>
        <v>3.04</v>
      </c>
      <c r="I21" s="51">
        <f>H21/H17</f>
        <v>0.14714424007744434</v>
      </c>
    </row>
    <row r="22" spans="1:14" s="81" customFormat="1" ht="14.25" collapsed="1" x14ac:dyDescent="0.2">
      <c r="A22" s="78" t="s">
        <v>25</v>
      </c>
      <c r="B22" s="78" t="s">
        <v>118</v>
      </c>
      <c r="C22" s="43">
        <v>0</v>
      </c>
      <c r="D22" s="79">
        <v>0</v>
      </c>
      <c r="E22" s="79">
        <v>0</v>
      </c>
      <c r="F22" s="79">
        <v>0</v>
      </c>
      <c r="G22" s="69">
        <f t="shared" ref="G22:G32" si="1">D22-E22</f>
        <v>0</v>
      </c>
      <c r="H22" s="80"/>
      <c r="I22" s="80"/>
      <c r="J22" s="80"/>
      <c r="K22" s="80"/>
    </row>
    <row r="23" spans="1:14" s="81" customFormat="1" ht="14.25" x14ac:dyDescent="0.2">
      <c r="A23" s="78" t="s">
        <v>27</v>
      </c>
      <c r="B23" s="78" t="s">
        <v>138</v>
      </c>
      <c r="C23" s="43">
        <v>0</v>
      </c>
      <c r="D23" s="79">
        <v>0</v>
      </c>
      <c r="E23" s="79">
        <v>0</v>
      </c>
      <c r="F23" s="79">
        <f t="shared" si="0"/>
        <v>0</v>
      </c>
      <c r="G23" s="69">
        <f t="shared" si="1"/>
        <v>0</v>
      </c>
      <c r="H23" s="80"/>
      <c r="I23" s="80"/>
      <c r="J23" s="80"/>
      <c r="K23" s="80"/>
    </row>
    <row r="24" spans="1:14" s="81" customFormat="1" ht="14.25" x14ac:dyDescent="0.2">
      <c r="A24" s="78" t="s">
        <v>29</v>
      </c>
      <c r="B24" s="78" t="s">
        <v>30</v>
      </c>
      <c r="C24" s="43">
        <v>0</v>
      </c>
      <c r="D24" s="79">
        <v>0</v>
      </c>
      <c r="E24" s="79">
        <v>0</v>
      </c>
      <c r="F24" s="79">
        <f t="shared" si="0"/>
        <v>0</v>
      </c>
      <c r="G24" s="69">
        <f t="shared" si="1"/>
        <v>0</v>
      </c>
      <c r="H24" s="80"/>
      <c r="I24" s="80"/>
      <c r="J24" s="80"/>
      <c r="K24" s="80"/>
    </row>
    <row r="25" spans="1:14" s="81" customFormat="1" ht="14.25" x14ac:dyDescent="0.2">
      <c r="A25" s="78" t="s">
        <v>31</v>
      </c>
      <c r="B25" s="78" t="s">
        <v>80</v>
      </c>
      <c r="C25" s="86">
        <v>2.04</v>
      </c>
      <c r="D25" s="79">
        <f>6876.36+D26</f>
        <v>8352.5</v>
      </c>
      <c r="E25" s="79">
        <f>6637.24+E26</f>
        <v>8113.38</v>
      </c>
      <c r="F25" s="79">
        <f>F43</f>
        <v>81.133800000000008</v>
      </c>
      <c r="G25" s="69">
        <f t="shared" si="1"/>
        <v>239.11999999999989</v>
      </c>
      <c r="H25" s="80"/>
      <c r="I25" s="80"/>
      <c r="J25" s="80"/>
      <c r="K25" s="80"/>
    </row>
    <row r="26" spans="1:14" s="81" customFormat="1" ht="14.25" x14ac:dyDescent="0.2">
      <c r="A26" s="78"/>
      <c r="B26" s="292" t="s">
        <v>244</v>
      </c>
      <c r="C26" s="293"/>
      <c r="D26" s="294">
        <v>1476.14</v>
      </c>
      <c r="E26" s="294">
        <v>1476.14</v>
      </c>
      <c r="F26" s="294"/>
      <c r="G26" s="248">
        <f>D26-E26</f>
        <v>0</v>
      </c>
      <c r="H26" s="80"/>
      <c r="I26" s="80"/>
      <c r="J26" s="80"/>
      <c r="K26" s="80"/>
    </row>
    <row r="27" spans="1:14" ht="14.25" x14ac:dyDescent="0.2">
      <c r="A27" s="39" t="s">
        <v>33</v>
      </c>
      <c r="B27" s="39" t="s">
        <v>97</v>
      </c>
      <c r="C27" s="87">
        <v>0</v>
      </c>
      <c r="D27" s="82">
        <v>0</v>
      </c>
      <c r="E27" s="82">
        <v>0</v>
      </c>
      <c r="F27" s="82">
        <f>D27</f>
        <v>0</v>
      </c>
      <c r="G27" s="69">
        <f t="shared" si="1"/>
        <v>0</v>
      </c>
      <c r="H27" s="88"/>
      <c r="I27" s="88"/>
      <c r="J27" s="88"/>
      <c r="K27" s="88"/>
    </row>
    <row r="28" spans="1:14" ht="14.25" x14ac:dyDescent="0.2">
      <c r="A28" s="39" t="s">
        <v>35</v>
      </c>
      <c r="B28" s="39" t="s">
        <v>36</v>
      </c>
      <c r="C28" s="87"/>
      <c r="D28" s="69">
        <f>SUM(D29:D32)</f>
        <v>64607.27</v>
      </c>
      <c r="E28" s="69">
        <f>SUM(E29:E32)</f>
        <v>62778.100000000006</v>
      </c>
      <c r="F28" s="69">
        <f>SUM(F29:F32)</f>
        <v>64607.27</v>
      </c>
      <c r="G28" s="69">
        <f t="shared" si="1"/>
        <v>1829.169999999991</v>
      </c>
      <c r="H28" s="88"/>
      <c r="I28" s="88"/>
      <c r="J28" s="88"/>
      <c r="K28" s="88"/>
    </row>
    <row r="29" spans="1:14" ht="15" x14ac:dyDescent="0.25">
      <c r="A29" s="34" t="s">
        <v>37</v>
      </c>
      <c r="B29" s="34" t="s">
        <v>101</v>
      </c>
      <c r="C29" s="89">
        <v>7.36</v>
      </c>
      <c r="D29" s="76">
        <v>8686.32</v>
      </c>
      <c r="E29" s="76">
        <v>8172.55</v>
      </c>
      <c r="F29" s="76">
        <f>D29</f>
        <v>8686.32</v>
      </c>
      <c r="G29" s="76">
        <f t="shared" si="1"/>
        <v>513.76999999999953</v>
      </c>
    </row>
    <row r="30" spans="1:14" ht="15" x14ac:dyDescent="0.25">
      <c r="A30" s="34" t="s">
        <v>39</v>
      </c>
      <c r="B30" s="34" t="s">
        <v>84</v>
      </c>
      <c r="C30" s="89">
        <v>88.38</v>
      </c>
      <c r="D30" s="76">
        <v>55920.95</v>
      </c>
      <c r="E30" s="76">
        <v>54605.55</v>
      </c>
      <c r="F30" s="76">
        <f>D30</f>
        <v>55920.95</v>
      </c>
      <c r="G30" s="76">
        <f t="shared" si="1"/>
        <v>1315.3999999999942</v>
      </c>
    </row>
    <row r="31" spans="1:14" ht="15" x14ac:dyDescent="0.25">
      <c r="A31" s="34" t="s">
        <v>42</v>
      </c>
      <c r="B31" s="34" t="s">
        <v>135</v>
      </c>
      <c r="C31" s="128">
        <v>0</v>
      </c>
      <c r="D31" s="188">
        <v>0</v>
      </c>
      <c r="E31" s="188">
        <v>0</v>
      </c>
      <c r="F31" s="76">
        <f>D31</f>
        <v>0</v>
      </c>
      <c r="G31" s="76">
        <f t="shared" si="1"/>
        <v>0</v>
      </c>
    </row>
    <row r="32" spans="1:14" ht="15" x14ac:dyDescent="0.25">
      <c r="A32" s="34" t="s">
        <v>41</v>
      </c>
      <c r="B32" s="34" t="s">
        <v>43</v>
      </c>
      <c r="C32" s="89">
        <v>0</v>
      </c>
      <c r="D32" s="76">
        <v>0</v>
      </c>
      <c r="E32" s="76">
        <v>0</v>
      </c>
      <c r="F32" s="76">
        <f>D32</f>
        <v>0</v>
      </c>
      <c r="G32" s="76">
        <f t="shared" si="1"/>
        <v>0</v>
      </c>
    </row>
    <row r="33" spans="1:12" s="92" customFormat="1" ht="7.5" customHeight="1" thickBot="1" x14ac:dyDescent="0.3">
      <c r="A33" s="90"/>
      <c r="B33" s="90"/>
      <c r="C33" s="90"/>
      <c r="D33" s="91"/>
      <c r="E33" s="91"/>
      <c r="F33" s="91"/>
      <c r="G33" s="91"/>
      <c r="H33" s="91"/>
      <c r="I33" s="91"/>
    </row>
    <row r="34" spans="1:12" s="59" customFormat="1" ht="15.75" thickBot="1" x14ac:dyDescent="0.3">
      <c r="A34" s="387" t="s">
        <v>427</v>
      </c>
      <c r="B34" s="388"/>
      <c r="C34" s="388"/>
      <c r="D34" s="57">
        <v>4317.6400000000003</v>
      </c>
      <c r="E34" s="58"/>
      <c r="F34" s="58"/>
      <c r="G34" s="58"/>
      <c r="H34" s="54"/>
      <c r="I34" s="54"/>
    </row>
    <row r="35" spans="1:12" s="59" customFormat="1" ht="6" customHeight="1" thickBot="1" x14ac:dyDescent="0.3">
      <c r="A35" s="60"/>
      <c r="B35" s="60"/>
      <c r="C35" s="60"/>
      <c r="D35" s="38"/>
      <c r="E35" s="58"/>
      <c r="F35" s="58"/>
      <c r="G35" s="58"/>
      <c r="H35" s="54"/>
      <c r="I35" s="54"/>
    </row>
    <row r="36" spans="1:12" s="59" customFormat="1" ht="15.75" thickBot="1" x14ac:dyDescent="0.3">
      <c r="A36" s="55" t="s">
        <v>428</v>
      </c>
      <c r="B36" s="56"/>
      <c r="C36" s="56"/>
      <c r="D36" s="61"/>
      <c r="E36" s="62"/>
      <c r="F36" s="62"/>
      <c r="G36" s="129">
        <f>G14+E25-F25</f>
        <v>46004.206699999988</v>
      </c>
      <c r="H36" s="54"/>
      <c r="I36" s="54"/>
    </row>
    <row r="37" spans="1:12" s="59" customFormat="1" ht="15" x14ac:dyDescent="0.25">
      <c r="A37" s="392" t="s">
        <v>90</v>
      </c>
      <c r="B37" s="392"/>
      <c r="C37" s="60"/>
      <c r="D37" s="38"/>
      <c r="E37" s="58"/>
      <c r="F37" s="58"/>
      <c r="G37" s="38"/>
      <c r="H37" s="54"/>
      <c r="I37" s="54"/>
      <c r="J37" s="59">
        <f>11038.5-1338.66</f>
        <v>9699.84</v>
      </c>
    </row>
    <row r="38" spans="1:12" s="59" customFormat="1" ht="15" x14ac:dyDescent="0.25">
      <c r="A38" s="444" t="s">
        <v>91</v>
      </c>
      <c r="B38" s="445"/>
      <c r="C38" s="305" t="s">
        <v>92</v>
      </c>
      <c r="D38" s="305" t="s">
        <v>93</v>
      </c>
      <c r="E38" s="138" t="s">
        <v>94</v>
      </c>
      <c r="F38" s="306" t="s">
        <v>95</v>
      </c>
      <c r="G38" s="138" t="s">
        <v>96</v>
      </c>
      <c r="H38" s="54"/>
      <c r="I38" s="54"/>
    </row>
    <row r="39" spans="1:12" s="59" customFormat="1" ht="15" x14ac:dyDescent="0.25">
      <c r="A39" s="446"/>
      <c r="B39" s="447"/>
      <c r="C39" s="342">
        <v>60.3</v>
      </c>
      <c r="D39" s="138">
        <f>E39/C39/12</f>
        <v>22.700000000000003</v>
      </c>
      <c r="E39" s="358">
        <v>16425.72</v>
      </c>
      <c r="F39" s="358">
        <v>16425.72</v>
      </c>
      <c r="G39" s="138">
        <f>E39-F39</f>
        <v>0</v>
      </c>
      <c r="H39" s="335">
        <f>C17+C25</f>
        <v>22.7</v>
      </c>
      <c r="I39" s="54">
        <f>60.3*H39*3</f>
        <v>4106.43</v>
      </c>
      <c r="J39" s="59">
        <f>11038.5</f>
        <v>11038.5</v>
      </c>
      <c r="K39" s="59">
        <f>4238.46</f>
        <v>4238.46</v>
      </c>
    </row>
    <row r="40" spans="1:12" ht="31.5" customHeight="1" x14ac:dyDescent="0.2">
      <c r="A40" s="371" t="s">
        <v>106</v>
      </c>
      <c r="B40" s="371"/>
      <c r="C40" s="371"/>
      <c r="D40" s="371"/>
      <c r="E40" s="371"/>
      <c r="F40" s="371"/>
      <c r="G40" s="371"/>
      <c r="H40" s="371"/>
      <c r="I40" s="371"/>
      <c r="J40" s="371"/>
      <c r="K40" s="371"/>
    </row>
    <row r="42" spans="1:12" s="66" customFormat="1" ht="37.5" customHeight="1" x14ac:dyDescent="0.2">
      <c r="A42" s="94" t="s">
        <v>11</v>
      </c>
      <c r="B42" s="416" t="s">
        <v>45</v>
      </c>
      <c r="C42" s="425"/>
      <c r="D42" s="94" t="s">
        <v>99</v>
      </c>
      <c r="E42" s="94" t="s">
        <v>98</v>
      </c>
      <c r="F42" s="550" t="s">
        <v>46</v>
      </c>
      <c r="G42" s="550"/>
      <c r="H42" s="95"/>
      <c r="I42" s="96"/>
      <c r="L42" s="97"/>
    </row>
    <row r="43" spans="1:12" s="103" customFormat="1" ht="15" customHeight="1" x14ac:dyDescent="0.25">
      <c r="A43" s="98" t="s">
        <v>47</v>
      </c>
      <c r="B43" s="418" t="s">
        <v>75</v>
      </c>
      <c r="C43" s="430"/>
      <c r="D43" s="99"/>
      <c r="E43" s="99"/>
      <c r="F43" s="548">
        <f>SUM(F44:G47)</f>
        <v>81.133800000000008</v>
      </c>
      <c r="G43" s="549"/>
      <c r="H43" s="101"/>
      <c r="I43" s="102"/>
      <c r="L43" s="104"/>
    </row>
    <row r="44" spans="1:12" ht="15" x14ac:dyDescent="0.25">
      <c r="A44" s="34" t="s">
        <v>16</v>
      </c>
      <c r="B44" s="412"/>
      <c r="C44" s="413"/>
      <c r="D44" s="260"/>
      <c r="E44" s="260"/>
      <c r="F44" s="463"/>
      <c r="G44" s="463"/>
      <c r="H44" s="38"/>
      <c r="I44" s="38"/>
      <c r="L44" s="106"/>
    </row>
    <row r="45" spans="1:12" ht="15" x14ac:dyDescent="0.25">
      <c r="A45" s="34" t="s">
        <v>18</v>
      </c>
      <c r="B45" s="412"/>
      <c r="C45" s="428"/>
      <c r="D45" s="258"/>
      <c r="E45" s="258"/>
      <c r="F45" s="463"/>
      <c r="G45" s="463"/>
      <c r="H45" s="38"/>
      <c r="I45" s="38"/>
      <c r="L45" s="106"/>
    </row>
    <row r="46" spans="1:12" ht="15" x14ac:dyDescent="0.25">
      <c r="A46" s="34" t="s">
        <v>20</v>
      </c>
      <c r="B46" s="412"/>
      <c r="C46" s="428"/>
      <c r="D46" s="258"/>
      <c r="E46" s="258"/>
      <c r="F46" s="463"/>
      <c r="G46" s="463"/>
      <c r="H46" s="38"/>
      <c r="I46" s="38"/>
      <c r="L46" s="106"/>
    </row>
    <row r="47" spans="1:12" s="59" customFormat="1" ht="15" x14ac:dyDescent="0.25">
      <c r="A47" s="34" t="s">
        <v>22</v>
      </c>
      <c r="B47" s="458" t="s">
        <v>108</v>
      </c>
      <c r="C47" s="459"/>
      <c r="D47" s="108"/>
      <c r="E47" s="108"/>
      <c r="F47" s="435">
        <f>E25*1%</f>
        <v>81.133800000000008</v>
      </c>
      <c r="G47" s="435"/>
      <c r="H47" s="51"/>
      <c r="I47" s="51"/>
      <c r="J47" s="51"/>
      <c r="K47" s="51"/>
    </row>
    <row r="48" spans="1:12" s="51" customFormat="1" ht="9" customHeight="1" x14ac:dyDescent="0.2"/>
    <row r="49" spans="1:11" s="51" customFormat="1" ht="15" x14ac:dyDescent="0.25">
      <c r="A49" s="51" t="s">
        <v>372</v>
      </c>
      <c r="B49" s="59"/>
      <c r="C49" s="110" t="s">
        <v>49</v>
      </c>
      <c r="D49" s="59"/>
      <c r="E49" s="59"/>
      <c r="F49" s="59" t="s">
        <v>60</v>
      </c>
      <c r="G49" s="59"/>
      <c r="H49" s="59"/>
      <c r="I49" s="59"/>
      <c r="J49" s="59"/>
      <c r="K49" s="59"/>
    </row>
    <row r="50" spans="1:11" s="51" customFormat="1" ht="15" x14ac:dyDescent="0.25">
      <c r="A50" s="59"/>
      <c r="B50" s="59"/>
      <c r="C50" s="110"/>
      <c r="D50" s="59"/>
      <c r="E50" s="59"/>
      <c r="F50" s="111" t="s">
        <v>438</v>
      </c>
      <c r="G50" s="59"/>
    </row>
    <row r="51" spans="1:11" s="51" customFormat="1" ht="15" x14ac:dyDescent="0.25">
      <c r="A51" s="59" t="s">
        <v>50</v>
      </c>
      <c r="B51" s="59"/>
      <c r="C51" s="110"/>
      <c r="D51" s="59"/>
      <c r="E51" s="59"/>
      <c r="F51" s="59"/>
      <c r="G51" s="59"/>
      <c r="H51" s="141"/>
      <c r="I51" s="141"/>
      <c r="J51" s="141"/>
    </row>
    <row r="52" spans="1:11" ht="15" x14ac:dyDescent="0.25">
      <c r="A52" s="59"/>
      <c r="B52" s="59"/>
      <c r="C52" s="112" t="s">
        <v>51</v>
      </c>
      <c r="D52" s="59"/>
      <c r="E52" s="113"/>
      <c r="F52" s="113"/>
      <c r="G52" s="113"/>
      <c r="H52" s="51"/>
      <c r="I52" s="51"/>
      <c r="J52" s="51"/>
      <c r="K52" s="51"/>
    </row>
    <row r="53" spans="1:11" x14ac:dyDescent="0.2">
      <c r="A53" s="51"/>
      <c r="B53" s="51"/>
      <c r="C53" s="51"/>
      <c r="D53" s="51"/>
      <c r="E53" s="51"/>
      <c r="F53" s="51"/>
      <c r="G53" s="51"/>
      <c r="H53" s="51"/>
      <c r="I53" s="51"/>
      <c r="J53" s="51"/>
      <c r="K53" s="51"/>
    </row>
  </sheetData>
  <mergeCells count="23">
    <mergeCell ref="B47:C47"/>
    <mergeCell ref="F47:G47"/>
    <mergeCell ref="B43:C43"/>
    <mergeCell ref="F43:G43"/>
    <mergeCell ref="B44:C44"/>
    <mergeCell ref="B45:C45"/>
    <mergeCell ref="F45:G45"/>
    <mergeCell ref="A40:K40"/>
    <mergeCell ref="A11:K11"/>
    <mergeCell ref="A12:K12"/>
    <mergeCell ref="B46:C46"/>
    <mergeCell ref="F46:G46"/>
    <mergeCell ref="B42:C42"/>
    <mergeCell ref="F42:G42"/>
    <mergeCell ref="F44:G44"/>
    <mergeCell ref="A37:B37"/>
    <mergeCell ref="A38:B39"/>
    <mergeCell ref="A1:K1"/>
    <mergeCell ref="A5:K5"/>
    <mergeCell ref="A10:K10"/>
    <mergeCell ref="A34:C34"/>
    <mergeCell ref="A2:L2"/>
    <mergeCell ref="A3:L3"/>
  </mergeCells>
  <pageMargins left="0.7" right="0.7" top="0.75" bottom="0.75" header="0.3" footer="0.3"/>
  <pageSetup paperSize="9" orientation="portrait" verticalDpi="0" r:id="rId1"/>
  <drawing r:id="rId2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809612-4A73-46A2-A2F8-9C1008F30431}">
  <sheetPr>
    <tabColor rgb="FF7030A0"/>
  </sheetPr>
  <dimension ref="A1:N60"/>
  <sheetViews>
    <sheetView topLeftCell="A40" workbookViewId="0">
      <selection activeCell="A63" sqref="A63:IV64"/>
    </sheetView>
  </sheetViews>
  <sheetFormatPr defaultRowHeight="12.75" outlineLevelRow="1" outlineLevelCol="1" x14ac:dyDescent="0.2"/>
  <cols>
    <col min="1" max="1" width="6" style="49" customWidth="1"/>
    <col min="2" max="2" width="48.140625" style="49" customWidth="1"/>
    <col min="3" max="3" width="14" style="49" customWidth="1"/>
    <col min="4" max="4" width="14.85546875" style="49" customWidth="1"/>
    <col min="5" max="6" width="13.28515625" style="49" customWidth="1"/>
    <col min="7" max="7" width="14.5703125" style="49" customWidth="1"/>
    <col min="8" max="9" width="11.5703125" style="49" hidden="1" customWidth="1" outlineLevel="1"/>
    <col min="10" max="10" width="10.140625" style="49" hidden="1" customWidth="1" outlineLevel="1"/>
    <col min="11" max="11" width="10.42578125" style="49" hidden="1" customWidth="1" outlineLevel="1"/>
    <col min="12" max="12" width="11.42578125" style="49" hidden="1" customWidth="1" outlineLevel="1"/>
    <col min="13" max="13" width="10" style="49" bestFit="1" customWidth="1" collapsed="1"/>
    <col min="14" max="14" width="15.85546875" style="49" customWidth="1"/>
    <col min="15" max="16384" width="9.140625" style="49"/>
  </cols>
  <sheetData>
    <row r="1" spans="1:14" x14ac:dyDescent="0.2">
      <c r="A1" s="370" t="s">
        <v>0</v>
      </c>
      <c r="B1" s="370"/>
      <c r="C1" s="370"/>
      <c r="D1" s="370"/>
      <c r="E1" s="370"/>
      <c r="F1" s="370"/>
      <c r="G1" s="370"/>
      <c r="H1" s="370"/>
      <c r="I1" s="370"/>
      <c r="J1" s="370"/>
      <c r="K1" s="370"/>
    </row>
    <row r="2" spans="1:14" ht="12.75" customHeight="1" x14ac:dyDescent="0.2">
      <c r="A2" s="370" t="s">
        <v>152</v>
      </c>
      <c r="B2" s="370"/>
      <c r="C2" s="370"/>
      <c r="D2" s="370"/>
      <c r="E2" s="370"/>
      <c r="F2" s="370"/>
      <c r="G2" s="370"/>
      <c r="H2" s="370"/>
      <c r="I2" s="370"/>
      <c r="J2" s="370"/>
      <c r="K2" s="370"/>
      <c r="L2" s="370"/>
    </row>
    <row r="3" spans="1:14" ht="13.5" customHeight="1" x14ac:dyDescent="0.2">
      <c r="A3" s="370" t="s">
        <v>426</v>
      </c>
      <c r="B3" s="370"/>
      <c r="C3" s="370"/>
      <c r="D3" s="370"/>
      <c r="E3" s="370"/>
      <c r="F3" s="370"/>
      <c r="G3" s="370"/>
      <c r="H3" s="370"/>
      <c r="I3" s="370"/>
      <c r="J3" s="370"/>
      <c r="K3" s="370"/>
      <c r="L3" s="370"/>
    </row>
    <row r="4" spans="1:14" ht="9" customHeight="1" x14ac:dyDescent="0.2">
      <c r="A4" s="48"/>
      <c r="B4" s="48"/>
      <c r="C4" s="48"/>
      <c r="D4" s="48"/>
      <c r="E4" s="48"/>
      <c r="F4" s="48"/>
      <c r="G4" s="48"/>
      <c r="H4" s="48"/>
      <c r="I4" s="48"/>
      <c r="J4" s="48"/>
      <c r="K4" s="48"/>
    </row>
    <row r="5" spans="1:14" ht="16.5" customHeight="1" x14ac:dyDescent="0.2">
      <c r="A5" s="371" t="s">
        <v>1</v>
      </c>
      <c r="B5" s="370"/>
      <c r="C5" s="370"/>
      <c r="D5" s="370"/>
      <c r="E5" s="370"/>
      <c r="F5" s="370"/>
      <c r="G5" s="370"/>
      <c r="H5" s="370"/>
      <c r="I5" s="370"/>
      <c r="J5" s="370"/>
      <c r="K5" s="370"/>
    </row>
    <row r="7" spans="1:14" s="51" customFormat="1" ht="16.5" customHeight="1" x14ac:dyDescent="0.2">
      <c r="A7" s="51" t="s">
        <v>2</v>
      </c>
      <c r="F7" s="52" t="s">
        <v>361</v>
      </c>
      <c r="H7" s="242"/>
    </row>
    <row r="8" spans="1:14" s="51" customFormat="1" x14ac:dyDescent="0.2">
      <c r="A8" s="51" t="s">
        <v>3</v>
      </c>
      <c r="F8" s="242" t="s">
        <v>362</v>
      </c>
      <c r="H8" s="231">
        <v>0</v>
      </c>
      <c r="I8" s="51">
        <f>J8-H8</f>
        <v>11390.26</v>
      </c>
      <c r="J8" s="53">
        <v>11390.26</v>
      </c>
    </row>
    <row r="9" spans="1:14" s="51" customFormat="1" x14ac:dyDescent="0.2">
      <c r="A9" s="372" t="s">
        <v>8</v>
      </c>
      <c r="B9" s="372"/>
      <c r="C9" s="372"/>
      <c r="D9" s="372"/>
      <c r="E9" s="372"/>
      <c r="F9" s="372"/>
      <c r="G9" s="372"/>
      <c r="H9" s="372"/>
      <c r="I9" s="372"/>
      <c r="J9" s="372"/>
      <c r="K9" s="372"/>
    </row>
    <row r="10" spans="1:14" s="51" customFormat="1" x14ac:dyDescent="0.2">
      <c r="A10" s="372" t="s">
        <v>9</v>
      </c>
      <c r="B10" s="372"/>
      <c r="C10" s="372"/>
      <c r="D10" s="372"/>
      <c r="E10" s="372"/>
      <c r="F10" s="372"/>
      <c r="G10" s="372"/>
      <c r="H10" s="372"/>
      <c r="I10" s="372"/>
      <c r="J10" s="372"/>
      <c r="K10" s="372"/>
    </row>
    <row r="11" spans="1:14" s="51" customFormat="1" x14ac:dyDescent="0.2">
      <c r="A11" s="372" t="s">
        <v>10</v>
      </c>
      <c r="B11" s="372"/>
      <c r="C11" s="372"/>
      <c r="D11" s="372"/>
      <c r="E11" s="372"/>
      <c r="F11" s="372"/>
      <c r="G11" s="372"/>
      <c r="H11" s="372"/>
      <c r="I11" s="372"/>
      <c r="J11" s="372"/>
      <c r="K11" s="372"/>
    </row>
    <row r="12" spans="1:14" s="59" customFormat="1" ht="6" customHeight="1" thickBot="1" x14ac:dyDescent="0.3">
      <c r="A12" s="60"/>
      <c r="B12" s="60"/>
      <c r="C12" s="60"/>
      <c r="D12" s="38"/>
      <c r="E12" s="58"/>
      <c r="F12" s="58"/>
      <c r="G12" s="58"/>
      <c r="H12" s="54"/>
      <c r="I12" s="54"/>
    </row>
    <row r="13" spans="1:14" s="59" customFormat="1" ht="15.75" thickBot="1" x14ac:dyDescent="0.3">
      <c r="A13" s="55" t="s">
        <v>580</v>
      </c>
      <c r="B13" s="56"/>
      <c r="C13" s="56"/>
      <c r="D13" s="61"/>
      <c r="E13" s="62"/>
      <c r="F13" s="62"/>
      <c r="G13" s="57">
        <f>'[1]Плеханова 12'!$G$35</f>
        <v>-65350.071799999889</v>
      </c>
      <c r="H13" s="54"/>
      <c r="I13" s="54"/>
    </row>
    <row r="14" spans="1:14" s="51" customFormat="1" ht="6.75" customHeight="1" x14ac:dyDescent="0.2"/>
    <row r="15" spans="1:14" s="66" customFormat="1" ht="38.25" x14ac:dyDescent="0.25">
      <c r="A15" s="64" t="s">
        <v>11</v>
      </c>
      <c r="B15" s="64" t="s">
        <v>12</v>
      </c>
      <c r="C15" s="64" t="s">
        <v>61</v>
      </c>
      <c r="D15" s="64" t="s">
        <v>432</v>
      </c>
      <c r="E15" s="64" t="s">
        <v>433</v>
      </c>
      <c r="F15" s="65" t="s">
        <v>434</v>
      </c>
      <c r="G15" s="64" t="s">
        <v>435</v>
      </c>
      <c r="J15" s="66">
        <f>D16/12/C16</f>
        <v>11061.40686515748</v>
      </c>
    </row>
    <row r="16" spans="1:14" s="51" customFormat="1" ht="14.25" x14ac:dyDescent="0.2">
      <c r="A16" s="67" t="s">
        <v>14</v>
      </c>
      <c r="B16" s="39" t="s">
        <v>379</v>
      </c>
      <c r="C16" s="87">
        <v>20.32</v>
      </c>
      <c r="D16" s="68">
        <v>2697213.45</v>
      </c>
      <c r="E16" s="68">
        <v>2569659.62</v>
      </c>
      <c r="F16" s="68">
        <f t="shared" ref="F16:F22" si="0">D16</f>
        <v>2697213.45</v>
      </c>
      <c r="G16" s="69">
        <f>D16-E16</f>
        <v>127553.83000000007</v>
      </c>
      <c r="H16" s="70">
        <f>C16</f>
        <v>20.32</v>
      </c>
      <c r="I16" s="71"/>
      <c r="J16" s="71"/>
      <c r="K16" s="71"/>
      <c r="M16" s="70"/>
      <c r="N16" s="72"/>
    </row>
    <row r="17" spans="1:11" s="51" customFormat="1" ht="15" hidden="1" outlineLevel="1" x14ac:dyDescent="0.25">
      <c r="A17" s="73" t="s">
        <v>16</v>
      </c>
      <c r="B17" s="34" t="s">
        <v>17</v>
      </c>
      <c r="C17" s="74">
        <v>3.46</v>
      </c>
      <c r="D17" s="75">
        <f>D16*I17</f>
        <v>459269.61304133863</v>
      </c>
      <c r="E17" s="75">
        <f>E16*I17</f>
        <v>437550.30931102362</v>
      </c>
      <c r="F17" s="75">
        <f t="shared" si="0"/>
        <v>459269.61304133863</v>
      </c>
      <c r="G17" s="76">
        <f>D17-E17</f>
        <v>21719.303730315005</v>
      </c>
      <c r="H17" s="70">
        <f>C17</f>
        <v>3.46</v>
      </c>
      <c r="I17" s="51">
        <f>H17/H16</f>
        <v>0.17027559055118111</v>
      </c>
    </row>
    <row r="18" spans="1:11" s="51" customFormat="1" ht="15" hidden="1" outlineLevel="1" x14ac:dyDescent="0.25">
      <c r="A18" s="73" t="s">
        <v>18</v>
      </c>
      <c r="B18" s="34" t="s">
        <v>19</v>
      </c>
      <c r="C18" s="74">
        <v>1.69</v>
      </c>
      <c r="D18" s="75">
        <f>D16*I18</f>
        <v>224325.33122539369</v>
      </c>
      <c r="E18" s="75">
        <f>E16*I18</f>
        <v>213716.76957677165</v>
      </c>
      <c r="F18" s="75">
        <f t="shared" si="0"/>
        <v>224325.33122539369</v>
      </c>
      <c r="G18" s="76">
        <f>D18-E18</f>
        <v>10608.561648622039</v>
      </c>
      <c r="H18" s="70">
        <f>C18</f>
        <v>1.69</v>
      </c>
      <c r="I18" s="51">
        <f>H18/H16</f>
        <v>8.3169291338582668E-2</v>
      </c>
    </row>
    <row r="19" spans="1:11" s="51" customFormat="1" ht="15" hidden="1" outlineLevel="1" x14ac:dyDescent="0.25">
      <c r="A19" s="73" t="s">
        <v>20</v>
      </c>
      <c r="B19" s="34" t="s">
        <v>21</v>
      </c>
      <c r="C19" s="74">
        <v>2.15</v>
      </c>
      <c r="D19" s="75">
        <f>D16*I19</f>
        <v>285384.29712106299</v>
      </c>
      <c r="E19" s="75">
        <f>E16*I19</f>
        <v>271888.19798228348</v>
      </c>
      <c r="F19" s="75">
        <f t="shared" si="0"/>
        <v>285384.29712106299</v>
      </c>
      <c r="G19" s="76">
        <f>D19-E19</f>
        <v>13496.099138779507</v>
      </c>
      <c r="H19" s="70">
        <f>C19</f>
        <v>2.15</v>
      </c>
      <c r="I19" s="51">
        <f>H19/H16</f>
        <v>0.10580708661417322</v>
      </c>
    </row>
    <row r="20" spans="1:11" s="51" customFormat="1" ht="15" hidden="1" outlineLevel="1" x14ac:dyDescent="0.25">
      <c r="A20" s="73" t="s">
        <v>22</v>
      </c>
      <c r="B20" s="34" t="s">
        <v>23</v>
      </c>
      <c r="C20" s="74">
        <v>3.04</v>
      </c>
      <c r="D20" s="75">
        <f>D16*I20</f>
        <v>403520.12244094495</v>
      </c>
      <c r="E20" s="75">
        <f>E16*I20</f>
        <v>384437.26598425204</v>
      </c>
      <c r="F20" s="75">
        <f t="shared" si="0"/>
        <v>403520.12244094495</v>
      </c>
      <c r="G20" s="76">
        <f>D20-E20</f>
        <v>19082.856456692913</v>
      </c>
      <c r="H20" s="70">
        <f>C20</f>
        <v>3.04</v>
      </c>
      <c r="I20" s="51">
        <f>H20/H16</f>
        <v>0.14960629921259844</v>
      </c>
    </row>
    <row r="21" spans="1:11" s="81" customFormat="1" ht="14.25" collapsed="1" x14ac:dyDescent="0.2">
      <c r="A21" s="78" t="s">
        <v>25</v>
      </c>
      <c r="B21" s="78" t="s">
        <v>62</v>
      </c>
      <c r="C21" s="43">
        <v>0</v>
      </c>
      <c r="D21" s="79">
        <v>0</v>
      </c>
      <c r="E21" s="79">
        <v>22.64</v>
      </c>
      <c r="F21" s="79">
        <f>D21</f>
        <v>0</v>
      </c>
      <c r="G21" s="69">
        <f t="shared" ref="G21:G31" si="1">D21-E21</f>
        <v>-22.64</v>
      </c>
      <c r="H21" s="80"/>
      <c r="I21" s="80"/>
      <c r="J21" s="80"/>
      <c r="K21" s="80"/>
    </row>
    <row r="22" spans="1:11" s="81" customFormat="1" ht="28.5" x14ac:dyDescent="0.2">
      <c r="A22" s="78" t="s">
        <v>27</v>
      </c>
      <c r="B22" s="78" t="s">
        <v>355</v>
      </c>
      <c r="C22" s="46">
        <v>170</v>
      </c>
      <c r="D22" s="79">
        <v>0</v>
      </c>
      <c r="E22" s="79">
        <v>2026.17</v>
      </c>
      <c r="F22" s="79">
        <f t="shared" si="0"/>
        <v>0</v>
      </c>
      <c r="G22" s="69">
        <f t="shared" si="1"/>
        <v>-2026.17</v>
      </c>
      <c r="H22" s="80"/>
      <c r="I22" s="80"/>
      <c r="J22" s="80"/>
      <c r="K22" s="80"/>
    </row>
    <row r="23" spans="1:11" s="81" customFormat="1" ht="14.25" x14ac:dyDescent="0.2">
      <c r="A23" s="78" t="s">
        <v>29</v>
      </c>
      <c r="B23" s="78" t="s">
        <v>26</v>
      </c>
      <c r="C23" s="43">
        <v>4.3600000000000003</v>
      </c>
      <c r="D23" s="79">
        <v>594866.73</v>
      </c>
      <c r="E23" s="79">
        <v>571111.77</v>
      </c>
      <c r="F23" s="79">
        <f>D23</f>
        <v>594866.73</v>
      </c>
      <c r="G23" s="69">
        <f t="shared" si="1"/>
        <v>23754.959999999963</v>
      </c>
      <c r="H23" s="80"/>
      <c r="I23" s="80"/>
      <c r="J23" s="80"/>
      <c r="K23" s="80"/>
    </row>
    <row r="24" spans="1:11" s="81" customFormat="1" ht="14.25" x14ac:dyDescent="0.2">
      <c r="A24" s="78" t="s">
        <v>31</v>
      </c>
      <c r="B24" s="78" t="s">
        <v>80</v>
      </c>
      <c r="C24" s="86">
        <v>2.0099999999999998</v>
      </c>
      <c r="D24" s="79">
        <v>274734.59999999998</v>
      </c>
      <c r="E24" s="79">
        <v>264643.03000000003</v>
      </c>
      <c r="F24" s="79">
        <f>F39</f>
        <v>492115.97029999999</v>
      </c>
      <c r="G24" s="69">
        <f t="shared" si="1"/>
        <v>10091.569999999949</v>
      </c>
      <c r="H24" s="80"/>
      <c r="I24" s="80"/>
      <c r="J24" s="80"/>
      <c r="K24" s="80"/>
    </row>
    <row r="25" spans="1:11" ht="14.25" x14ac:dyDescent="0.2">
      <c r="A25" s="39" t="s">
        <v>33</v>
      </c>
      <c r="B25" s="39" t="s">
        <v>97</v>
      </c>
      <c r="C25" s="87">
        <v>0</v>
      </c>
      <c r="D25" s="69">
        <v>0</v>
      </c>
      <c r="E25" s="69">
        <v>0</v>
      </c>
      <c r="F25" s="79">
        <f>D25</f>
        <v>0</v>
      </c>
      <c r="G25" s="69">
        <f t="shared" si="1"/>
        <v>0</v>
      </c>
      <c r="H25" s="88"/>
      <c r="I25" s="88"/>
      <c r="J25" s="88"/>
      <c r="K25" s="88"/>
    </row>
    <row r="26" spans="1:11" ht="14.25" x14ac:dyDescent="0.2">
      <c r="A26" s="39" t="s">
        <v>35</v>
      </c>
      <c r="B26" s="39" t="s">
        <v>167</v>
      </c>
      <c r="C26" s="87">
        <v>0</v>
      </c>
      <c r="D26" s="69">
        <v>0</v>
      </c>
      <c r="E26" s="69">
        <v>692.03</v>
      </c>
      <c r="F26" s="79">
        <f>D26</f>
        <v>0</v>
      </c>
      <c r="G26" s="69">
        <f t="shared" si="1"/>
        <v>-692.03</v>
      </c>
      <c r="H26" s="88"/>
      <c r="I26" s="88"/>
      <c r="J26" s="88"/>
      <c r="K26" s="88"/>
    </row>
    <row r="27" spans="1:11" ht="14.25" x14ac:dyDescent="0.2">
      <c r="A27" s="39" t="s">
        <v>112</v>
      </c>
      <c r="B27" s="39" t="s">
        <v>36</v>
      </c>
      <c r="C27" s="87"/>
      <c r="D27" s="69">
        <f>SUM(D28:D31)</f>
        <v>9568809.620000001</v>
      </c>
      <c r="E27" s="69">
        <f>SUM(E28:E31)</f>
        <v>9078750.7800000012</v>
      </c>
      <c r="F27" s="69">
        <f>SUM(F28:F31)</f>
        <v>9568809.620000001</v>
      </c>
      <c r="G27" s="69">
        <f t="shared" si="1"/>
        <v>490058.83999999985</v>
      </c>
      <c r="H27" s="88"/>
      <c r="I27" s="88"/>
      <c r="J27" s="88"/>
      <c r="K27" s="88"/>
    </row>
    <row r="28" spans="1:11" ht="15" x14ac:dyDescent="0.25">
      <c r="A28" s="34" t="s">
        <v>114</v>
      </c>
      <c r="B28" s="34" t="s">
        <v>124</v>
      </c>
      <c r="C28" s="89">
        <v>7.36</v>
      </c>
      <c r="D28" s="76">
        <v>514439.88</v>
      </c>
      <c r="E28" s="76">
        <v>491723.2</v>
      </c>
      <c r="F28" s="76">
        <f>D28</f>
        <v>514439.88</v>
      </c>
      <c r="G28" s="76">
        <f t="shared" si="1"/>
        <v>22716.679999999993</v>
      </c>
    </row>
    <row r="29" spans="1:11" ht="15" x14ac:dyDescent="0.25">
      <c r="A29" s="34" t="s">
        <v>115</v>
      </c>
      <c r="B29" s="34" t="s">
        <v>84</v>
      </c>
      <c r="C29" s="89">
        <v>88.38</v>
      </c>
      <c r="D29" s="76">
        <v>1396898.55</v>
      </c>
      <c r="E29" s="76">
        <v>1294019.97</v>
      </c>
      <c r="F29" s="76">
        <f>D29</f>
        <v>1396898.55</v>
      </c>
      <c r="G29" s="76">
        <f t="shared" si="1"/>
        <v>102878.58000000007</v>
      </c>
    </row>
    <row r="30" spans="1:11" ht="15" x14ac:dyDescent="0.25">
      <c r="A30" s="34" t="s">
        <v>116</v>
      </c>
      <c r="B30" s="34" t="s">
        <v>135</v>
      </c>
      <c r="C30" s="128">
        <v>278.94</v>
      </c>
      <c r="D30" s="76">
        <v>1935345.04</v>
      </c>
      <c r="E30" s="76">
        <v>1813852.28</v>
      </c>
      <c r="F30" s="76">
        <f>D30</f>
        <v>1935345.04</v>
      </c>
      <c r="G30" s="76">
        <f t="shared" si="1"/>
        <v>121492.76000000001</v>
      </c>
    </row>
    <row r="31" spans="1:11" ht="15" x14ac:dyDescent="0.25">
      <c r="A31" s="34" t="s">
        <v>117</v>
      </c>
      <c r="B31" s="34" t="s">
        <v>43</v>
      </c>
      <c r="C31" s="89">
        <v>3352.42</v>
      </c>
      <c r="D31" s="76">
        <v>5722126.1500000004</v>
      </c>
      <c r="E31" s="76">
        <v>5479155.3300000001</v>
      </c>
      <c r="F31" s="76">
        <f>D31</f>
        <v>5722126.1500000004</v>
      </c>
      <c r="G31" s="76">
        <f t="shared" si="1"/>
        <v>242970.8200000003</v>
      </c>
    </row>
    <row r="32" spans="1:11" s="92" customFormat="1" ht="18.75" customHeight="1" thickBot="1" x14ac:dyDescent="0.3">
      <c r="A32" s="373"/>
      <c r="B32" s="374"/>
      <c r="C32" s="374"/>
      <c r="D32" s="375"/>
      <c r="E32" s="375"/>
      <c r="F32" s="375"/>
      <c r="G32" s="91"/>
      <c r="H32" s="91"/>
      <c r="I32" s="91"/>
    </row>
    <row r="33" spans="1:12" s="59" customFormat="1" ht="15.75" thickBot="1" x14ac:dyDescent="0.3">
      <c r="A33" s="387" t="s">
        <v>427</v>
      </c>
      <c r="B33" s="388"/>
      <c r="C33" s="388"/>
      <c r="D33" s="57">
        <v>648718.36</v>
      </c>
      <c r="E33" s="58"/>
      <c r="F33" s="58"/>
      <c r="G33" s="58"/>
      <c r="H33" s="54"/>
      <c r="I33" s="54"/>
    </row>
    <row r="34" spans="1:12" s="59" customFormat="1" ht="6" customHeight="1" thickBot="1" x14ac:dyDescent="0.3">
      <c r="A34" s="60"/>
      <c r="B34" s="60"/>
      <c r="C34" s="60"/>
      <c r="D34" s="38"/>
      <c r="E34" s="58"/>
      <c r="F34" s="58"/>
      <c r="G34" s="58"/>
      <c r="H34" s="54"/>
      <c r="I34" s="54"/>
    </row>
    <row r="35" spans="1:12" s="59" customFormat="1" ht="15.75" thickBot="1" x14ac:dyDescent="0.3">
      <c r="A35" s="55" t="s">
        <v>428</v>
      </c>
      <c r="B35" s="56"/>
      <c r="C35" s="56"/>
      <c r="D35" s="61"/>
      <c r="E35" s="62"/>
      <c r="F35" s="62"/>
      <c r="G35" s="129">
        <f>G13+E24-F24</f>
        <v>-292823.01209999982</v>
      </c>
      <c r="H35" s="54"/>
      <c r="I35" s="54"/>
      <c r="K35" s="130"/>
    </row>
    <row r="36" spans="1:12" ht="31.5" customHeight="1" x14ac:dyDescent="0.25">
      <c r="A36" s="571" t="s">
        <v>106</v>
      </c>
      <c r="B36" s="572"/>
      <c r="C36" s="572"/>
      <c r="D36" s="572"/>
      <c r="E36" s="572"/>
      <c r="F36" s="572"/>
      <c r="G36" s="572"/>
      <c r="H36" s="50"/>
      <c r="I36" s="50"/>
      <c r="J36" s="50"/>
      <c r="K36" s="50"/>
    </row>
    <row r="38" spans="1:12" s="66" customFormat="1" ht="37.5" customHeight="1" x14ac:dyDescent="0.2">
      <c r="A38" s="94" t="s">
        <v>11</v>
      </c>
      <c r="B38" s="416" t="s">
        <v>45</v>
      </c>
      <c r="C38" s="425"/>
      <c r="D38" s="94" t="s">
        <v>99</v>
      </c>
      <c r="E38" s="94" t="s">
        <v>98</v>
      </c>
      <c r="F38" s="550" t="s">
        <v>46</v>
      </c>
      <c r="G38" s="550"/>
      <c r="H38" s="95"/>
      <c r="I38" s="96"/>
      <c r="L38" s="97"/>
    </row>
    <row r="39" spans="1:12" s="103" customFormat="1" ht="15" customHeight="1" x14ac:dyDescent="0.25">
      <c r="A39" s="98" t="s">
        <v>47</v>
      </c>
      <c r="B39" s="418" t="s">
        <v>75</v>
      </c>
      <c r="C39" s="430"/>
      <c r="D39" s="99"/>
      <c r="E39" s="99"/>
      <c r="F39" s="548">
        <f>SUM(F40:G54)</f>
        <v>492115.97029999999</v>
      </c>
      <c r="G39" s="549"/>
      <c r="H39" s="101"/>
      <c r="I39" s="102"/>
      <c r="L39" s="104"/>
    </row>
    <row r="40" spans="1:12" ht="15" x14ac:dyDescent="0.25">
      <c r="A40" s="34" t="s">
        <v>16</v>
      </c>
      <c r="B40" s="406" t="s">
        <v>590</v>
      </c>
      <c r="C40" s="407"/>
      <c r="D40" s="176" t="s">
        <v>100</v>
      </c>
      <c r="E40" s="176">
        <v>1</v>
      </c>
      <c r="F40" s="435">
        <v>7500</v>
      </c>
      <c r="G40" s="435"/>
      <c r="H40" s="38"/>
      <c r="I40" s="38"/>
      <c r="L40" s="106"/>
    </row>
    <row r="41" spans="1:12" ht="19.5" customHeight="1" x14ac:dyDescent="0.25">
      <c r="A41" s="34" t="s">
        <v>18</v>
      </c>
      <c r="B41" s="406" t="s">
        <v>594</v>
      </c>
      <c r="C41" s="431"/>
      <c r="D41" s="109" t="s">
        <v>102</v>
      </c>
      <c r="E41" s="109">
        <v>11.5</v>
      </c>
      <c r="F41" s="435">
        <v>75307.47</v>
      </c>
      <c r="G41" s="435"/>
      <c r="H41" s="38"/>
      <c r="I41" s="38"/>
      <c r="L41" s="106"/>
    </row>
    <row r="42" spans="1:12" ht="15" x14ac:dyDescent="0.25">
      <c r="A42" s="34" t="s">
        <v>20</v>
      </c>
      <c r="B42" s="406" t="s">
        <v>595</v>
      </c>
      <c r="C42" s="431"/>
      <c r="D42" s="105" t="s">
        <v>100</v>
      </c>
      <c r="E42" s="105">
        <v>1</v>
      </c>
      <c r="F42" s="435">
        <v>10000</v>
      </c>
      <c r="G42" s="435"/>
      <c r="H42" s="38"/>
      <c r="I42" s="38"/>
      <c r="L42" s="106"/>
    </row>
    <row r="43" spans="1:12" ht="15" x14ac:dyDescent="0.25">
      <c r="A43" s="34" t="s">
        <v>22</v>
      </c>
      <c r="B43" s="406" t="s">
        <v>596</v>
      </c>
      <c r="C43" s="431"/>
      <c r="D43" s="105" t="s">
        <v>103</v>
      </c>
      <c r="E43" s="107">
        <v>5.5E-2</v>
      </c>
      <c r="F43" s="435">
        <v>42519.96</v>
      </c>
      <c r="G43" s="435"/>
      <c r="H43" s="38"/>
      <c r="I43" s="38"/>
      <c r="L43" s="106"/>
    </row>
    <row r="44" spans="1:12" ht="15" x14ac:dyDescent="0.25">
      <c r="A44" s="34" t="s">
        <v>24</v>
      </c>
      <c r="B44" s="406" t="s">
        <v>416</v>
      </c>
      <c r="C44" s="431"/>
      <c r="D44" s="105" t="s">
        <v>100</v>
      </c>
      <c r="E44" s="105">
        <v>1</v>
      </c>
      <c r="F44" s="435">
        <v>8000</v>
      </c>
      <c r="G44" s="435"/>
      <c r="H44" s="38"/>
      <c r="I44" s="38"/>
      <c r="L44" s="106"/>
    </row>
    <row r="45" spans="1:12" ht="15" x14ac:dyDescent="0.25">
      <c r="A45" s="34" t="s">
        <v>73</v>
      </c>
      <c r="B45" s="406" t="s">
        <v>597</v>
      </c>
      <c r="C45" s="431"/>
      <c r="D45" s="105" t="s">
        <v>137</v>
      </c>
      <c r="E45" s="105">
        <v>0.02</v>
      </c>
      <c r="F45" s="435">
        <v>6774.79</v>
      </c>
      <c r="G45" s="435"/>
      <c r="H45" s="38"/>
      <c r="I45" s="38"/>
      <c r="L45" s="106"/>
    </row>
    <row r="46" spans="1:12" ht="15" x14ac:dyDescent="0.25">
      <c r="A46" s="34" t="s">
        <v>74</v>
      </c>
      <c r="B46" s="406" t="s">
        <v>598</v>
      </c>
      <c r="C46" s="431"/>
      <c r="D46" s="105" t="s">
        <v>137</v>
      </c>
      <c r="E46" s="105">
        <v>0.1</v>
      </c>
      <c r="F46" s="435">
        <v>130988.9</v>
      </c>
      <c r="G46" s="435"/>
      <c r="H46" s="38"/>
      <c r="I46" s="38"/>
      <c r="L46" s="106"/>
    </row>
    <row r="47" spans="1:12" ht="15" x14ac:dyDescent="0.25">
      <c r="A47" s="34" t="s">
        <v>81</v>
      </c>
      <c r="B47" s="406" t="s">
        <v>599</v>
      </c>
      <c r="C47" s="431"/>
      <c r="D47" s="105" t="s">
        <v>100</v>
      </c>
      <c r="E47" s="105">
        <v>6</v>
      </c>
      <c r="F47" s="435">
        <v>82553.75</v>
      </c>
      <c r="G47" s="435"/>
      <c r="H47" s="38"/>
      <c r="I47" s="38"/>
      <c r="L47" s="106"/>
    </row>
    <row r="48" spans="1:12" ht="15" x14ac:dyDescent="0.25">
      <c r="A48" s="34" t="s">
        <v>82</v>
      </c>
      <c r="B48" s="406" t="s">
        <v>600</v>
      </c>
      <c r="C48" s="431"/>
      <c r="D48" s="105" t="s">
        <v>137</v>
      </c>
      <c r="E48" s="105">
        <v>0.04</v>
      </c>
      <c r="F48" s="435">
        <v>9628.06</v>
      </c>
      <c r="G48" s="435"/>
      <c r="H48" s="38"/>
      <c r="I48" s="38"/>
      <c r="L48" s="106"/>
    </row>
    <row r="49" spans="1:12" ht="15" x14ac:dyDescent="0.25">
      <c r="A49" s="34" t="s">
        <v>83</v>
      </c>
      <c r="B49" s="406" t="s">
        <v>601</v>
      </c>
      <c r="C49" s="431"/>
      <c r="D49" s="105" t="s">
        <v>137</v>
      </c>
      <c r="E49" s="105">
        <v>0.12</v>
      </c>
      <c r="F49" s="435">
        <v>38975.61</v>
      </c>
      <c r="G49" s="435"/>
      <c r="H49" s="38"/>
      <c r="I49" s="38"/>
      <c r="L49" s="106"/>
    </row>
    <row r="50" spans="1:12" ht="16.149999999999999" customHeight="1" x14ac:dyDescent="0.25">
      <c r="A50" s="34" t="s">
        <v>86</v>
      </c>
      <c r="B50" s="406" t="s">
        <v>602</v>
      </c>
      <c r="C50" s="431"/>
      <c r="D50" s="105" t="s">
        <v>100</v>
      </c>
      <c r="E50" s="105">
        <v>1</v>
      </c>
      <c r="F50" s="435">
        <v>6906.66</v>
      </c>
      <c r="G50" s="435"/>
      <c r="H50" s="38"/>
      <c r="I50" s="38"/>
      <c r="L50" s="106"/>
    </row>
    <row r="51" spans="1:12" ht="15" x14ac:dyDescent="0.25">
      <c r="A51" s="34" t="s">
        <v>87</v>
      </c>
      <c r="B51" s="406" t="s">
        <v>603</v>
      </c>
      <c r="C51" s="431"/>
      <c r="D51" s="105" t="s">
        <v>137</v>
      </c>
      <c r="E51" s="105">
        <v>0.02</v>
      </c>
      <c r="F51" s="435">
        <v>14868.05</v>
      </c>
      <c r="G51" s="435"/>
      <c r="H51" s="38"/>
      <c r="I51" s="38"/>
      <c r="L51" s="106"/>
    </row>
    <row r="52" spans="1:12" ht="15" x14ac:dyDescent="0.25">
      <c r="A52" s="34" t="s">
        <v>88</v>
      </c>
      <c r="B52" s="406" t="s">
        <v>604</v>
      </c>
      <c r="C52" s="431"/>
      <c r="D52" s="105" t="s">
        <v>137</v>
      </c>
      <c r="E52" s="105">
        <v>0.15</v>
      </c>
      <c r="F52" s="435">
        <v>48872.7</v>
      </c>
      <c r="G52" s="435"/>
      <c r="H52" s="38"/>
      <c r="I52" s="38"/>
      <c r="L52" s="106"/>
    </row>
    <row r="53" spans="1:12" ht="15" x14ac:dyDescent="0.25">
      <c r="A53" s="34" t="s">
        <v>605</v>
      </c>
      <c r="B53" s="406" t="s">
        <v>621</v>
      </c>
      <c r="C53" s="431"/>
      <c r="D53" s="105" t="s">
        <v>458</v>
      </c>
      <c r="E53" s="105">
        <v>0.08</v>
      </c>
      <c r="F53" s="435">
        <v>6573.59</v>
      </c>
      <c r="G53" s="435"/>
      <c r="H53" s="38"/>
      <c r="I53" s="38"/>
      <c r="L53" s="106"/>
    </row>
    <row r="54" spans="1:12" s="59" customFormat="1" ht="15" x14ac:dyDescent="0.25">
      <c r="A54" s="34" t="s">
        <v>620</v>
      </c>
      <c r="B54" s="458" t="s">
        <v>108</v>
      </c>
      <c r="C54" s="459"/>
      <c r="D54" s="108"/>
      <c r="E54" s="108"/>
      <c r="F54" s="435">
        <f>E24*1%</f>
        <v>2646.4303000000004</v>
      </c>
      <c r="G54" s="435"/>
      <c r="H54" s="51"/>
      <c r="I54" s="51"/>
      <c r="J54" s="51"/>
      <c r="K54" s="51"/>
    </row>
    <row r="55" spans="1:12" s="51" customFormat="1" ht="9" customHeight="1" x14ac:dyDescent="0.2"/>
    <row r="56" spans="1:12" s="51" customFormat="1" ht="15" x14ac:dyDescent="0.25">
      <c r="A56" s="51" t="s">
        <v>372</v>
      </c>
      <c r="B56" s="59"/>
      <c r="C56" s="110" t="s">
        <v>49</v>
      </c>
      <c r="D56" s="59"/>
      <c r="E56" s="59"/>
      <c r="F56" s="59" t="s">
        <v>60</v>
      </c>
      <c r="G56" s="59"/>
      <c r="H56" s="59"/>
      <c r="I56" s="59"/>
      <c r="J56" s="59"/>
      <c r="K56" s="59"/>
    </row>
    <row r="57" spans="1:12" s="51" customFormat="1" ht="15" x14ac:dyDescent="0.25">
      <c r="A57" s="59"/>
      <c r="B57" s="59"/>
      <c r="C57" s="110"/>
      <c r="D57" s="59"/>
      <c r="E57" s="59"/>
      <c r="F57" s="111" t="s">
        <v>438</v>
      </c>
      <c r="G57" s="59"/>
    </row>
    <row r="58" spans="1:12" s="51" customFormat="1" ht="15" x14ac:dyDescent="0.25">
      <c r="A58" s="59" t="s">
        <v>50</v>
      </c>
      <c r="B58" s="59"/>
      <c r="C58" s="110"/>
      <c r="D58" s="59"/>
      <c r="E58" s="59"/>
      <c r="F58" s="59"/>
      <c r="G58" s="59"/>
      <c r="H58" s="141"/>
      <c r="I58" s="141"/>
      <c r="J58" s="141"/>
    </row>
    <row r="59" spans="1:12" ht="15" x14ac:dyDescent="0.25">
      <c r="A59" s="59"/>
      <c r="B59" s="59"/>
      <c r="C59" s="112" t="s">
        <v>51</v>
      </c>
      <c r="D59" s="59"/>
      <c r="E59" s="113"/>
      <c r="F59" s="113"/>
      <c r="G59" s="113"/>
      <c r="H59" s="51"/>
      <c r="I59" s="51"/>
      <c r="J59" s="51"/>
      <c r="K59" s="51"/>
    </row>
    <row r="60" spans="1:12" x14ac:dyDescent="0.2">
      <c r="A60" s="51"/>
      <c r="B60" s="51"/>
      <c r="C60" s="51"/>
      <c r="D60" s="51"/>
      <c r="E60" s="51"/>
      <c r="F60" s="51"/>
      <c r="G60" s="51"/>
      <c r="H60" s="51"/>
      <c r="I60" s="51"/>
      <c r="J60" s="51"/>
      <c r="K60" s="51"/>
    </row>
  </sheetData>
  <mergeCells count="44">
    <mergeCell ref="B53:C53"/>
    <mergeCell ref="F53:G53"/>
    <mergeCell ref="B45:C45"/>
    <mergeCell ref="B46:C46"/>
    <mergeCell ref="B47:C47"/>
    <mergeCell ref="F45:G45"/>
    <mergeCell ref="B48:C48"/>
    <mergeCell ref="F46:G46"/>
    <mergeCell ref="F47:G47"/>
    <mergeCell ref="F48:G48"/>
    <mergeCell ref="B50:C50"/>
    <mergeCell ref="F50:G50"/>
    <mergeCell ref="B54:C54"/>
    <mergeCell ref="F54:G54"/>
    <mergeCell ref="B51:C51"/>
    <mergeCell ref="B49:C49"/>
    <mergeCell ref="B52:C52"/>
    <mergeCell ref="F52:G52"/>
    <mergeCell ref="F51:G51"/>
    <mergeCell ref="F49:G49"/>
    <mergeCell ref="B40:C40"/>
    <mergeCell ref="F40:G40"/>
    <mergeCell ref="B41:C41"/>
    <mergeCell ref="B44:C44"/>
    <mergeCell ref="B43:C43"/>
    <mergeCell ref="F43:G43"/>
    <mergeCell ref="F44:G44"/>
    <mergeCell ref="F38:G38"/>
    <mergeCell ref="A36:G36"/>
    <mergeCell ref="A32:F32"/>
    <mergeCell ref="A2:L2"/>
    <mergeCell ref="A3:L3"/>
    <mergeCell ref="B39:C39"/>
    <mergeCell ref="F39:G39"/>
    <mergeCell ref="A1:K1"/>
    <mergeCell ref="A5:K5"/>
    <mergeCell ref="A9:K9"/>
    <mergeCell ref="A10:K10"/>
    <mergeCell ref="B42:C42"/>
    <mergeCell ref="F42:G42"/>
    <mergeCell ref="F41:G41"/>
    <mergeCell ref="A11:K11"/>
    <mergeCell ref="A33:C33"/>
    <mergeCell ref="B38:C38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  <drawing r:id="rId2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6EDBAD-EE6E-4F77-AB96-1E2414F0E183}">
  <sheetPr>
    <tabColor rgb="FF7030A0"/>
  </sheetPr>
  <dimension ref="A1:U54"/>
  <sheetViews>
    <sheetView topLeftCell="A35" workbookViewId="0">
      <selection activeCell="A56" sqref="A56:IV57"/>
    </sheetView>
  </sheetViews>
  <sheetFormatPr defaultRowHeight="12.75" outlineLevelRow="1" outlineLevelCol="1" x14ac:dyDescent="0.2"/>
  <cols>
    <col min="1" max="1" width="6" style="49" customWidth="1"/>
    <col min="2" max="2" width="48.140625" style="49" customWidth="1"/>
    <col min="3" max="3" width="14" style="49" customWidth="1"/>
    <col min="4" max="4" width="14.85546875" style="49" customWidth="1"/>
    <col min="5" max="6" width="13.28515625" style="49" customWidth="1"/>
    <col min="7" max="7" width="14.5703125" style="49" customWidth="1"/>
    <col min="8" max="9" width="11.5703125" style="49" hidden="1" customWidth="1" outlineLevel="1"/>
    <col min="10" max="10" width="10.140625" style="49" hidden="1" customWidth="1" outlineLevel="1"/>
    <col min="11" max="11" width="10.42578125" style="49" hidden="1" customWidth="1" outlineLevel="1"/>
    <col min="12" max="12" width="9.140625" style="49" collapsed="1"/>
    <col min="13" max="13" width="10" style="49" bestFit="1" customWidth="1"/>
    <col min="14" max="14" width="15.85546875" style="49" customWidth="1"/>
    <col min="15" max="16384" width="9.140625" style="49"/>
  </cols>
  <sheetData>
    <row r="1" spans="1:12" x14ac:dyDescent="0.2">
      <c r="A1" s="370" t="s">
        <v>0</v>
      </c>
      <c r="B1" s="370"/>
      <c r="C1" s="370"/>
      <c r="D1" s="370"/>
      <c r="E1" s="370"/>
      <c r="F1" s="370"/>
      <c r="G1" s="370"/>
      <c r="H1" s="370"/>
      <c r="I1" s="370"/>
      <c r="J1" s="370"/>
      <c r="K1" s="370"/>
    </row>
    <row r="2" spans="1:12" ht="12.75" customHeight="1" x14ac:dyDescent="0.2">
      <c r="A2" s="370" t="s">
        <v>152</v>
      </c>
      <c r="B2" s="370"/>
      <c r="C2" s="370"/>
      <c r="D2" s="370"/>
      <c r="E2" s="370"/>
      <c r="F2" s="370"/>
      <c r="G2" s="370"/>
      <c r="H2" s="370"/>
      <c r="I2" s="370"/>
      <c r="J2" s="370"/>
      <c r="K2" s="370"/>
      <c r="L2" s="370"/>
    </row>
    <row r="3" spans="1:12" ht="13.5" customHeight="1" x14ac:dyDescent="0.2">
      <c r="A3" s="370" t="s">
        <v>426</v>
      </c>
      <c r="B3" s="370"/>
      <c r="C3" s="370"/>
      <c r="D3" s="370"/>
      <c r="E3" s="370"/>
      <c r="F3" s="370"/>
      <c r="G3" s="370"/>
      <c r="H3" s="370"/>
      <c r="I3" s="370"/>
      <c r="J3" s="370"/>
      <c r="K3" s="370"/>
      <c r="L3" s="370"/>
    </row>
    <row r="4" spans="1:12" ht="9" customHeight="1" x14ac:dyDescent="0.2">
      <c r="A4" s="48"/>
      <c r="B4" s="48"/>
      <c r="C4" s="48"/>
      <c r="D4" s="48"/>
      <c r="E4" s="48"/>
      <c r="F4" s="48"/>
      <c r="G4" s="48"/>
      <c r="H4" s="48"/>
      <c r="I4" s="48"/>
      <c r="J4" s="48"/>
      <c r="K4" s="48"/>
    </row>
    <row r="5" spans="1:12" ht="16.5" customHeight="1" x14ac:dyDescent="0.2">
      <c r="A5" s="371" t="s">
        <v>1</v>
      </c>
      <c r="B5" s="370"/>
      <c r="C5" s="370"/>
      <c r="D5" s="370"/>
      <c r="E5" s="370"/>
      <c r="F5" s="370"/>
      <c r="G5" s="370"/>
      <c r="H5" s="370"/>
      <c r="I5" s="370"/>
      <c r="J5" s="370"/>
      <c r="K5" s="370"/>
    </row>
    <row r="7" spans="1:12" s="51" customFormat="1" ht="16.5" customHeight="1" x14ac:dyDescent="0.2">
      <c r="A7" s="51" t="s">
        <v>2</v>
      </c>
      <c r="F7" s="52" t="s">
        <v>363</v>
      </c>
      <c r="H7" s="52"/>
    </row>
    <row r="8" spans="1:12" s="51" customFormat="1" x14ac:dyDescent="0.2">
      <c r="A8" s="51" t="s">
        <v>3</v>
      </c>
      <c r="F8" s="242" t="s">
        <v>364</v>
      </c>
      <c r="H8" s="244">
        <f>22+61.1</f>
        <v>83.1</v>
      </c>
      <c r="I8" s="245">
        <f>J8-H8</f>
        <v>2687.7000000000003</v>
      </c>
      <c r="J8" s="245">
        <v>2770.8</v>
      </c>
    </row>
    <row r="9" spans="1:12" s="51" customFormat="1" x14ac:dyDescent="0.2">
      <c r="B9" s="51" t="s">
        <v>252</v>
      </c>
      <c r="F9" s="242" t="s">
        <v>365</v>
      </c>
      <c r="H9" s="311"/>
      <c r="I9" s="312"/>
      <c r="J9" s="312"/>
    </row>
    <row r="10" spans="1:12" s="51" customFormat="1" x14ac:dyDescent="0.2">
      <c r="A10" s="372" t="s">
        <v>150</v>
      </c>
      <c r="B10" s="372"/>
      <c r="C10" s="372"/>
      <c r="D10" s="372"/>
      <c r="E10" s="372"/>
      <c r="F10" s="372"/>
      <c r="G10" s="372"/>
      <c r="H10" s="372"/>
      <c r="I10" s="372"/>
      <c r="J10" s="372"/>
      <c r="K10" s="372"/>
    </row>
    <row r="11" spans="1:12" s="51" customFormat="1" x14ac:dyDescent="0.2">
      <c r="A11" s="372" t="s">
        <v>9</v>
      </c>
      <c r="B11" s="372"/>
      <c r="C11" s="372"/>
      <c r="D11" s="372"/>
      <c r="E11" s="372"/>
      <c r="F11" s="372"/>
      <c r="G11" s="372"/>
      <c r="H11" s="372"/>
      <c r="I11" s="372"/>
      <c r="J11" s="372"/>
      <c r="K11" s="372"/>
    </row>
    <row r="12" spans="1:12" s="51" customFormat="1" x14ac:dyDescent="0.2">
      <c r="A12" s="372" t="s">
        <v>10</v>
      </c>
      <c r="B12" s="372"/>
      <c r="C12" s="372"/>
      <c r="D12" s="372"/>
      <c r="E12" s="372"/>
      <c r="F12" s="372"/>
      <c r="G12" s="372"/>
      <c r="H12" s="372"/>
      <c r="I12" s="372"/>
      <c r="J12" s="372"/>
      <c r="K12" s="372"/>
    </row>
    <row r="13" spans="1:12" s="59" customFormat="1" ht="6" customHeight="1" thickBot="1" x14ac:dyDescent="0.3">
      <c r="A13" s="60"/>
      <c r="B13" s="60"/>
      <c r="C13" s="60"/>
      <c r="D13" s="38"/>
      <c r="E13" s="58"/>
      <c r="F13" s="58"/>
      <c r="G13" s="58"/>
      <c r="H13" s="54"/>
      <c r="I13" s="54"/>
    </row>
    <row r="14" spans="1:12" s="59" customFormat="1" ht="15.75" thickBot="1" x14ac:dyDescent="0.3">
      <c r="A14" s="55" t="s">
        <v>580</v>
      </c>
      <c r="B14" s="56"/>
      <c r="C14" s="56"/>
      <c r="D14" s="61"/>
      <c r="E14" s="62"/>
      <c r="F14" s="62"/>
      <c r="G14" s="57">
        <f>'[1]Труда 18 дробь 1'!$G$38</f>
        <v>-312341.27749999997</v>
      </c>
      <c r="H14" s="54"/>
      <c r="I14" s="54"/>
    </row>
    <row r="15" spans="1:12" s="51" customFormat="1" ht="6.75" customHeight="1" x14ac:dyDescent="0.2"/>
    <row r="16" spans="1:12" s="66" customFormat="1" ht="38.25" x14ac:dyDescent="0.25">
      <c r="A16" s="64" t="s">
        <v>11</v>
      </c>
      <c r="B16" s="64" t="s">
        <v>12</v>
      </c>
      <c r="C16" s="64" t="s">
        <v>61</v>
      </c>
      <c r="D16" s="64" t="s">
        <v>432</v>
      </c>
      <c r="E16" s="64" t="s">
        <v>433</v>
      </c>
      <c r="F16" s="65" t="s">
        <v>434</v>
      </c>
      <c r="G16" s="64" t="s">
        <v>435</v>
      </c>
    </row>
    <row r="17" spans="1:14" s="51" customFormat="1" ht="14.25" x14ac:dyDescent="0.2">
      <c r="A17" s="67" t="s">
        <v>14</v>
      </c>
      <c r="B17" s="39" t="s">
        <v>379</v>
      </c>
      <c r="C17" s="87">
        <v>23.85</v>
      </c>
      <c r="D17" s="68">
        <v>769221.36</v>
      </c>
      <c r="E17" s="68">
        <v>733708.28</v>
      </c>
      <c r="F17" s="68">
        <f t="shared" ref="F17:F23" si="0">D17</f>
        <v>769221.36</v>
      </c>
      <c r="G17" s="69">
        <f>D17-E17</f>
        <v>35513.079999999958</v>
      </c>
      <c r="H17" s="70">
        <f>C17</f>
        <v>23.85</v>
      </c>
      <c r="I17" s="71"/>
      <c r="J17" s="71"/>
      <c r="K17" s="71"/>
      <c r="M17" s="70"/>
      <c r="N17" s="72"/>
    </row>
    <row r="18" spans="1:14" s="51" customFormat="1" ht="15" hidden="1" outlineLevel="1" x14ac:dyDescent="0.25">
      <c r="A18" s="73" t="s">
        <v>16</v>
      </c>
      <c r="B18" s="34" t="s">
        <v>17</v>
      </c>
      <c r="C18" s="74">
        <v>3.46</v>
      </c>
      <c r="D18" s="75">
        <f>D17*I18</f>
        <v>111593.53901886792</v>
      </c>
      <c r="E18" s="75">
        <f>E17*I18</f>
        <v>106441.53663731656</v>
      </c>
      <c r="F18" s="75">
        <f t="shared" si="0"/>
        <v>111593.53901886792</v>
      </c>
      <c r="G18" s="76">
        <f>D18-E18</f>
        <v>5152.0023815513559</v>
      </c>
      <c r="H18" s="70">
        <f>C18</f>
        <v>3.46</v>
      </c>
      <c r="I18" s="51">
        <f>H18/H17</f>
        <v>0.14507337526205449</v>
      </c>
    </row>
    <row r="19" spans="1:14" s="51" customFormat="1" ht="15" hidden="1" outlineLevel="1" x14ac:dyDescent="0.25">
      <c r="A19" s="73" t="s">
        <v>18</v>
      </c>
      <c r="B19" s="34" t="s">
        <v>19</v>
      </c>
      <c r="C19" s="74">
        <v>1.69</v>
      </c>
      <c r="D19" s="75">
        <f>D17*I19</f>
        <v>54506.670792452824</v>
      </c>
      <c r="E19" s="75">
        <f>E17*I19</f>
        <v>51990.230322851145</v>
      </c>
      <c r="F19" s="75">
        <f t="shared" si="0"/>
        <v>54506.670792452824</v>
      </c>
      <c r="G19" s="76">
        <f>D19-E19</f>
        <v>2516.4404696016791</v>
      </c>
      <c r="H19" s="70">
        <f>C19</f>
        <v>1.69</v>
      </c>
      <c r="I19" s="51">
        <f>H19/H17</f>
        <v>7.0859538784067075E-2</v>
      </c>
    </row>
    <row r="20" spans="1:14" s="51" customFormat="1" ht="15" hidden="1" outlineLevel="1" x14ac:dyDescent="0.25">
      <c r="A20" s="73" t="s">
        <v>20</v>
      </c>
      <c r="B20" s="34" t="s">
        <v>21</v>
      </c>
      <c r="C20" s="74">
        <v>2.15</v>
      </c>
      <c r="D20" s="75">
        <f>D17*I20</f>
        <v>69342.806037735834</v>
      </c>
      <c r="E20" s="75">
        <f>E17*I20</f>
        <v>66141.417274633117</v>
      </c>
      <c r="F20" s="75">
        <f t="shared" si="0"/>
        <v>69342.806037735834</v>
      </c>
      <c r="G20" s="76">
        <f>D20-E20</f>
        <v>3201.3887631027173</v>
      </c>
      <c r="H20" s="70">
        <f>C20</f>
        <v>2.15</v>
      </c>
      <c r="I20" s="51">
        <f>H20/H17</f>
        <v>9.0146750524109004E-2</v>
      </c>
    </row>
    <row r="21" spans="1:14" s="51" customFormat="1" ht="15" hidden="1" outlineLevel="1" x14ac:dyDescent="0.25">
      <c r="A21" s="73" t="s">
        <v>22</v>
      </c>
      <c r="B21" s="34" t="s">
        <v>23</v>
      </c>
      <c r="C21" s="74">
        <v>3.04</v>
      </c>
      <c r="D21" s="75">
        <f>D17*I21</f>
        <v>98047.502490566025</v>
      </c>
      <c r="E21" s="75">
        <f>E17*I21</f>
        <v>93520.887681341716</v>
      </c>
      <c r="F21" s="75">
        <f t="shared" si="0"/>
        <v>98047.502490566025</v>
      </c>
      <c r="G21" s="76">
        <f>D21-E21</f>
        <v>4526.6148092243093</v>
      </c>
      <c r="H21" s="70">
        <f>C21</f>
        <v>3.04</v>
      </c>
      <c r="I21" s="51">
        <f>H21/H17</f>
        <v>0.12746331236897274</v>
      </c>
    </row>
    <row r="22" spans="1:14" s="81" customFormat="1" ht="14.25" collapsed="1" x14ac:dyDescent="0.2">
      <c r="A22" s="78" t="s">
        <v>25</v>
      </c>
      <c r="B22" s="78" t="s">
        <v>118</v>
      </c>
      <c r="C22" s="43">
        <v>0</v>
      </c>
      <c r="D22" s="79">
        <v>0</v>
      </c>
      <c r="E22" s="79">
        <v>0</v>
      </c>
      <c r="F22" s="79">
        <v>0</v>
      </c>
      <c r="G22" s="69">
        <f t="shared" ref="G22:G33" si="1">D22-E22</f>
        <v>0</v>
      </c>
      <c r="H22" s="80"/>
      <c r="I22" s="80"/>
      <c r="J22" s="80"/>
      <c r="K22" s="80"/>
    </row>
    <row r="23" spans="1:14" s="81" customFormat="1" ht="14.25" x14ac:dyDescent="0.2">
      <c r="A23" s="78" t="s">
        <v>27</v>
      </c>
      <c r="B23" s="78" t="s">
        <v>138</v>
      </c>
      <c r="C23" s="46">
        <v>120</v>
      </c>
      <c r="D23" s="79">
        <v>0</v>
      </c>
      <c r="E23" s="79">
        <v>9.19</v>
      </c>
      <c r="F23" s="79">
        <f t="shared" si="0"/>
        <v>0</v>
      </c>
      <c r="G23" s="69">
        <f t="shared" si="1"/>
        <v>-9.19</v>
      </c>
      <c r="H23" s="80"/>
      <c r="I23" s="80"/>
      <c r="J23" s="80"/>
      <c r="K23" s="80"/>
    </row>
    <row r="24" spans="1:14" s="81" customFormat="1" ht="14.25" x14ac:dyDescent="0.2">
      <c r="A24" s="78" t="s">
        <v>29</v>
      </c>
      <c r="B24" s="78" t="s">
        <v>26</v>
      </c>
      <c r="C24" s="43">
        <v>0</v>
      </c>
      <c r="D24" s="79">
        <v>0</v>
      </c>
      <c r="E24" s="79">
        <v>0</v>
      </c>
      <c r="F24" s="79">
        <v>0</v>
      </c>
      <c r="G24" s="69">
        <f t="shared" si="1"/>
        <v>0</v>
      </c>
      <c r="H24" s="80"/>
      <c r="I24" s="80"/>
      <c r="J24" s="80"/>
      <c r="K24" s="80"/>
    </row>
    <row r="25" spans="1:14" s="81" customFormat="1" ht="14.25" x14ac:dyDescent="0.2">
      <c r="A25" s="78" t="s">
        <v>31</v>
      </c>
      <c r="B25" s="78" t="s">
        <v>80</v>
      </c>
      <c r="C25" s="86">
        <v>2.36</v>
      </c>
      <c r="D25" s="79">
        <f>76116.12+D26</f>
        <v>78469.509999999995</v>
      </c>
      <c r="E25" s="79">
        <f>72604.61+E26</f>
        <v>74646.48</v>
      </c>
      <c r="F25" s="79">
        <f>F45</f>
        <v>746.46479999999997</v>
      </c>
      <c r="G25" s="69">
        <f t="shared" si="1"/>
        <v>3823.0299999999988</v>
      </c>
      <c r="H25" s="80"/>
      <c r="I25" s="80"/>
      <c r="J25" s="80"/>
      <c r="K25" s="80"/>
    </row>
    <row r="26" spans="1:14" s="81" customFormat="1" ht="14.25" x14ac:dyDescent="0.2">
      <c r="A26" s="78"/>
      <c r="B26" s="292" t="s">
        <v>244</v>
      </c>
      <c r="C26" s="293"/>
      <c r="D26" s="294">
        <f>623.04+1730.35</f>
        <v>2353.39</v>
      </c>
      <c r="E26" s="294">
        <f>311.52+1730.35</f>
        <v>2041.87</v>
      </c>
      <c r="F26" s="294"/>
      <c r="G26" s="248"/>
      <c r="H26" s="80"/>
      <c r="I26" s="80"/>
      <c r="J26" s="80"/>
      <c r="K26" s="80"/>
    </row>
    <row r="27" spans="1:14" ht="14.25" x14ac:dyDescent="0.2">
      <c r="A27" s="39" t="s">
        <v>33</v>
      </c>
      <c r="B27" s="39" t="s">
        <v>97</v>
      </c>
      <c r="C27" s="46">
        <v>0</v>
      </c>
      <c r="D27" s="69">
        <v>0</v>
      </c>
      <c r="E27" s="69">
        <v>0</v>
      </c>
      <c r="F27" s="79">
        <f>D27</f>
        <v>0</v>
      </c>
      <c r="G27" s="69">
        <f t="shared" si="1"/>
        <v>0</v>
      </c>
      <c r="H27" s="88"/>
      <c r="I27" s="88"/>
      <c r="J27" s="88"/>
      <c r="K27" s="88"/>
    </row>
    <row r="28" spans="1:14" ht="14.25" x14ac:dyDescent="0.2">
      <c r="A28" s="39" t="s">
        <v>35</v>
      </c>
      <c r="B28" s="39" t="s">
        <v>36</v>
      </c>
      <c r="C28" s="87"/>
      <c r="D28" s="69">
        <f>SUM(D29:D32)</f>
        <v>1809102.13</v>
      </c>
      <c r="E28" s="69">
        <f>SUM(E29:E32)</f>
        <v>1762546.1400000001</v>
      </c>
      <c r="F28" s="69">
        <f>SUM(F29:F32)</f>
        <v>1809102.13</v>
      </c>
      <c r="G28" s="69">
        <f t="shared" si="1"/>
        <v>46555.989999999758</v>
      </c>
      <c r="H28" s="88"/>
      <c r="I28" s="88"/>
      <c r="J28" s="88"/>
      <c r="K28" s="88"/>
    </row>
    <row r="29" spans="1:14" ht="15" x14ac:dyDescent="0.25">
      <c r="A29" s="34" t="s">
        <v>37</v>
      </c>
      <c r="B29" s="34" t="s">
        <v>101</v>
      </c>
      <c r="C29" s="89">
        <v>7.36</v>
      </c>
      <c r="D29" s="76">
        <v>39432.959999999999</v>
      </c>
      <c r="E29" s="76">
        <v>37302.1</v>
      </c>
      <c r="F29" s="76">
        <f>D29</f>
        <v>39432.959999999999</v>
      </c>
      <c r="G29" s="76">
        <f t="shared" si="1"/>
        <v>2130.8600000000006</v>
      </c>
    </row>
    <row r="30" spans="1:14" ht="15" x14ac:dyDescent="0.25">
      <c r="A30" s="34" t="s">
        <v>39</v>
      </c>
      <c r="B30" s="34" t="s">
        <v>84</v>
      </c>
      <c r="C30" s="89">
        <v>88.38</v>
      </c>
      <c r="D30" s="76">
        <v>283465.52</v>
      </c>
      <c r="E30" s="76">
        <v>294032.78000000003</v>
      </c>
      <c r="F30" s="76">
        <f>D30</f>
        <v>283465.52</v>
      </c>
      <c r="G30" s="76">
        <f t="shared" si="1"/>
        <v>-10567.260000000009</v>
      </c>
    </row>
    <row r="31" spans="1:14" ht="15" x14ac:dyDescent="0.25">
      <c r="A31" s="34" t="s">
        <v>42</v>
      </c>
      <c r="B31" s="45" t="s">
        <v>85</v>
      </c>
      <c r="C31" s="128">
        <v>278.94</v>
      </c>
      <c r="D31" s="76">
        <v>420917.96</v>
      </c>
      <c r="E31" s="76">
        <v>418269.87</v>
      </c>
      <c r="F31" s="76">
        <f>D31</f>
        <v>420917.96</v>
      </c>
      <c r="G31" s="76">
        <f t="shared" si="1"/>
        <v>2648.0900000000256</v>
      </c>
    </row>
    <row r="32" spans="1:14" s="230" customFormat="1" ht="15" x14ac:dyDescent="0.25">
      <c r="A32" s="228" t="s">
        <v>41</v>
      </c>
      <c r="B32" s="228" t="s">
        <v>43</v>
      </c>
      <c r="C32" s="89">
        <v>3352.42</v>
      </c>
      <c r="D32" s="188">
        <v>1065285.69</v>
      </c>
      <c r="E32" s="188">
        <v>1012941.39</v>
      </c>
      <c r="F32" s="188">
        <f>D32</f>
        <v>1065285.69</v>
      </c>
      <c r="G32" s="76">
        <f t="shared" si="1"/>
        <v>52344.29999999993</v>
      </c>
    </row>
    <row r="33" spans="1:21" s="230" customFormat="1" ht="14.25" hidden="1" outlineLevel="1" x14ac:dyDescent="0.2">
      <c r="A33" s="286" t="s">
        <v>112</v>
      </c>
      <c r="B33" s="300" t="s">
        <v>140</v>
      </c>
      <c r="C33" s="298"/>
      <c r="D33" s="248">
        <v>1000</v>
      </c>
      <c r="E33" s="248">
        <v>0</v>
      </c>
      <c r="F33" s="248">
        <v>0</v>
      </c>
      <c r="G33" s="248">
        <f t="shared" si="1"/>
        <v>1000</v>
      </c>
    </row>
    <row r="34" spans="1:21" s="230" customFormat="1" ht="15" hidden="1" customHeight="1" outlineLevel="1" x14ac:dyDescent="0.25">
      <c r="A34" s="153"/>
      <c r="B34" s="301"/>
      <c r="C34" s="376" t="s">
        <v>246</v>
      </c>
      <c r="D34" s="377"/>
      <c r="E34" s="377"/>
      <c r="F34" s="377"/>
      <c r="G34" s="82">
        <f>E33-(E33*15%)</f>
        <v>0</v>
      </c>
    </row>
    <row r="35" spans="1:21" s="92" customFormat="1" ht="12" customHeight="1" collapsed="1" thickBot="1" x14ac:dyDescent="0.3">
      <c r="A35" s="373"/>
      <c r="B35" s="374"/>
      <c r="C35" s="374"/>
      <c r="D35" s="375"/>
      <c r="E35" s="375"/>
      <c r="F35" s="375"/>
      <c r="G35" s="91"/>
      <c r="H35" s="91"/>
      <c r="I35" s="91"/>
      <c r="L35" s="315"/>
      <c r="M35" s="286"/>
      <c r="N35" s="301"/>
      <c r="O35" s="313"/>
      <c r="P35" s="314"/>
      <c r="Q35" s="314"/>
      <c r="R35" s="314"/>
      <c r="S35" s="314"/>
      <c r="T35" s="315"/>
      <c r="U35" s="315"/>
    </row>
    <row r="36" spans="1:21" s="59" customFormat="1" ht="15.75" thickBot="1" x14ac:dyDescent="0.3">
      <c r="A36" s="387" t="s">
        <v>427</v>
      </c>
      <c r="B36" s="388"/>
      <c r="C36" s="388"/>
      <c r="D36" s="57">
        <v>85882.91</v>
      </c>
      <c r="E36" s="58"/>
      <c r="F36" s="58"/>
      <c r="G36" s="58"/>
      <c r="H36" s="54"/>
      <c r="I36" s="54"/>
      <c r="L36" s="284"/>
      <c r="M36" s="153"/>
      <c r="N36" s="301"/>
      <c r="O36" s="569"/>
      <c r="P36" s="570"/>
      <c r="Q36" s="570"/>
      <c r="R36" s="570"/>
      <c r="S36" s="197"/>
      <c r="T36" s="284"/>
      <c r="U36" s="284"/>
    </row>
    <row r="37" spans="1:21" s="59" customFormat="1" ht="6" customHeight="1" thickBot="1" x14ac:dyDescent="0.3">
      <c r="A37" s="60"/>
      <c r="B37" s="60"/>
      <c r="C37" s="60"/>
      <c r="D37" s="38"/>
      <c r="E37" s="58"/>
      <c r="F37" s="58"/>
      <c r="G37" s="58"/>
      <c r="H37" s="54"/>
      <c r="I37" s="54"/>
      <c r="L37" s="284"/>
      <c r="M37" s="284"/>
      <c r="N37" s="284"/>
      <c r="O37" s="284"/>
      <c r="P37" s="284"/>
      <c r="Q37" s="284"/>
      <c r="R37" s="284"/>
      <c r="S37" s="284"/>
      <c r="T37" s="284"/>
      <c r="U37" s="284"/>
    </row>
    <row r="38" spans="1:21" s="59" customFormat="1" ht="15.75" thickBot="1" x14ac:dyDescent="0.3">
      <c r="A38" s="55" t="s">
        <v>428</v>
      </c>
      <c r="B38" s="56"/>
      <c r="C38" s="56"/>
      <c r="D38" s="61"/>
      <c r="E38" s="62"/>
      <c r="F38" s="62"/>
      <c r="G38" s="129">
        <f>G14+E25-F25</f>
        <v>-238441.26229999997</v>
      </c>
      <c r="H38" s="54"/>
      <c r="I38" s="54"/>
      <c r="L38" s="284"/>
      <c r="M38" s="284"/>
      <c r="N38" s="284"/>
      <c r="O38" s="284"/>
      <c r="P38" s="284"/>
      <c r="Q38" s="284"/>
      <c r="R38" s="284"/>
      <c r="S38" s="284"/>
      <c r="T38" s="284"/>
      <c r="U38" s="284"/>
    </row>
    <row r="39" spans="1:21" s="59" customFormat="1" ht="15" x14ac:dyDescent="0.25">
      <c r="A39" s="392" t="s">
        <v>90</v>
      </c>
      <c r="B39" s="392"/>
      <c r="C39" s="60"/>
      <c r="D39" s="38"/>
      <c r="E39" s="58"/>
      <c r="F39" s="58"/>
      <c r="G39" s="38"/>
      <c r="H39" s="54"/>
      <c r="I39" s="54"/>
      <c r="L39" s="284"/>
      <c r="M39" s="284"/>
      <c r="N39" s="284"/>
      <c r="O39" s="284"/>
      <c r="P39" s="284"/>
      <c r="Q39" s="284"/>
      <c r="R39" s="284"/>
      <c r="S39" s="284"/>
      <c r="T39" s="284"/>
      <c r="U39" s="284"/>
    </row>
    <row r="40" spans="1:21" s="59" customFormat="1" ht="15" x14ac:dyDescent="0.25">
      <c r="A40" s="444" t="s">
        <v>91</v>
      </c>
      <c r="B40" s="445"/>
      <c r="C40" s="305" t="s">
        <v>92</v>
      </c>
      <c r="D40" s="305" t="s">
        <v>93</v>
      </c>
      <c r="E40" s="138" t="s">
        <v>94</v>
      </c>
      <c r="F40" s="306" t="s">
        <v>95</v>
      </c>
      <c r="G40" s="138" t="s">
        <v>96</v>
      </c>
      <c r="H40" s="54"/>
      <c r="I40" s="54">
        <f>61.1*H41*3</f>
        <v>4804.2929999999997</v>
      </c>
      <c r="L40" s="284"/>
      <c r="M40" s="284"/>
      <c r="N40" s="284"/>
      <c r="O40" s="284"/>
      <c r="P40" s="284"/>
      <c r="Q40" s="284"/>
      <c r="R40" s="284"/>
      <c r="S40" s="284"/>
      <c r="T40" s="284"/>
      <c r="U40" s="284"/>
    </row>
    <row r="41" spans="1:21" s="59" customFormat="1" ht="15" x14ac:dyDescent="0.25">
      <c r="A41" s="446"/>
      <c r="B41" s="447"/>
      <c r="C41" s="342">
        <f>22+61.1</f>
        <v>83.1</v>
      </c>
      <c r="D41" s="138">
        <f>E41/C41/12</f>
        <v>26.210108303249097</v>
      </c>
      <c r="E41" s="358">
        <f>6919.44+19217.28</f>
        <v>26136.719999999998</v>
      </c>
      <c r="F41" s="360">
        <f>3459.72+19217.28</f>
        <v>22677</v>
      </c>
      <c r="G41" s="138">
        <f>E41-F41</f>
        <v>3459.7199999999975</v>
      </c>
      <c r="H41" s="335">
        <f>C17+C25</f>
        <v>26.21</v>
      </c>
      <c r="I41" s="54">
        <f>22*H41*3</f>
        <v>1729.8600000000001</v>
      </c>
      <c r="J41" s="59">
        <f>5096.52+14117.82</f>
        <v>19214.34</v>
      </c>
      <c r="K41" s="59">
        <f>4458.78+11568.09</f>
        <v>16026.869999999999</v>
      </c>
      <c r="L41" s="284"/>
      <c r="M41" s="284"/>
      <c r="N41" s="284"/>
      <c r="O41" s="284"/>
      <c r="P41" s="284"/>
      <c r="Q41" s="284"/>
      <c r="R41" s="284"/>
      <c r="S41" s="284"/>
      <c r="T41" s="284"/>
      <c r="U41" s="284"/>
    </row>
    <row r="42" spans="1:21" ht="31.5" customHeight="1" x14ac:dyDescent="0.25">
      <c r="A42" s="489" t="s">
        <v>106</v>
      </c>
      <c r="B42" s="490"/>
      <c r="C42" s="490"/>
      <c r="D42" s="490"/>
      <c r="E42" s="490"/>
      <c r="F42" s="490"/>
      <c r="G42" s="490"/>
      <c r="H42" s="50"/>
      <c r="I42" s="50"/>
      <c r="J42" s="50">
        <f>J41-E41</f>
        <v>-6922.3799999999974</v>
      </c>
      <c r="K42" s="50">
        <f>K41-F41</f>
        <v>-6650.130000000001</v>
      </c>
      <c r="L42" s="106"/>
      <c r="M42" s="106"/>
      <c r="N42" s="106"/>
      <c r="O42" s="106"/>
      <c r="P42" s="106"/>
      <c r="Q42" s="106"/>
      <c r="R42" s="106"/>
      <c r="S42" s="106"/>
      <c r="T42" s="106"/>
      <c r="U42" s="106"/>
    </row>
    <row r="44" spans="1:21" s="66" customFormat="1" ht="37.5" customHeight="1" x14ac:dyDescent="0.2">
      <c r="A44" s="94" t="s">
        <v>11</v>
      </c>
      <c r="B44" s="416" t="s">
        <v>45</v>
      </c>
      <c r="C44" s="425"/>
      <c r="D44" s="94" t="s">
        <v>99</v>
      </c>
      <c r="E44" s="94" t="s">
        <v>98</v>
      </c>
      <c r="F44" s="550" t="s">
        <v>46</v>
      </c>
      <c r="G44" s="550"/>
      <c r="H44" s="95"/>
      <c r="I44" s="96"/>
      <c r="L44" s="97"/>
    </row>
    <row r="45" spans="1:21" s="103" customFormat="1" ht="15" customHeight="1" x14ac:dyDescent="0.25">
      <c r="A45" s="98" t="s">
        <v>47</v>
      </c>
      <c r="B45" s="418" t="s">
        <v>75</v>
      </c>
      <c r="C45" s="430"/>
      <c r="D45" s="99"/>
      <c r="E45" s="99"/>
      <c r="F45" s="548">
        <f>SUM(F46:G48)</f>
        <v>746.46479999999997</v>
      </c>
      <c r="G45" s="549"/>
      <c r="H45" s="101"/>
      <c r="I45" s="102"/>
      <c r="L45" s="104"/>
    </row>
    <row r="46" spans="1:21" ht="24" customHeight="1" x14ac:dyDescent="0.25">
      <c r="A46" s="34" t="s">
        <v>16</v>
      </c>
      <c r="B46" s="412"/>
      <c r="C46" s="413"/>
      <c r="D46" s="260"/>
      <c r="E46" s="260"/>
      <c r="F46" s="463"/>
      <c r="G46" s="463"/>
      <c r="H46" s="38"/>
      <c r="I46" s="38"/>
      <c r="L46" s="106"/>
    </row>
    <row r="47" spans="1:21" ht="15" x14ac:dyDescent="0.25">
      <c r="A47" s="34" t="s">
        <v>18</v>
      </c>
      <c r="B47" s="412"/>
      <c r="C47" s="428"/>
      <c r="D47" s="258"/>
      <c r="E47" s="261"/>
      <c r="F47" s="463"/>
      <c r="G47" s="463"/>
      <c r="H47" s="38"/>
      <c r="I47" s="38"/>
      <c r="L47" s="106"/>
    </row>
    <row r="48" spans="1:21" s="59" customFormat="1" ht="15" x14ac:dyDescent="0.25">
      <c r="A48" s="34" t="s">
        <v>20</v>
      </c>
      <c r="B48" s="458" t="s">
        <v>108</v>
      </c>
      <c r="C48" s="459"/>
      <c r="D48" s="108"/>
      <c r="E48" s="108"/>
      <c r="F48" s="435">
        <f>E25*1%</f>
        <v>746.46479999999997</v>
      </c>
      <c r="G48" s="435"/>
      <c r="H48" s="51"/>
      <c r="I48" s="51"/>
      <c r="J48" s="51"/>
      <c r="K48" s="51"/>
    </row>
    <row r="49" spans="1:11" s="51" customFormat="1" ht="9" customHeight="1" x14ac:dyDescent="0.2"/>
    <row r="50" spans="1:11" s="51" customFormat="1" ht="15" x14ac:dyDescent="0.25">
      <c r="A50" s="51" t="s">
        <v>372</v>
      </c>
      <c r="B50" s="59"/>
      <c r="C50" s="110" t="s">
        <v>49</v>
      </c>
      <c r="D50" s="59"/>
      <c r="E50" s="59"/>
      <c r="F50" s="59" t="s">
        <v>60</v>
      </c>
      <c r="G50" s="59"/>
      <c r="H50" s="59"/>
      <c r="I50" s="59"/>
      <c r="J50" s="59"/>
      <c r="K50" s="59"/>
    </row>
    <row r="51" spans="1:11" s="51" customFormat="1" ht="15" x14ac:dyDescent="0.25">
      <c r="A51" s="59"/>
      <c r="B51" s="59"/>
      <c r="C51" s="110"/>
      <c r="D51" s="59"/>
      <c r="E51" s="59"/>
      <c r="F51" s="111" t="s">
        <v>438</v>
      </c>
      <c r="G51" s="59"/>
    </row>
    <row r="52" spans="1:11" s="51" customFormat="1" ht="15" x14ac:dyDescent="0.25">
      <c r="A52" s="59" t="s">
        <v>50</v>
      </c>
      <c r="B52" s="59"/>
      <c r="C52" s="110"/>
      <c r="D52" s="59"/>
      <c r="E52" s="59"/>
      <c r="F52" s="59"/>
      <c r="G52" s="59"/>
      <c r="H52" s="141"/>
      <c r="I52" s="141"/>
      <c r="J52" s="141"/>
    </row>
    <row r="53" spans="1:11" ht="15" x14ac:dyDescent="0.25">
      <c r="A53" s="59"/>
      <c r="B53" s="59"/>
      <c r="C53" s="112" t="s">
        <v>51</v>
      </c>
      <c r="D53" s="59"/>
      <c r="E53" s="113"/>
      <c r="F53" s="113"/>
      <c r="G53" s="113"/>
      <c r="H53" s="51"/>
      <c r="I53" s="51"/>
      <c r="J53" s="51"/>
      <c r="K53" s="51"/>
    </row>
    <row r="54" spans="1:11" x14ac:dyDescent="0.2">
      <c r="A54" s="51"/>
      <c r="B54" s="51"/>
      <c r="C54" s="51"/>
      <c r="D54" s="51"/>
      <c r="E54" s="51"/>
      <c r="F54" s="51"/>
      <c r="G54" s="51"/>
      <c r="H54" s="51"/>
      <c r="I54" s="51"/>
      <c r="J54" s="51"/>
      <c r="K54" s="51"/>
    </row>
  </sheetData>
  <mergeCells count="24">
    <mergeCell ref="B48:C48"/>
    <mergeCell ref="F48:G48"/>
    <mergeCell ref="B45:C45"/>
    <mergeCell ref="F45:G45"/>
    <mergeCell ref="B46:C46"/>
    <mergeCell ref="F46:G46"/>
    <mergeCell ref="B47:C47"/>
    <mergeCell ref="F47:G47"/>
    <mergeCell ref="B44:C44"/>
    <mergeCell ref="F44:G44"/>
    <mergeCell ref="A42:G42"/>
    <mergeCell ref="A35:F35"/>
    <mergeCell ref="A39:B39"/>
    <mergeCell ref="A40:B41"/>
    <mergeCell ref="O36:R36"/>
    <mergeCell ref="C34:F34"/>
    <mergeCell ref="A1:K1"/>
    <mergeCell ref="A5:K5"/>
    <mergeCell ref="A10:K10"/>
    <mergeCell ref="A11:K11"/>
    <mergeCell ref="A2:L2"/>
    <mergeCell ref="A12:K12"/>
    <mergeCell ref="A36:C36"/>
    <mergeCell ref="A3:L3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F7371B-4BD4-425D-B307-C6F741EE1E04}">
  <sheetPr>
    <tabColor rgb="FF7030A0"/>
  </sheetPr>
  <dimension ref="A1:M57"/>
  <sheetViews>
    <sheetView topLeftCell="A40" zoomScaleNormal="100" workbookViewId="0">
      <selection activeCell="A60" sqref="A60:IV61"/>
    </sheetView>
  </sheetViews>
  <sheetFormatPr defaultRowHeight="15" outlineLevelRow="1" outlineLevelCol="1" x14ac:dyDescent="0.25"/>
  <cols>
    <col min="1" max="1" width="4.7109375" style="35" customWidth="1"/>
    <col min="2" max="2" width="48.28515625" style="35" customWidth="1"/>
    <col min="3" max="3" width="12.7109375" style="35" customWidth="1"/>
    <col min="4" max="4" width="13.5703125" style="35" customWidth="1"/>
    <col min="5" max="5" width="15.5703125" style="35" customWidth="1"/>
    <col min="6" max="6" width="13" style="35" customWidth="1"/>
    <col min="7" max="7" width="13.7109375" style="35" customWidth="1"/>
    <col min="8" max="8" width="10.85546875" style="35" hidden="1" customWidth="1" outlineLevel="1"/>
    <col min="9" max="9" width="13.42578125" style="35" hidden="1" customWidth="1" outlineLevel="1"/>
    <col min="10" max="12" width="9.140625" style="35" hidden="1" customWidth="1" outlineLevel="1"/>
    <col min="13" max="13" width="9.7109375" style="35" bestFit="1" customWidth="1" collapsed="1"/>
    <col min="14" max="16384" width="9.140625" style="35"/>
  </cols>
  <sheetData>
    <row r="1" spans="1:11" x14ac:dyDescent="0.25">
      <c r="A1" s="397" t="s">
        <v>0</v>
      </c>
      <c r="B1" s="397"/>
      <c r="C1" s="397"/>
      <c r="D1" s="397"/>
      <c r="E1" s="397"/>
      <c r="F1" s="397"/>
      <c r="G1" s="397"/>
      <c r="H1" s="397"/>
      <c r="I1" s="397"/>
    </row>
    <row r="2" spans="1:11" ht="15" customHeight="1" x14ac:dyDescent="0.25">
      <c r="A2" s="370" t="s">
        <v>152</v>
      </c>
      <c r="B2" s="370"/>
      <c r="C2" s="370"/>
      <c r="D2" s="370"/>
      <c r="E2" s="370"/>
      <c r="F2" s="370"/>
      <c r="G2" s="370"/>
      <c r="H2" s="370"/>
      <c r="I2" s="370"/>
      <c r="J2" s="370"/>
      <c r="K2" s="370"/>
    </row>
    <row r="3" spans="1:11" ht="15" customHeight="1" x14ac:dyDescent="0.25">
      <c r="A3" s="370" t="s">
        <v>426</v>
      </c>
      <c r="B3" s="370"/>
      <c r="C3" s="370"/>
      <c r="D3" s="370"/>
      <c r="E3" s="370"/>
      <c r="F3" s="370"/>
      <c r="G3" s="370"/>
      <c r="H3" s="370"/>
      <c r="I3" s="370"/>
      <c r="J3" s="370"/>
      <c r="K3" s="370"/>
    </row>
    <row r="4" spans="1:11" ht="12" customHeight="1" x14ac:dyDescent="0.25">
      <c r="A4" s="142"/>
      <c r="B4" s="142"/>
      <c r="C4" s="142"/>
      <c r="D4" s="142"/>
      <c r="E4" s="142"/>
      <c r="F4" s="142"/>
      <c r="G4" s="142"/>
      <c r="H4" s="142"/>
      <c r="I4" s="142"/>
    </row>
    <row r="5" spans="1:11" ht="12" customHeight="1" x14ac:dyDescent="0.25">
      <c r="A5" s="398" t="s">
        <v>1</v>
      </c>
      <c r="B5" s="397"/>
      <c r="C5" s="397"/>
      <c r="D5" s="397"/>
      <c r="E5" s="397"/>
      <c r="F5" s="397"/>
      <c r="G5" s="397"/>
      <c r="H5" s="397"/>
      <c r="I5" s="397"/>
    </row>
    <row r="7" spans="1:11" s="59" customFormat="1" ht="16.5" customHeight="1" x14ac:dyDescent="0.25">
      <c r="A7" s="59" t="s">
        <v>2</v>
      </c>
      <c r="E7" s="111" t="s">
        <v>170</v>
      </c>
    </row>
    <row r="8" spans="1:11" s="59" customFormat="1" x14ac:dyDescent="0.25">
      <c r="A8" s="59" t="s">
        <v>3</v>
      </c>
      <c r="E8" s="239" t="s">
        <v>171</v>
      </c>
      <c r="I8" s="180">
        <f>92.2+129.6</f>
        <v>221.8</v>
      </c>
      <c r="J8" s="110">
        <v>3787.7</v>
      </c>
    </row>
    <row r="9" spans="1:11" s="59" customFormat="1" x14ac:dyDescent="0.25">
      <c r="B9" s="51" t="s">
        <v>244</v>
      </c>
      <c r="C9" s="115"/>
      <c r="D9" s="51"/>
      <c r="E9" s="285" t="s">
        <v>249</v>
      </c>
      <c r="F9" s="285"/>
    </row>
    <row r="10" spans="1:11" s="59" customFormat="1" x14ac:dyDescent="0.25">
      <c r="A10" s="372" t="s">
        <v>8</v>
      </c>
      <c r="B10" s="372"/>
      <c r="C10" s="372"/>
      <c r="D10" s="372"/>
      <c r="E10" s="372"/>
      <c r="F10" s="372"/>
      <c r="G10" s="372"/>
      <c r="H10" s="372"/>
      <c r="I10" s="372"/>
    </row>
    <row r="11" spans="1:11" s="59" customFormat="1" x14ac:dyDescent="0.25">
      <c r="A11" s="372" t="s">
        <v>9</v>
      </c>
      <c r="B11" s="372"/>
      <c r="C11" s="372"/>
      <c r="D11" s="372"/>
      <c r="E11" s="372"/>
      <c r="F11" s="372"/>
      <c r="G11" s="372"/>
      <c r="H11" s="372"/>
      <c r="I11" s="372"/>
    </row>
    <row r="12" spans="1:11" s="59" customFormat="1" x14ac:dyDescent="0.25">
      <c r="A12" s="372" t="s">
        <v>10</v>
      </c>
      <c r="B12" s="372"/>
      <c r="C12" s="372"/>
      <c r="D12" s="372"/>
      <c r="E12" s="372"/>
      <c r="F12" s="372"/>
      <c r="G12" s="372"/>
      <c r="H12" s="372"/>
      <c r="I12" s="372"/>
    </row>
    <row r="13" spans="1:11" s="59" customFormat="1" ht="6" customHeight="1" thickBot="1" x14ac:dyDescent="0.3">
      <c r="A13" s="60"/>
      <c r="B13" s="60"/>
      <c r="C13" s="60"/>
      <c r="D13" s="38"/>
      <c r="E13" s="58"/>
      <c r="F13" s="58"/>
      <c r="G13" s="58"/>
      <c r="H13" s="54"/>
      <c r="I13" s="54"/>
    </row>
    <row r="14" spans="1:11" s="59" customFormat="1" ht="15.75" thickBot="1" x14ac:dyDescent="0.3">
      <c r="A14" s="55" t="s">
        <v>381</v>
      </c>
      <c r="B14" s="56"/>
      <c r="C14" s="56"/>
      <c r="D14" s="61"/>
      <c r="E14" s="62"/>
      <c r="F14" s="62"/>
      <c r="G14" s="129">
        <f>'[1]Интернациональный 10'!$G$37</f>
        <v>176703.82660000003</v>
      </c>
      <c r="H14" s="54"/>
      <c r="I14" s="54"/>
    </row>
    <row r="15" spans="1:11" s="59" customFormat="1" ht="9" customHeight="1" x14ac:dyDescent="0.25"/>
    <row r="16" spans="1:11" s="66" customFormat="1" ht="38.25" x14ac:dyDescent="0.25">
      <c r="A16" s="64" t="s">
        <v>11</v>
      </c>
      <c r="B16" s="64" t="s">
        <v>12</v>
      </c>
      <c r="C16" s="64" t="s">
        <v>61</v>
      </c>
      <c r="D16" s="64" t="s">
        <v>432</v>
      </c>
      <c r="E16" s="64" t="s">
        <v>433</v>
      </c>
      <c r="F16" s="65" t="s">
        <v>434</v>
      </c>
      <c r="G16" s="64" t="s">
        <v>435</v>
      </c>
    </row>
    <row r="17" spans="1:13" s="152" customFormat="1" ht="14.25" x14ac:dyDescent="0.2">
      <c r="A17" s="67" t="s">
        <v>14</v>
      </c>
      <c r="B17" s="39" t="s">
        <v>379</v>
      </c>
      <c r="C17" s="120">
        <v>23.85</v>
      </c>
      <c r="D17" s="68">
        <v>1084040.8799999999</v>
      </c>
      <c r="E17" s="68">
        <v>1108291</v>
      </c>
      <c r="F17" s="68">
        <f>D17</f>
        <v>1084040.8799999999</v>
      </c>
      <c r="G17" s="69">
        <f>D17-E17</f>
        <v>-24250.120000000112</v>
      </c>
      <c r="H17" s="121">
        <f>C17</f>
        <v>23.85</v>
      </c>
    </row>
    <row r="18" spans="1:13" s="59" customFormat="1" ht="14.25" hidden="1" customHeight="1" outlineLevel="1" x14ac:dyDescent="0.25">
      <c r="A18" s="73" t="s">
        <v>16</v>
      </c>
      <c r="B18" s="34" t="s">
        <v>17</v>
      </c>
      <c r="C18" s="89">
        <v>3.46</v>
      </c>
      <c r="D18" s="75">
        <f>D17*I18</f>
        <v>157265.46938364778</v>
      </c>
      <c r="E18" s="75">
        <f>E17*I18</f>
        <v>160783.51614255764</v>
      </c>
      <c r="F18" s="75">
        <f>D18</f>
        <v>157265.46938364778</v>
      </c>
      <c r="G18" s="76">
        <f>D18-E18</f>
        <v>-3518.0467589098553</v>
      </c>
      <c r="H18" s="70">
        <f>C18</f>
        <v>3.46</v>
      </c>
      <c r="I18" s="59">
        <f>H18/H17</f>
        <v>0.14507337526205449</v>
      </c>
    </row>
    <row r="19" spans="1:13" s="59" customFormat="1" hidden="1" outlineLevel="1" x14ac:dyDescent="0.25">
      <c r="A19" s="73" t="s">
        <v>18</v>
      </c>
      <c r="B19" s="34" t="s">
        <v>19</v>
      </c>
      <c r="C19" s="89">
        <v>1.69</v>
      </c>
      <c r="D19" s="75">
        <f>D17*I19</f>
        <v>76814.636779874199</v>
      </c>
      <c r="E19" s="75">
        <f>E17*I19</f>
        <v>78532.989098532489</v>
      </c>
      <c r="F19" s="75">
        <f>D19</f>
        <v>76814.636779874199</v>
      </c>
      <c r="G19" s="76">
        <f>D19-E19</f>
        <v>-1718.3523186582897</v>
      </c>
      <c r="H19" s="70">
        <f>C19</f>
        <v>1.69</v>
      </c>
      <c r="I19" s="59">
        <f>H19/H17</f>
        <v>7.0859538784067075E-2</v>
      </c>
    </row>
    <row r="20" spans="1:13" s="59" customFormat="1" hidden="1" outlineLevel="1" x14ac:dyDescent="0.25">
      <c r="A20" s="73" t="s">
        <v>20</v>
      </c>
      <c r="B20" s="34" t="s">
        <v>21</v>
      </c>
      <c r="C20" s="89">
        <v>2.15</v>
      </c>
      <c r="D20" s="75">
        <f>D17*I20</f>
        <v>97722.762767295571</v>
      </c>
      <c r="E20" s="75">
        <f>E17*I20</f>
        <v>99908.832285115292</v>
      </c>
      <c r="F20" s="75">
        <f>D20</f>
        <v>97722.762767295571</v>
      </c>
      <c r="G20" s="76">
        <f>D20-E20</f>
        <v>-2186.0695178197202</v>
      </c>
      <c r="H20" s="70">
        <f>C20</f>
        <v>2.15</v>
      </c>
      <c r="I20" s="59">
        <f>H20/H17</f>
        <v>9.0146750524109004E-2</v>
      </c>
    </row>
    <row r="21" spans="1:13" s="59" customFormat="1" hidden="1" outlineLevel="1" x14ac:dyDescent="0.25">
      <c r="A21" s="73" t="s">
        <v>22</v>
      </c>
      <c r="B21" s="34" t="s">
        <v>23</v>
      </c>
      <c r="C21" s="89">
        <v>3.04</v>
      </c>
      <c r="D21" s="75">
        <f>D17*I21</f>
        <v>138175.44130817609</v>
      </c>
      <c r="E21" s="75">
        <f>E17*I21</f>
        <v>141266.44192872115</v>
      </c>
      <c r="F21" s="75">
        <f>D21</f>
        <v>138175.44130817609</v>
      </c>
      <c r="G21" s="76">
        <f>D21-E21</f>
        <v>-3091.0006205450627</v>
      </c>
      <c r="H21" s="70">
        <f>C21</f>
        <v>3.04</v>
      </c>
      <c r="I21" s="59">
        <f>H21/H17</f>
        <v>0.12746331236897274</v>
      </c>
    </row>
    <row r="22" spans="1:13" s="37" customFormat="1" collapsed="1" x14ac:dyDescent="0.25">
      <c r="A22" s="73" t="s">
        <v>25</v>
      </c>
      <c r="B22" s="78" t="s">
        <v>145</v>
      </c>
      <c r="C22" s="126">
        <v>0</v>
      </c>
      <c r="D22" s="69">
        <v>0</v>
      </c>
      <c r="E22" s="69">
        <v>0</v>
      </c>
      <c r="F22" s="68">
        <f t="shared" ref="F22:F32" si="0">D22</f>
        <v>0</v>
      </c>
      <c r="G22" s="69">
        <f t="shared" ref="G22:G32" si="1">D22-E22</f>
        <v>0</v>
      </c>
      <c r="H22" s="37">
        <f>18*130</f>
        <v>2340</v>
      </c>
      <c r="I22" s="37">
        <f>D22/H22</f>
        <v>0</v>
      </c>
    </row>
    <row r="23" spans="1:13" s="37" customFormat="1" ht="14.25" x14ac:dyDescent="0.2">
      <c r="A23" s="39" t="s">
        <v>27</v>
      </c>
      <c r="B23" s="125" t="s">
        <v>28</v>
      </c>
      <c r="C23" s="126">
        <v>0</v>
      </c>
      <c r="D23" s="69">
        <v>0</v>
      </c>
      <c r="E23" s="69">
        <v>0</v>
      </c>
      <c r="F23" s="68">
        <f>D23</f>
        <v>0</v>
      </c>
      <c r="G23" s="69">
        <f t="shared" si="1"/>
        <v>0</v>
      </c>
    </row>
    <row r="24" spans="1:13" s="37" customFormat="1" ht="14.25" x14ac:dyDescent="0.2">
      <c r="A24" s="39" t="s">
        <v>29</v>
      </c>
      <c r="B24" s="125" t="s">
        <v>97</v>
      </c>
      <c r="C24" s="357">
        <v>0</v>
      </c>
      <c r="D24" s="69">
        <v>0</v>
      </c>
      <c r="E24" s="69">
        <v>0</v>
      </c>
      <c r="F24" s="68">
        <f t="shared" si="0"/>
        <v>0</v>
      </c>
      <c r="G24" s="69">
        <f t="shared" si="1"/>
        <v>0</v>
      </c>
    </row>
    <row r="25" spans="1:13" s="37" customFormat="1" ht="14.25" x14ac:dyDescent="0.2">
      <c r="A25" s="39" t="s">
        <v>31</v>
      </c>
      <c r="B25" s="125" t="s">
        <v>80</v>
      </c>
      <c r="C25" s="126">
        <v>2.36</v>
      </c>
      <c r="D25" s="69">
        <f>107267.64+D26</f>
        <v>113549.01</v>
      </c>
      <c r="E25" s="69">
        <f>110056.59+E26</f>
        <v>111362.14</v>
      </c>
      <c r="F25" s="68">
        <f>F44</f>
        <v>213676.8314</v>
      </c>
      <c r="G25" s="69">
        <f t="shared" si="1"/>
        <v>2186.8699999999953</v>
      </c>
      <c r="M25" s="165"/>
    </row>
    <row r="26" spans="1:13" s="37" customFormat="1" ht="14.25" x14ac:dyDescent="0.2">
      <c r="A26" s="39"/>
      <c r="B26" s="292" t="s">
        <v>244</v>
      </c>
      <c r="C26" s="293"/>
      <c r="D26" s="294">
        <f>2611.1+3670.27</f>
        <v>6281.37</v>
      </c>
      <c r="E26" s="294">
        <v>1305.55</v>
      </c>
      <c r="F26" s="294"/>
      <c r="G26" s="248">
        <v>0</v>
      </c>
      <c r="M26" s="165"/>
    </row>
    <row r="27" spans="1:13" s="37" customFormat="1" ht="14.25" x14ac:dyDescent="0.2">
      <c r="A27" s="39" t="s">
        <v>33</v>
      </c>
      <c r="B27" s="119" t="s">
        <v>34</v>
      </c>
      <c r="C27" s="120">
        <v>0</v>
      </c>
      <c r="D27" s="69">
        <v>0</v>
      </c>
      <c r="E27" s="69">
        <v>0</v>
      </c>
      <c r="F27" s="68">
        <f>D27</f>
        <v>0</v>
      </c>
      <c r="G27" s="69">
        <f t="shared" si="1"/>
        <v>0</v>
      </c>
    </row>
    <row r="28" spans="1:13" s="37" customFormat="1" ht="14.25" x14ac:dyDescent="0.2">
      <c r="A28" s="39" t="s">
        <v>35</v>
      </c>
      <c r="B28" s="119" t="s">
        <v>36</v>
      </c>
      <c r="C28" s="120"/>
      <c r="D28" s="69">
        <f>SUM(D29:D32)</f>
        <v>2003816.21</v>
      </c>
      <c r="E28" s="69">
        <f>SUM(E29:E32)</f>
        <v>2058916.11</v>
      </c>
      <c r="F28" s="68">
        <f t="shared" si="0"/>
        <v>2003816.21</v>
      </c>
      <c r="G28" s="69">
        <f t="shared" si="1"/>
        <v>-55099.90000000014</v>
      </c>
    </row>
    <row r="29" spans="1:13" x14ac:dyDescent="0.25">
      <c r="A29" s="34" t="s">
        <v>37</v>
      </c>
      <c r="B29" s="34" t="s">
        <v>101</v>
      </c>
      <c r="C29" s="89">
        <v>7.36</v>
      </c>
      <c r="D29" s="76">
        <v>13277.33</v>
      </c>
      <c r="E29" s="76">
        <v>12863.08</v>
      </c>
      <c r="F29" s="75">
        <f>D29</f>
        <v>13277.33</v>
      </c>
      <c r="G29" s="76">
        <f t="shared" si="1"/>
        <v>414.25</v>
      </c>
    </row>
    <row r="30" spans="1:13" x14ac:dyDescent="0.25">
      <c r="A30" s="34" t="s">
        <v>39</v>
      </c>
      <c r="B30" s="34" t="s">
        <v>84</v>
      </c>
      <c r="C30" s="89">
        <v>88.38</v>
      </c>
      <c r="D30" s="76">
        <v>307803.53999999998</v>
      </c>
      <c r="E30" s="76">
        <v>316629.44</v>
      </c>
      <c r="F30" s="75">
        <f t="shared" si="0"/>
        <v>307803.53999999998</v>
      </c>
      <c r="G30" s="76">
        <f t="shared" si="1"/>
        <v>-8825.9000000000233</v>
      </c>
    </row>
    <row r="31" spans="1:13" x14ac:dyDescent="0.25">
      <c r="A31" s="34" t="s">
        <v>42</v>
      </c>
      <c r="B31" s="124" t="s">
        <v>135</v>
      </c>
      <c r="C31" s="128">
        <v>278.94</v>
      </c>
      <c r="D31" s="76">
        <v>337188.17</v>
      </c>
      <c r="E31" s="76">
        <v>343912.83</v>
      </c>
      <c r="F31" s="75">
        <f t="shared" si="0"/>
        <v>337188.17</v>
      </c>
      <c r="G31" s="76">
        <f t="shared" si="1"/>
        <v>-6724.6600000000326</v>
      </c>
    </row>
    <row r="32" spans="1:13" x14ac:dyDescent="0.25">
      <c r="A32" s="34" t="s">
        <v>41</v>
      </c>
      <c r="B32" s="34" t="s">
        <v>43</v>
      </c>
      <c r="C32" s="89">
        <v>3352.42</v>
      </c>
      <c r="D32" s="76">
        <v>1345547.17</v>
      </c>
      <c r="E32" s="76">
        <v>1385510.76</v>
      </c>
      <c r="F32" s="75">
        <f t="shared" si="0"/>
        <v>1345547.17</v>
      </c>
      <c r="G32" s="76">
        <f t="shared" si="1"/>
        <v>-39963.590000000084</v>
      </c>
    </row>
    <row r="33" spans="1:11" hidden="1" outlineLevel="1" x14ac:dyDescent="0.25">
      <c r="A33" s="240" t="s">
        <v>130</v>
      </c>
      <c r="B33" s="257" t="s">
        <v>131</v>
      </c>
      <c r="C33" s="235"/>
      <c r="D33" s="236">
        <v>0</v>
      </c>
      <c r="E33" s="236">
        <v>0</v>
      </c>
      <c r="F33" s="252">
        <v>0</v>
      </c>
      <c r="G33" s="236">
        <f>E33-D33</f>
        <v>0</v>
      </c>
    </row>
    <row r="34" spans="1:11" s="92" customFormat="1" ht="23.25" customHeight="1" collapsed="1" thickBot="1" x14ac:dyDescent="0.3">
      <c r="A34" s="373"/>
      <c r="B34" s="374"/>
      <c r="C34" s="374"/>
      <c r="D34" s="375"/>
      <c r="E34" s="375"/>
      <c r="F34" s="375"/>
      <c r="G34" s="91"/>
      <c r="H34" s="91"/>
      <c r="I34" s="91"/>
      <c r="J34" s="91"/>
    </row>
    <row r="35" spans="1:11" s="59" customFormat="1" ht="15.75" thickBot="1" x14ac:dyDescent="0.3">
      <c r="A35" s="387" t="s">
        <v>427</v>
      </c>
      <c r="B35" s="388"/>
      <c r="C35" s="388"/>
      <c r="D35" s="57">
        <v>-77163.149999999994</v>
      </c>
      <c r="E35" s="58"/>
      <c r="F35" s="58"/>
      <c r="G35" s="58"/>
      <c r="H35" s="54"/>
      <c r="I35" s="54"/>
    </row>
    <row r="36" spans="1:11" s="59" customFormat="1" ht="6" customHeight="1" thickBot="1" x14ac:dyDescent="0.3">
      <c r="A36" s="60"/>
      <c r="B36" s="60"/>
      <c r="C36" s="60"/>
      <c r="D36" s="38"/>
      <c r="E36" s="58"/>
      <c r="F36" s="58"/>
      <c r="G36" s="58"/>
      <c r="H36" s="54"/>
      <c r="I36" s="54"/>
    </row>
    <row r="37" spans="1:11" s="59" customFormat="1" ht="15.75" thickBot="1" x14ac:dyDescent="0.3">
      <c r="A37" s="55" t="s">
        <v>428</v>
      </c>
      <c r="B37" s="56"/>
      <c r="C37" s="56"/>
      <c r="D37" s="61"/>
      <c r="E37" s="62"/>
      <c r="F37" s="62"/>
      <c r="G37" s="129">
        <f>G14+E25-F25</f>
        <v>74389.135200000048</v>
      </c>
      <c r="H37" s="54"/>
      <c r="I37" s="54"/>
    </row>
    <row r="38" spans="1:11" s="59" customFormat="1" x14ac:dyDescent="0.25">
      <c r="A38" s="392" t="s">
        <v>90</v>
      </c>
      <c r="B38" s="392"/>
      <c r="C38" s="60"/>
      <c r="D38" s="38"/>
      <c r="E38" s="58"/>
      <c r="F38" s="58"/>
      <c r="G38" s="38"/>
      <c r="H38" s="54"/>
      <c r="I38" s="54"/>
    </row>
    <row r="39" spans="1:11" s="59" customFormat="1" x14ac:dyDescent="0.25">
      <c r="A39" s="393" t="s">
        <v>91</v>
      </c>
      <c r="B39" s="394"/>
      <c r="C39" s="41" t="s">
        <v>92</v>
      </c>
      <c r="D39" s="41" t="s">
        <v>93</v>
      </c>
      <c r="E39" s="42" t="s">
        <v>94</v>
      </c>
      <c r="F39" s="40" t="s">
        <v>95</v>
      </c>
      <c r="G39" s="42" t="s">
        <v>96</v>
      </c>
      <c r="H39" s="54"/>
      <c r="I39" s="54">
        <f>129.6*H40*3</f>
        <v>10190.448</v>
      </c>
    </row>
    <row r="40" spans="1:11" ht="15.75" customHeight="1" x14ac:dyDescent="0.25">
      <c r="A40" s="395"/>
      <c r="B40" s="396"/>
      <c r="C40" s="358">
        <f>92.2+129.6</f>
        <v>221.8</v>
      </c>
      <c r="D40" s="138">
        <f>E40/C40/12</f>
        <v>26.210009017132549</v>
      </c>
      <c r="E40" s="73">
        <f>28998.72+40761.84</f>
        <v>69760.56</v>
      </c>
      <c r="F40" s="75">
        <v>14499.36</v>
      </c>
      <c r="G40" s="138">
        <f>E40-F40</f>
        <v>55261.2</v>
      </c>
      <c r="H40" s="144">
        <f>C17+C25</f>
        <v>26.21</v>
      </c>
      <c r="I40" s="35">
        <f>30023.16+21359.04</f>
        <v>51382.2</v>
      </c>
      <c r="J40" s="35">
        <f>20969.04</f>
        <v>20969.04</v>
      </c>
      <c r="K40" s="35">
        <f>H40*92.2*3</f>
        <v>7249.6860000000015</v>
      </c>
    </row>
    <row r="41" spans="1:11" ht="24" customHeight="1" x14ac:dyDescent="0.25">
      <c r="A41" s="371" t="s">
        <v>44</v>
      </c>
      <c r="B41" s="371"/>
      <c r="C41" s="371"/>
      <c r="D41" s="371"/>
      <c r="E41" s="371"/>
      <c r="F41" s="371"/>
      <c r="G41" s="371"/>
      <c r="H41" s="371"/>
      <c r="I41" s="371"/>
    </row>
    <row r="43" spans="1:11" s="156" customFormat="1" ht="28.5" customHeight="1" x14ac:dyDescent="0.25">
      <c r="A43" s="94" t="s">
        <v>11</v>
      </c>
      <c r="B43" s="416" t="s">
        <v>45</v>
      </c>
      <c r="C43" s="425"/>
      <c r="D43" s="94" t="s">
        <v>99</v>
      </c>
      <c r="E43" s="94" t="s">
        <v>98</v>
      </c>
      <c r="F43" s="416" t="s">
        <v>46</v>
      </c>
      <c r="G43" s="424"/>
    </row>
    <row r="44" spans="1:11" s="103" customFormat="1" ht="13.5" customHeight="1" x14ac:dyDescent="0.25">
      <c r="A44" s="98" t="s">
        <v>47</v>
      </c>
      <c r="B44" s="418" t="s">
        <v>75</v>
      </c>
      <c r="C44" s="430"/>
      <c r="D44" s="157"/>
      <c r="E44" s="157"/>
      <c r="F44" s="436">
        <f>SUM(F45:G51)</f>
        <v>213676.8314</v>
      </c>
      <c r="G44" s="424"/>
    </row>
    <row r="45" spans="1:11" ht="13.5" customHeight="1" x14ac:dyDescent="0.25">
      <c r="A45" s="34" t="s">
        <v>16</v>
      </c>
      <c r="B45" s="406" t="s">
        <v>453</v>
      </c>
      <c r="C45" s="431"/>
      <c r="D45" s="136" t="s">
        <v>100</v>
      </c>
      <c r="E45" s="137">
        <v>3</v>
      </c>
      <c r="F45" s="423">
        <v>28127.41</v>
      </c>
      <c r="G45" s="423"/>
    </row>
    <row r="46" spans="1:11" ht="13.5" customHeight="1" x14ac:dyDescent="0.25">
      <c r="A46" s="34" t="s">
        <v>18</v>
      </c>
      <c r="B46" s="406" t="s">
        <v>454</v>
      </c>
      <c r="C46" s="431"/>
      <c r="D46" s="136" t="s">
        <v>103</v>
      </c>
      <c r="E46" s="137">
        <v>100</v>
      </c>
      <c r="F46" s="423">
        <v>130000</v>
      </c>
      <c r="G46" s="423"/>
    </row>
    <row r="47" spans="1:11" ht="13.5" customHeight="1" x14ac:dyDescent="0.25">
      <c r="A47" s="34" t="s">
        <v>20</v>
      </c>
      <c r="B47" s="406" t="s">
        <v>455</v>
      </c>
      <c r="C47" s="431"/>
      <c r="D47" s="136" t="s">
        <v>137</v>
      </c>
      <c r="E47" s="137">
        <v>0.06</v>
      </c>
      <c r="F47" s="423">
        <v>8877.99</v>
      </c>
      <c r="G47" s="423"/>
    </row>
    <row r="48" spans="1:11" ht="13.5" customHeight="1" x14ac:dyDescent="0.25">
      <c r="A48" s="34" t="s">
        <v>22</v>
      </c>
      <c r="B48" s="406" t="s">
        <v>456</v>
      </c>
      <c r="C48" s="431"/>
      <c r="D48" s="136" t="s">
        <v>100</v>
      </c>
      <c r="E48" s="137">
        <v>1</v>
      </c>
      <c r="F48" s="423">
        <v>13793</v>
      </c>
      <c r="G48" s="423"/>
    </row>
    <row r="49" spans="1:7" x14ac:dyDescent="0.25">
      <c r="A49" s="34" t="s">
        <v>24</v>
      </c>
      <c r="B49" s="406" t="s">
        <v>457</v>
      </c>
      <c r="C49" s="431"/>
      <c r="D49" s="136" t="s">
        <v>137</v>
      </c>
      <c r="E49" s="137">
        <v>0.03</v>
      </c>
      <c r="F49" s="423">
        <v>18668.599999999999</v>
      </c>
      <c r="G49" s="423"/>
    </row>
    <row r="50" spans="1:7" x14ac:dyDescent="0.25">
      <c r="A50" s="215" t="s">
        <v>73</v>
      </c>
      <c r="B50" s="406" t="s">
        <v>410</v>
      </c>
      <c r="C50" s="431"/>
      <c r="D50" s="136" t="s">
        <v>458</v>
      </c>
      <c r="E50" s="344">
        <v>3.7499999999999999E-2</v>
      </c>
      <c r="F50" s="423">
        <v>13096.21</v>
      </c>
      <c r="G50" s="423"/>
    </row>
    <row r="51" spans="1:7" ht="13.5" customHeight="1" x14ac:dyDescent="0.25">
      <c r="A51" s="215" t="s">
        <v>74</v>
      </c>
      <c r="B51" s="458" t="s">
        <v>108</v>
      </c>
      <c r="C51" s="459"/>
      <c r="D51" s="173"/>
      <c r="E51" s="173"/>
      <c r="F51" s="435">
        <f>E25*1%</f>
        <v>1113.6214</v>
      </c>
      <c r="G51" s="435"/>
    </row>
    <row r="52" spans="1:7" s="59" customFormat="1" x14ac:dyDescent="0.25"/>
    <row r="53" spans="1:7" s="59" customFormat="1" x14ac:dyDescent="0.25">
      <c r="A53" s="51" t="s">
        <v>372</v>
      </c>
      <c r="C53" s="59" t="s">
        <v>49</v>
      </c>
      <c r="F53" s="59" t="s">
        <v>60</v>
      </c>
    </row>
    <row r="54" spans="1:7" s="59" customFormat="1" ht="13.5" customHeight="1" x14ac:dyDescent="0.25">
      <c r="F54" s="111" t="s">
        <v>438</v>
      </c>
    </row>
    <row r="55" spans="1:7" s="59" customFormat="1" x14ac:dyDescent="0.25">
      <c r="A55" s="59" t="s">
        <v>50</v>
      </c>
    </row>
    <row r="56" spans="1:7" s="59" customFormat="1" x14ac:dyDescent="0.25">
      <c r="C56" s="113" t="s">
        <v>51</v>
      </c>
      <c r="E56" s="113"/>
      <c r="F56" s="113"/>
      <c r="G56" s="113"/>
    </row>
    <row r="57" spans="1:7" s="59" customFormat="1" x14ac:dyDescent="0.25"/>
  </sheetData>
  <mergeCells count="30">
    <mergeCell ref="B50:C50"/>
    <mergeCell ref="F50:G50"/>
    <mergeCell ref="A1:I1"/>
    <mergeCell ref="A5:I5"/>
    <mergeCell ref="A10:I10"/>
    <mergeCell ref="A3:K3"/>
    <mergeCell ref="A12:I12"/>
    <mergeCell ref="A35:C35"/>
    <mergeCell ref="A34:F34"/>
    <mergeCell ref="A2:K2"/>
    <mergeCell ref="A11:I11"/>
    <mergeCell ref="F51:G51"/>
    <mergeCell ref="F43:G43"/>
    <mergeCell ref="B43:C43"/>
    <mergeCell ref="B44:C44"/>
    <mergeCell ref="B51:C51"/>
    <mergeCell ref="B49:C49"/>
    <mergeCell ref="F49:G49"/>
    <mergeCell ref="B45:C45"/>
    <mergeCell ref="B46:C46"/>
    <mergeCell ref="B48:C48"/>
    <mergeCell ref="F46:G46"/>
    <mergeCell ref="F47:G47"/>
    <mergeCell ref="F48:G48"/>
    <mergeCell ref="A38:B38"/>
    <mergeCell ref="A39:B40"/>
    <mergeCell ref="F44:G44"/>
    <mergeCell ref="F45:G45"/>
    <mergeCell ref="A41:I41"/>
    <mergeCell ref="B47:C47"/>
  </mergeCells>
  <phoneticPr fontId="14" type="noConversion"/>
  <pageMargins left="0" right="0" top="0" bottom="0" header="0.31496062992125984" footer="0.31496062992125984"/>
  <pageSetup paperSize="9" scale="95" orientation="landscape" verticalDpi="0" r:id="rId1"/>
  <drawing r:id="rId2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23ED01-2EA5-4D51-A4D6-67A83EA0EB95}">
  <sheetPr>
    <tabColor rgb="FF7030A0"/>
  </sheetPr>
  <dimension ref="A1:N52"/>
  <sheetViews>
    <sheetView topLeftCell="A36" workbookViewId="0">
      <selection activeCell="A55" sqref="A55:IV56"/>
    </sheetView>
  </sheetViews>
  <sheetFormatPr defaultRowHeight="12.75" outlineLevelRow="1" outlineLevelCol="1" x14ac:dyDescent="0.2"/>
  <cols>
    <col min="1" max="1" width="6" style="49" customWidth="1"/>
    <col min="2" max="2" width="48.140625" style="49" customWidth="1"/>
    <col min="3" max="3" width="14" style="49" customWidth="1"/>
    <col min="4" max="4" width="14.85546875" style="49" customWidth="1"/>
    <col min="5" max="6" width="13.28515625" style="49" customWidth="1"/>
    <col min="7" max="7" width="14.5703125" style="49" customWidth="1"/>
    <col min="8" max="9" width="11.5703125" style="49" hidden="1" customWidth="1" outlineLevel="1"/>
    <col min="10" max="10" width="10.140625" style="49" hidden="1" customWidth="1" outlineLevel="1"/>
    <col min="11" max="11" width="10.42578125" style="49" customWidth="1" collapsed="1"/>
    <col min="12" max="12" width="9.140625" style="49"/>
    <col min="13" max="13" width="10" style="49" bestFit="1" customWidth="1"/>
    <col min="14" max="14" width="15.85546875" style="49" customWidth="1"/>
    <col min="15" max="16384" width="9.140625" style="49"/>
  </cols>
  <sheetData>
    <row r="1" spans="1:14" x14ac:dyDescent="0.2">
      <c r="A1" s="370" t="s">
        <v>0</v>
      </c>
      <c r="B1" s="370"/>
      <c r="C1" s="370"/>
      <c r="D1" s="370"/>
      <c r="E1" s="370"/>
      <c r="F1" s="370"/>
      <c r="G1" s="370"/>
      <c r="H1" s="370"/>
      <c r="I1" s="370"/>
      <c r="J1" s="370"/>
      <c r="K1" s="370"/>
    </row>
    <row r="2" spans="1:14" ht="12.75" customHeight="1" x14ac:dyDescent="0.2">
      <c r="A2" s="370" t="s">
        <v>152</v>
      </c>
      <c r="B2" s="370"/>
      <c r="C2" s="370"/>
      <c r="D2" s="370"/>
      <c r="E2" s="370"/>
      <c r="F2" s="370"/>
      <c r="G2" s="370"/>
      <c r="H2" s="370"/>
      <c r="I2" s="370"/>
      <c r="J2" s="370"/>
      <c r="K2" s="370"/>
      <c r="L2" s="370"/>
    </row>
    <row r="3" spans="1:14" ht="13.5" customHeight="1" x14ac:dyDescent="0.2">
      <c r="A3" s="370" t="s">
        <v>426</v>
      </c>
      <c r="B3" s="370"/>
      <c r="C3" s="370"/>
      <c r="D3" s="370"/>
      <c r="E3" s="370"/>
      <c r="F3" s="370"/>
      <c r="G3" s="370"/>
      <c r="H3" s="370"/>
      <c r="I3" s="370"/>
      <c r="J3" s="370"/>
      <c r="K3" s="370"/>
      <c r="L3" s="370"/>
    </row>
    <row r="4" spans="1:14" ht="9" customHeight="1" x14ac:dyDescent="0.2">
      <c r="A4" s="48"/>
      <c r="B4" s="48"/>
      <c r="C4" s="48"/>
      <c r="D4" s="48"/>
      <c r="E4" s="48"/>
      <c r="F4" s="48"/>
      <c r="G4" s="48"/>
      <c r="H4" s="48"/>
      <c r="I4" s="48"/>
      <c r="J4" s="48"/>
      <c r="K4" s="48"/>
    </row>
    <row r="5" spans="1:14" ht="16.5" customHeight="1" x14ac:dyDescent="0.2">
      <c r="A5" s="371" t="s">
        <v>1</v>
      </c>
      <c r="B5" s="370"/>
      <c r="C5" s="370"/>
      <c r="D5" s="370"/>
      <c r="E5" s="370"/>
      <c r="F5" s="370"/>
      <c r="G5" s="370"/>
      <c r="H5" s="370"/>
      <c r="I5" s="370"/>
      <c r="J5" s="370"/>
      <c r="K5" s="370"/>
    </row>
    <row r="7" spans="1:14" s="51" customFormat="1" ht="16.5" customHeight="1" x14ac:dyDescent="0.2">
      <c r="A7" s="51" t="s">
        <v>2</v>
      </c>
      <c r="F7" s="52" t="s">
        <v>366</v>
      </c>
      <c r="H7" s="52"/>
    </row>
    <row r="8" spans="1:14" s="51" customFormat="1" x14ac:dyDescent="0.2">
      <c r="A8" s="51" t="s">
        <v>3</v>
      </c>
      <c r="F8" s="242" t="s">
        <v>367</v>
      </c>
      <c r="H8" s="245">
        <v>0</v>
      </c>
      <c r="I8" s="214">
        <f>J8-H8</f>
        <v>5679.3</v>
      </c>
      <c r="J8" s="304">
        <v>5679.3</v>
      </c>
    </row>
    <row r="9" spans="1:14" s="51" customFormat="1" x14ac:dyDescent="0.2">
      <c r="A9" s="372" t="s">
        <v>8</v>
      </c>
      <c r="B9" s="372"/>
      <c r="C9" s="372"/>
      <c r="D9" s="372"/>
      <c r="E9" s="372"/>
      <c r="F9" s="372"/>
      <c r="G9" s="372"/>
      <c r="H9" s="372"/>
      <c r="I9" s="372"/>
      <c r="J9" s="372"/>
      <c r="K9" s="372"/>
    </row>
    <row r="10" spans="1:14" s="51" customFormat="1" x14ac:dyDescent="0.2">
      <c r="A10" s="372" t="s">
        <v>9</v>
      </c>
      <c r="B10" s="372"/>
      <c r="C10" s="372"/>
      <c r="D10" s="372"/>
      <c r="E10" s="372"/>
      <c r="F10" s="372"/>
      <c r="G10" s="372"/>
      <c r="H10" s="372"/>
      <c r="I10" s="372"/>
      <c r="J10" s="372"/>
      <c r="K10" s="372"/>
    </row>
    <row r="11" spans="1:14" s="51" customFormat="1" ht="13.5" thickBot="1" x14ac:dyDescent="0.25">
      <c r="A11" s="372" t="s">
        <v>10</v>
      </c>
      <c r="B11" s="372"/>
      <c r="C11" s="372"/>
      <c r="D11" s="372"/>
      <c r="E11" s="372"/>
      <c r="F11" s="372"/>
      <c r="G11" s="372"/>
      <c r="H11" s="372"/>
      <c r="I11" s="372"/>
      <c r="J11" s="372"/>
      <c r="K11" s="372"/>
    </row>
    <row r="12" spans="1:14" s="59" customFormat="1" ht="21" customHeight="1" thickBot="1" x14ac:dyDescent="0.3">
      <c r="A12" s="55" t="s">
        <v>562</v>
      </c>
      <c r="B12" s="56"/>
      <c r="C12" s="56"/>
      <c r="D12" s="61"/>
      <c r="E12" s="62"/>
      <c r="F12" s="62"/>
      <c r="G12" s="57">
        <f>'[1]Огарева 42'!$G$36</f>
        <v>43577.77</v>
      </c>
      <c r="H12" s="54"/>
      <c r="I12" s="54"/>
    </row>
    <row r="13" spans="1:14" s="59" customFormat="1" ht="15.75" thickBot="1" x14ac:dyDescent="0.3">
      <c r="A13" s="55" t="s">
        <v>580</v>
      </c>
      <c r="B13" s="56"/>
      <c r="C13" s="56"/>
      <c r="D13" s="61"/>
      <c r="E13" s="62"/>
      <c r="F13" s="62"/>
      <c r="G13" s="57">
        <f>'[1]Огарева 42'!$G$37</f>
        <v>190043.39069999999</v>
      </c>
      <c r="H13" s="54"/>
      <c r="I13" s="54"/>
    </row>
    <row r="14" spans="1:14" s="51" customFormat="1" ht="6.75" customHeight="1" x14ac:dyDescent="0.2"/>
    <row r="15" spans="1:14" s="66" customFormat="1" ht="38.25" x14ac:dyDescent="0.25">
      <c r="A15" s="64" t="s">
        <v>11</v>
      </c>
      <c r="B15" s="64" t="s">
        <v>12</v>
      </c>
      <c r="C15" s="64" t="s">
        <v>61</v>
      </c>
      <c r="D15" s="64" t="s">
        <v>432</v>
      </c>
      <c r="E15" s="64" t="s">
        <v>433</v>
      </c>
      <c r="F15" s="65" t="s">
        <v>434</v>
      </c>
      <c r="G15" s="64" t="s">
        <v>435</v>
      </c>
    </row>
    <row r="16" spans="1:14" s="51" customFormat="1" ht="14.25" x14ac:dyDescent="0.2">
      <c r="A16" s="67" t="s">
        <v>14</v>
      </c>
      <c r="B16" s="39" t="s">
        <v>379</v>
      </c>
      <c r="C16" s="87">
        <v>20.32</v>
      </c>
      <c r="D16" s="68">
        <v>1384840.68</v>
      </c>
      <c r="E16" s="68">
        <v>1394642.52</v>
      </c>
      <c r="F16" s="68">
        <f t="shared" ref="F16:F22" si="0">D16</f>
        <v>1384840.68</v>
      </c>
      <c r="G16" s="69">
        <f>D16-E16</f>
        <v>-9801.8400000000838</v>
      </c>
      <c r="H16" s="70">
        <f>C16</f>
        <v>20.32</v>
      </c>
      <c r="I16" s="71"/>
      <c r="J16" s="71"/>
      <c r="K16" s="71"/>
      <c r="M16" s="70"/>
      <c r="N16" s="72"/>
    </row>
    <row r="17" spans="1:11" s="51" customFormat="1" ht="15" hidden="1" outlineLevel="1" x14ac:dyDescent="0.25">
      <c r="A17" s="73" t="s">
        <v>16</v>
      </c>
      <c r="B17" s="34" t="s">
        <v>17</v>
      </c>
      <c r="C17" s="74">
        <v>3.46</v>
      </c>
      <c r="D17" s="75">
        <f>D16*I17</f>
        <v>235804.56460629922</v>
      </c>
      <c r="E17" s="75">
        <f>E16*I17</f>
        <v>237473.57870078742</v>
      </c>
      <c r="F17" s="75">
        <f t="shared" si="0"/>
        <v>235804.56460629922</v>
      </c>
      <c r="G17" s="76">
        <f>D17-E17</f>
        <v>-1669.0140944882005</v>
      </c>
      <c r="H17" s="70">
        <f>C17</f>
        <v>3.46</v>
      </c>
      <c r="I17" s="51">
        <f>H17/H16</f>
        <v>0.17027559055118111</v>
      </c>
    </row>
    <row r="18" spans="1:11" s="51" customFormat="1" ht="15" hidden="1" outlineLevel="1" x14ac:dyDescent="0.25">
      <c r="A18" s="73" t="s">
        <v>18</v>
      </c>
      <c r="B18" s="34" t="s">
        <v>19</v>
      </c>
      <c r="C18" s="74">
        <v>1.69</v>
      </c>
      <c r="D18" s="75">
        <f>D16*I18</f>
        <v>115176.21797244092</v>
      </c>
      <c r="E18" s="75">
        <f>E16*I18</f>
        <v>115991.43005905511</v>
      </c>
      <c r="F18" s="75">
        <f t="shared" si="0"/>
        <v>115176.21797244092</v>
      </c>
      <c r="G18" s="76">
        <f>D18-E18</f>
        <v>-815.21208661419223</v>
      </c>
      <c r="H18" s="70">
        <f>C18</f>
        <v>1.69</v>
      </c>
      <c r="I18" s="51">
        <f>H18/H16</f>
        <v>8.3169291338582668E-2</v>
      </c>
    </row>
    <row r="19" spans="1:11" s="51" customFormat="1" ht="15" hidden="1" outlineLevel="1" x14ac:dyDescent="0.25">
      <c r="A19" s="73" t="s">
        <v>20</v>
      </c>
      <c r="B19" s="34" t="s">
        <v>21</v>
      </c>
      <c r="C19" s="74">
        <v>2.15</v>
      </c>
      <c r="D19" s="75">
        <f>D16*I19</f>
        <v>146525.95777559053</v>
      </c>
      <c r="E19" s="75">
        <f>E16*I19</f>
        <v>147563.06190944882</v>
      </c>
      <c r="F19" s="75">
        <f t="shared" si="0"/>
        <v>146525.95777559053</v>
      </c>
      <c r="G19" s="76">
        <f>D19-E19</f>
        <v>-1037.1041338582872</v>
      </c>
      <c r="H19" s="70">
        <f>C19</f>
        <v>2.15</v>
      </c>
      <c r="I19" s="51">
        <f>H19/H16</f>
        <v>0.10580708661417322</v>
      </c>
    </row>
    <row r="20" spans="1:11" s="51" customFormat="1" ht="15" hidden="1" outlineLevel="1" x14ac:dyDescent="0.25">
      <c r="A20" s="73" t="s">
        <v>22</v>
      </c>
      <c r="B20" s="34" t="s">
        <v>23</v>
      </c>
      <c r="C20" s="74">
        <v>3.04</v>
      </c>
      <c r="D20" s="75">
        <f>D16*I20</f>
        <v>207180.88913385826</v>
      </c>
      <c r="E20" s="75">
        <f>E16*I20</f>
        <v>208647.30614173229</v>
      </c>
      <c r="F20" s="75">
        <f t="shared" si="0"/>
        <v>207180.88913385826</v>
      </c>
      <c r="G20" s="76">
        <f>D20-E20</f>
        <v>-1466.4170078740281</v>
      </c>
      <c r="H20" s="70">
        <f>C20</f>
        <v>3.04</v>
      </c>
      <c r="I20" s="51">
        <f>H20/H16</f>
        <v>0.14960629921259844</v>
      </c>
    </row>
    <row r="21" spans="1:11" s="81" customFormat="1" ht="14.25" collapsed="1" x14ac:dyDescent="0.2">
      <c r="A21" s="78" t="s">
        <v>25</v>
      </c>
      <c r="B21" s="78" t="s">
        <v>118</v>
      </c>
      <c r="C21" s="43">
        <v>0</v>
      </c>
      <c r="D21" s="79">
        <v>0</v>
      </c>
      <c r="E21" s="79">
        <v>0</v>
      </c>
      <c r="F21" s="79">
        <v>0</v>
      </c>
      <c r="G21" s="69">
        <f t="shared" ref="G21:G31" si="1">D21-E21</f>
        <v>0</v>
      </c>
      <c r="H21" s="80"/>
      <c r="I21" s="80"/>
      <c r="J21" s="80"/>
      <c r="K21" s="80"/>
    </row>
    <row r="22" spans="1:11" s="81" customFormat="1" ht="14.25" x14ac:dyDescent="0.2">
      <c r="A22" s="78" t="s">
        <v>27</v>
      </c>
      <c r="B22" s="78" t="s">
        <v>138</v>
      </c>
      <c r="C22" s="46">
        <v>140</v>
      </c>
      <c r="D22" s="79">
        <v>0</v>
      </c>
      <c r="E22" s="79">
        <v>11.88</v>
      </c>
      <c r="F22" s="79">
        <f t="shared" si="0"/>
        <v>0</v>
      </c>
      <c r="G22" s="69">
        <f t="shared" si="1"/>
        <v>-11.88</v>
      </c>
      <c r="H22" s="80"/>
      <c r="I22" s="80"/>
      <c r="J22" s="80"/>
      <c r="K22" s="80"/>
    </row>
    <row r="23" spans="1:11" s="81" customFormat="1" ht="14.25" x14ac:dyDescent="0.2">
      <c r="A23" s="78" t="s">
        <v>29</v>
      </c>
      <c r="B23" s="78" t="s">
        <v>26</v>
      </c>
      <c r="C23" s="43">
        <v>4.3600000000000003</v>
      </c>
      <c r="D23" s="79">
        <v>297140.64</v>
      </c>
      <c r="E23" s="79">
        <v>299250.84999999998</v>
      </c>
      <c r="F23" s="79">
        <f>D23</f>
        <v>297140.64</v>
      </c>
      <c r="G23" s="69">
        <f t="shared" si="1"/>
        <v>-2110.2099999999627</v>
      </c>
      <c r="H23" s="80"/>
      <c r="I23" s="80"/>
      <c r="J23" s="80"/>
      <c r="K23" s="80"/>
    </row>
    <row r="24" spans="1:11" s="81" customFormat="1" ht="14.25" x14ac:dyDescent="0.2">
      <c r="A24" s="78" t="s">
        <v>31</v>
      </c>
      <c r="B24" s="78" t="s">
        <v>80</v>
      </c>
      <c r="C24" s="86">
        <v>2.0099999999999998</v>
      </c>
      <c r="D24" s="79">
        <v>136985.76</v>
      </c>
      <c r="E24" s="79">
        <v>137959.79</v>
      </c>
      <c r="F24" s="79">
        <f>F41</f>
        <v>79599.597899999993</v>
      </c>
      <c r="G24" s="69">
        <f t="shared" si="1"/>
        <v>-974.02999999999884</v>
      </c>
      <c r="H24" s="80"/>
      <c r="I24" s="80"/>
      <c r="J24" s="80"/>
      <c r="K24" s="80"/>
    </row>
    <row r="25" spans="1:11" ht="14.25" x14ac:dyDescent="0.2">
      <c r="A25" s="39" t="s">
        <v>33</v>
      </c>
      <c r="B25" s="39" t="s">
        <v>97</v>
      </c>
      <c r="C25" s="46">
        <v>0</v>
      </c>
      <c r="D25" s="69">
        <v>0</v>
      </c>
      <c r="E25" s="69">
        <v>0</v>
      </c>
      <c r="F25" s="79">
        <f>D25</f>
        <v>0</v>
      </c>
      <c r="G25" s="69">
        <f t="shared" si="1"/>
        <v>0</v>
      </c>
      <c r="H25" s="88"/>
      <c r="I25" s="88"/>
      <c r="J25" s="88"/>
      <c r="K25" s="88"/>
    </row>
    <row r="26" spans="1:11" ht="14.25" x14ac:dyDescent="0.2">
      <c r="A26" s="39" t="s">
        <v>35</v>
      </c>
      <c r="B26" s="39" t="s">
        <v>36</v>
      </c>
      <c r="C26" s="87"/>
      <c r="D26" s="69">
        <f>SUM(D27:D30)</f>
        <v>4668589.58</v>
      </c>
      <c r="E26" s="69">
        <f>SUM(E27:E30)</f>
        <v>4712492.9800000004</v>
      </c>
      <c r="F26" s="69">
        <f>SUM(F27:F30)</f>
        <v>4668589.58</v>
      </c>
      <c r="G26" s="69">
        <f t="shared" si="1"/>
        <v>-43903.400000000373</v>
      </c>
      <c r="H26" s="88"/>
      <c r="I26" s="88"/>
      <c r="J26" s="88"/>
      <c r="K26" s="88"/>
    </row>
    <row r="27" spans="1:11" ht="15" x14ac:dyDescent="0.25">
      <c r="A27" s="34" t="s">
        <v>37</v>
      </c>
      <c r="B27" s="34" t="s">
        <v>101</v>
      </c>
      <c r="C27" s="89">
        <v>7.36</v>
      </c>
      <c r="D27" s="76">
        <v>1066371.8700000001</v>
      </c>
      <c r="E27" s="76">
        <v>1073852.82</v>
      </c>
      <c r="F27" s="76">
        <f>D27</f>
        <v>1066371.8700000001</v>
      </c>
      <c r="G27" s="76">
        <f t="shared" si="1"/>
        <v>-7480.9499999999534</v>
      </c>
    </row>
    <row r="28" spans="1:11" ht="15" x14ac:dyDescent="0.25">
      <c r="A28" s="34" t="s">
        <v>39</v>
      </c>
      <c r="B28" s="34" t="s">
        <v>84</v>
      </c>
      <c r="C28" s="89">
        <v>88.38</v>
      </c>
      <c r="D28" s="76">
        <v>737419.27</v>
      </c>
      <c r="E28" s="76">
        <v>741431.82</v>
      </c>
      <c r="F28" s="76">
        <f>D28</f>
        <v>737419.27</v>
      </c>
      <c r="G28" s="76">
        <f t="shared" si="1"/>
        <v>-4012.5499999999302</v>
      </c>
    </row>
    <row r="29" spans="1:11" ht="15" x14ac:dyDescent="0.25">
      <c r="A29" s="34" t="s">
        <v>42</v>
      </c>
      <c r="B29" s="45" t="s">
        <v>135</v>
      </c>
      <c r="C29" s="128">
        <v>278.94</v>
      </c>
      <c r="D29" s="76">
        <v>804748.96</v>
      </c>
      <c r="E29" s="76">
        <v>813927.87</v>
      </c>
      <c r="F29" s="76">
        <f>D29</f>
        <v>804748.96</v>
      </c>
      <c r="G29" s="76">
        <f t="shared" si="1"/>
        <v>-9178.9100000000326</v>
      </c>
    </row>
    <row r="30" spans="1:11" s="230" customFormat="1" ht="15" x14ac:dyDescent="0.25">
      <c r="A30" s="228" t="s">
        <v>41</v>
      </c>
      <c r="B30" s="228" t="s">
        <v>43</v>
      </c>
      <c r="C30" s="89">
        <v>3352.42</v>
      </c>
      <c r="D30" s="188">
        <v>2060049.48</v>
      </c>
      <c r="E30" s="188">
        <v>2083280.47</v>
      </c>
      <c r="F30" s="188">
        <f>D30</f>
        <v>2060049.48</v>
      </c>
      <c r="G30" s="76">
        <f t="shared" si="1"/>
        <v>-23230.989999999991</v>
      </c>
    </row>
    <row r="31" spans="1:11" s="230" customFormat="1" ht="14.25" hidden="1" outlineLevel="1" x14ac:dyDescent="0.2">
      <c r="A31" s="39" t="s">
        <v>112</v>
      </c>
      <c r="B31" s="300" t="s">
        <v>140</v>
      </c>
      <c r="C31" s="298"/>
      <c r="D31" s="248">
        <v>1800</v>
      </c>
      <c r="E31" s="248">
        <v>1800</v>
      </c>
      <c r="F31" s="248">
        <v>0</v>
      </c>
      <c r="G31" s="248">
        <f t="shared" si="1"/>
        <v>0</v>
      </c>
    </row>
    <row r="32" spans="1:11" s="230" customFormat="1" ht="15" hidden="1" outlineLevel="1" x14ac:dyDescent="0.2">
      <c r="A32" s="90"/>
      <c r="B32" s="301"/>
      <c r="C32" s="376" t="s">
        <v>246</v>
      </c>
      <c r="D32" s="377"/>
      <c r="E32" s="377"/>
      <c r="F32" s="377"/>
      <c r="G32" s="82">
        <f>E31-(E31*15%)</f>
        <v>1530</v>
      </c>
    </row>
    <row r="33" spans="1:12" s="92" customFormat="1" ht="13.9" customHeight="1" collapsed="1" thickBot="1" x14ac:dyDescent="0.3">
      <c r="A33" s="373"/>
      <c r="B33" s="374"/>
      <c r="C33" s="374"/>
      <c r="D33" s="375"/>
      <c r="E33" s="375"/>
      <c r="F33" s="375"/>
      <c r="G33" s="91"/>
      <c r="H33" s="91"/>
      <c r="I33" s="91"/>
    </row>
    <row r="34" spans="1:12" s="59" customFormat="1" ht="15.75" thickBot="1" x14ac:dyDescent="0.3">
      <c r="A34" s="387" t="s">
        <v>427</v>
      </c>
      <c r="B34" s="388"/>
      <c r="C34" s="388"/>
      <c r="D34" s="63">
        <v>-56801.36</v>
      </c>
      <c r="E34" s="58"/>
      <c r="F34" s="58"/>
      <c r="G34" s="58"/>
      <c r="H34" s="54"/>
      <c r="I34" s="54"/>
    </row>
    <row r="35" spans="1:12" s="59" customFormat="1" ht="6" customHeight="1" thickBot="1" x14ac:dyDescent="0.3">
      <c r="A35" s="60"/>
      <c r="B35" s="60"/>
      <c r="C35" s="60"/>
      <c r="D35" s="38"/>
      <c r="E35" s="58"/>
      <c r="F35" s="58"/>
      <c r="G35" s="58"/>
      <c r="H35" s="54"/>
      <c r="I35" s="54"/>
    </row>
    <row r="36" spans="1:12" s="59" customFormat="1" ht="17.25" customHeight="1" thickBot="1" x14ac:dyDescent="0.3">
      <c r="A36" s="55" t="s">
        <v>464</v>
      </c>
      <c r="B36" s="56"/>
      <c r="C36" s="56"/>
      <c r="D36" s="61"/>
      <c r="E36" s="62"/>
      <c r="F36" s="62"/>
      <c r="G36" s="246">
        <f>G12</f>
        <v>43577.77</v>
      </c>
      <c r="H36" s="54"/>
      <c r="I36" s="54"/>
    </row>
    <row r="37" spans="1:12" s="59" customFormat="1" ht="15.75" thickBot="1" x14ac:dyDescent="0.3">
      <c r="A37" s="55" t="s">
        <v>428</v>
      </c>
      <c r="B37" s="56"/>
      <c r="C37" s="56"/>
      <c r="D37" s="61"/>
      <c r="E37" s="62"/>
      <c r="F37" s="62"/>
      <c r="G37" s="246">
        <f>G13+E24-F24</f>
        <v>248403.58280000003</v>
      </c>
      <c r="H37" s="54"/>
      <c r="I37" s="54"/>
    </row>
    <row r="38" spans="1:12" ht="31.5" customHeight="1" x14ac:dyDescent="0.25">
      <c r="A38" s="571" t="s">
        <v>106</v>
      </c>
      <c r="B38" s="572"/>
      <c r="C38" s="572"/>
      <c r="D38" s="572"/>
      <c r="E38" s="572"/>
      <c r="F38" s="572"/>
      <c r="G38" s="572"/>
      <c r="H38" s="50"/>
      <c r="I38" s="50"/>
      <c r="J38" s="50"/>
      <c r="K38" s="50"/>
    </row>
    <row r="40" spans="1:12" s="66" customFormat="1" ht="37.5" customHeight="1" x14ac:dyDescent="0.2">
      <c r="A40" s="94" t="s">
        <v>11</v>
      </c>
      <c r="B40" s="416" t="s">
        <v>45</v>
      </c>
      <c r="C40" s="425"/>
      <c r="D40" s="94" t="s">
        <v>99</v>
      </c>
      <c r="E40" s="94" t="s">
        <v>98</v>
      </c>
      <c r="F40" s="416" t="s">
        <v>46</v>
      </c>
      <c r="G40" s="425"/>
      <c r="H40" s="207"/>
      <c r="I40" s="208"/>
      <c r="L40" s="97"/>
    </row>
    <row r="41" spans="1:12" s="103" customFormat="1" ht="15" customHeight="1" x14ac:dyDescent="0.25">
      <c r="A41" s="98" t="s">
        <v>47</v>
      </c>
      <c r="B41" s="418" t="s">
        <v>75</v>
      </c>
      <c r="C41" s="430"/>
      <c r="D41" s="99"/>
      <c r="E41" s="99"/>
      <c r="F41" s="436">
        <f>SUM(F42:G46)</f>
        <v>79599.597899999993</v>
      </c>
      <c r="G41" s="424"/>
      <c r="H41" s="209"/>
      <c r="I41" s="210"/>
      <c r="L41" s="104"/>
    </row>
    <row r="42" spans="1:12" ht="15" x14ac:dyDescent="0.25">
      <c r="A42" s="34" t="s">
        <v>16</v>
      </c>
      <c r="B42" s="406" t="s">
        <v>409</v>
      </c>
      <c r="C42" s="407"/>
      <c r="D42" s="176" t="s">
        <v>100</v>
      </c>
      <c r="E42" s="176">
        <v>1</v>
      </c>
      <c r="F42" s="435">
        <v>8000</v>
      </c>
      <c r="G42" s="435"/>
      <c r="H42" s="211"/>
      <c r="I42" s="212"/>
      <c r="L42" s="106"/>
    </row>
    <row r="43" spans="1:12" ht="36.6" customHeight="1" x14ac:dyDescent="0.25">
      <c r="A43" s="34" t="s">
        <v>18</v>
      </c>
      <c r="B43" s="406" t="s">
        <v>606</v>
      </c>
      <c r="C43" s="407"/>
      <c r="D43" s="176" t="s">
        <v>100</v>
      </c>
      <c r="E43" s="176">
        <v>1</v>
      </c>
      <c r="F43" s="435">
        <v>24750</v>
      </c>
      <c r="G43" s="435"/>
      <c r="H43" s="38"/>
      <c r="I43" s="38"/>
      <c r="L43" s="106"/>
    </row>
    <row r="44" spans="1:12" ht="21.6" customHeight="1" x14ac:dyDescent="0.25">
      <c r="A44" s="34" t="s">
        <v>20</v>
      </c>
      <c r="B44" s="406" t="s">
        <v>408</v>
      </c>
      <c r="C44" s="407"/>
      <c r="D44" s="176" t="s">
        <v>100</v>
      </c>
      <c r="E44" s="176">
        <v>1</v>
      </c>
      <c r="F44" s="435">
        <v>37470</v>
      </c>
      <c r="G44" s="435"/>
      <c r="H44" s="38"/>
      <c r="I44" s="38"/>
      <c r="L44" s="106"/>
    </row>
    <row r="45" spans="1:12" ht="21.6" customHeight="1" x14ac:dyDescent="0.25">
      <c r="A45" s="34" t="s">
        <v>22</v>
      </c>
      <c r="B45" s="406" t="s">
        <v>595</v>
      </c>
      <c r="C45" s="407"/>
      <c r="D45" s="176" t="s">
        <v>100</v>
      </c>
      <c r="E45" s="176">
        <v>1</v>
      </c>
      <c r="F45" s="435">
        <v>8000</v>
      </c>
      <c r="G45" s="435"/>
      <c r="H45" s="38"/>
      <c r="I45" s="38"/>
      <c r="L45" s="106"/>
    </row>
    <row r="46" spans="1:12" s="59" customFormat="1" ht="15" x14ac:dyDescent="0.25">
      <c r="A46" s="34" t="s">
        <v>24</v>
      </c>
      <c r="B46" s="458" t="s">
        <v>108</v>
      </c>
      <c r="C46" s="459"/>
      <c r="D46" s="108"/>
      <c r="E46" s="108"/>
      <c r="F46" s="435">
        <f>E24*1%</f>
        <v>1379.5979000000002</v>
      </c>
      <c r="G46" s="435"/>
      <c r="H46" s="51"/>
      <c r="I46" s="51"/>
      <c r="J46" s="51"/>
      <c r="K46" s="51"/>
    </row>
    <row r="47" spans="1:12" s="51" customFormat="1" ht="9" customHeight="1" x14ac:dyDescent="0.2"/>
    <row r="48" spans="1:12" s="51" customFormat="1" ht="15" x14ac:dyDescent="0.25">
      <c r="A48" s="51" t="s">
        <v>372</v>
      </c>
      <c r="B48" s="59"/>
      <c r="C48" s="110" t="s">
        <v>49</v>
      </c>
      <c r="D48" s="59"/>
      <c r="E48" s="59"/>
      <c r="F48" s="59" t="s">
        <v>60</v>
      </c>
      <c r="G48" s="59"/>
      <c r="H48" s="59"/>
      <c r="I48" s="59"/>
      <c r="J48" s="59"/>
      <c r="K48" s="59"/>
    </row>
    <row r="49" spans="1:11" s="51" customFormat="1" ht="15" x14ac:dyDescent="0.25">
      <c r="A49" s="59"/>
      <c r="B49" s="59"/>
      <c r="C49" s="110"/>
      <c r="D49" s="59"/>
      <c r="E49" s="59"/>
      <c r="F49" s="111" t="s">
        <v>438</v>
      </c>
      <c r="G49" s="59"/>
    </row>
    <row r="50" spans="1:11" s="51" customFormat="1" ht="15" x14ac:dyDescent="0.25">
      <c r="A50" s="59" t="s">
        <v>50</v>
      </c>
      <c r="B50" s="59"/>
      <c r="C50" s="110"/>
      <c r="D50" s="59"/>
      <c r="E50" s="59"/>
      <c r="F50" s="59"/>
      <c r="G50" s="59"/>
      <c r="H50" s="141"/>
      <c r="I50" s="141"/>
      <c r="J50" s="141"/>
    </row>
    <row r="51" spans="1:11" ht="15" x14ac:dyDescent="0.25">
      <c r="A51" s="59"/>
      <c r="B51" s="59"/>
      <c r="C51" s="112" t="s">
        <v>51</v>
      </c>
      <c r="D51" s="59"/>
      <c r="E51" s="113"/>
      <c r="F51" s="113"/>
      <c r="G51" s="113"/>
      <c r="H51" s="51"/>
      <c r="I51" s="51"/>
      <c r="J51" s="51"/>
      <c r="K51" s="51"/>
    </row>
    <row r="52" spans="1:11" ht="15.75" x14ac:dyDescent="0.2">
      <c r="A52" s="51"/>
      <c r="B52" s="353"/>
      <c r="C52" s="51"/>
      <c r="D52" s="51"/>
      <c r="E52" s="51"/>
      <c r="F52" s="51"/>
      <c r="G52" s="51"/>
      <c r="H52" s="51"/>
      <c r="I52" s="51"/>
      <c r="J52" s="51"/>
      <c r="K52" s="51"/>
    </row>
  </sheetData>
  <mergeCells count="25">
    <mergeCell ref="B45:C45"/>
    <mergeCell ref="F45:G45"/>
    <mergeCell ref="B46:C46"/>
    <mergeCell ref="F46:G46"/>
    <mergeCell ref="B41:C41"/>
    <mergeCell ref="F41:G41"/>
    <mergeCell ref="B42:C42"/>
    <mergeCell ref="F42:G42"/>
    <mergeCell ref="B43:C43"/>
    <mergeCell ref="F43:G43"/>
    <mergeCell ref="B44:C44"/>
    <mergeCell ref="F44:G44"/>
    <mergeCell ref="A11:K11"/>
    <mergeCell ref="A33:F33"/>
    <mergeCell ref="A34:C34"/>
    <mergeCell ref="A38:G38"/>
    <mergeCell ref="B40:C40"/>
    <mergeCell ref="F40:G40"/>
    <mergeCell ref="C32:F32"/>
    <mergeCell ref="A1:K1"/>
    <mergeCell ref="A5:K5"/>
    <mergeCell ref="A9:K9"/>
    <mergeCell ref="A10:K10"/>
    <mergeCell ref="A2:L2"/>
    <mergeCell ref="A3:L3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F7A041-2002-44A0-8896-D4330AE520A4}">
  <sheetPr>
    <tabColor rgb="FF7030A0"/>
  </sheetPr>
  <dimension ref="A1:N58"/>
  <sheetViews>
    <sheetView topLeftCell="A38" workbookViewId="0">
      <selection activeCell="A61" sqref="A61:IV62"/>
    </sheetView>
  </sheetViews>
  <sheetFormatPr defaultRowHeight="12.75" outlineLevelRow="1" outlineLevelCol="1" x14ac:dyDescent="0.2"/>
  <cols>
    <col min="1" max="1" width="6" style="49" customWidth="1"/>
    <col min="2" max="2" width="48.140625" style="49" customWidth="1"/>
    <col min="3" max="3" width="14" style="49" customWidth="1"/>
    <col min="4" max="4" width="14.85546875" style="49" customWidth="1"/>
    <col min="5" max="6" width="13.28515625" style="49" customWidth="1"/>
    <col min="7" max="7" width="14.5703125" style="49" customWidth="1"/>
    <col min="8" max="9" width="11.5703125" style="49" hidden="1" customWidth="1" outlineLevel="1"/>
    <col min="10" max="10" width="10.140625" style="49" hidden="1" customWidth="1" outlineLevel="1"/>
    <col min="11" max="11" width="10.42578125" style="49" hidden="1" customWidth="1" outlineLevel="1"/>
    <col min="12" max="12" width="9.140625" style="49" collapsed="1"/>
    <col min="13" max="13" width="10" style="49" bestFit="1" customWidth="1"/>
    <col min="14" max="14" width="15.85546875" style="49" customWidth="1"/>
    <col min="15" max="16384" width="9.140625" style="49"/>
  </cols>
  <sheetData>
    <row r="1" spans="1:12" x14ac:dyDescent="0.2">
      <c r="A1" s="370" t="s">
        <v>0</v>
      </c>
      <c r="B1" s="370"/>
      <c r="C1" s="370"/>
      <c r="D1" s="370"/>
      <c r="E1" s="370"/>
      <c r="F1" s="370"/>
      <c r="G1" s="370"/>
      <c r="H1" s="370"/>
      <c r="I1" s="370"/>
      <c r="J1" s="370"/>
      <c r="K1" s="370"/>
    </row>
    <row r="2" spans="1:12" ht="12.75" customHeight="1" x14ac:dyDescent="0.2">
      <c r="A2" s="370" t="s">
        <v>152</v>
      </c>
      <c r="B2" s="370"/>
      <c r="C2" s="370"/>
      <c r="D2" s="370"/>
      <c r="E2" s="370"/>
      <c r="F2" s="370"/>
      <c r="G2" s="370"/>
      <c r="H2" s="370"/>
      <c r="I2" s="370"/>
      <c r="J2" s="370"/>
      <c r="K2" s="370"/>
      <c r="L2" s="370"/>
    </row>
    <row r="3" spans="1:12" ht="13.5" customHeight="1" x14ac:dyDescent="0.2">
      <c r="A3" s="370" t="s">
        <v>426</v>
      </c>
      <c r="B3" s="370"/>
      <c r="C3" s="370"/>
      <c r="D3" s="370"/>
      <c r="E3" s="370"/>
      <c r="F3" s="370"/>
      <c r="G3" s="370"/>
      <c r="H3" s="370"/>
      <c r="I3" s="370"/>
      <c r="J3" s="370"/>
      <c r="K3" s="370"/>
      <c r="L3" s="370"/>
    </row>
    <row r="4" spans="1:12" ht="9" customHeight="1" x14ac:dyDescent="0.2">
      <c r="A4" s="48"/>
      <c r="B4" s="48"/>
      <c r="C4" s="48"/>
      <c r="D4" s="48"/>
      <c r="E4" s="48"/>
      <c r="F4" s="48"/>
      <c r="G4" s="48"/>
      <c r="H4" s="48"/>
      <c r="I4" s="48"/>
      <c r="J4" s="48"/>
      <c r="K4" s="48"/>
    </row>
    <row r="5" spans="1:12" ht="16.5" customHeight="1" x14ac:dyDescent="0.2">
      <c r="A5" s="371" t="s">
        <v>1</v>
      </c>
      <c r="B5" s="370"/>
      <c r="C5" s="370"/>
      <c r="D5" s="370"/>
      <c r="E5" s="370"/>
      <c r="F5" s="370"/>
      <c r="G5" s="370"/>
      <c r="H5" s="370"/>
      <c r="I5" s="370"/>
      <c r="J5" s="370"/>
      <c r="K5" s="370"/>
    </row>
    <row r="7" spans="1:12" s="51" customFormat="1" ht="16.5" customHeight="1" x14ac:dyDescent="0.2">
      <c r="A7" s="51" t="s">
        <v>2</v>
      </c>
      <c r="F7" s="52" t="s">
        <v>395</v>
      </c>
      <c r="H7" s="52"/>
    </row>
    <row r="8" spans="1:12" s="51" customFormat="1" x14ac:dyDescent="0.2">
      <c r="A8" s="51" t="s">
        <v>3</v>
      </c>
      <c r="F8" s="242" t="s">
        <v>396</v>
      </c>
      <c r="H8" s="245">
        <v>8.6</v>
      </c>
      <c r="I8" s="214">
        <v>7776.2</v>
      </c>
      <c r="J8" s="304">
        <f>H8+I8</f>
        <v>7784.8</v>
      </c>
    </row>
    <row r="9" spans="1:12" s="51" customFormat="1" x14ac:dyDescent="0.2">
      <c r="B9" s="51" t="s">
        <v>252</v>
      </c>
      <c r="F9" s="242" t="s">
        <v>397</v>
      </c>
      <c r="H9" s="312"/>
      <c r="I9" s="214"/>
      <c r="J9" s="304"/>
    </row>
    <row r="10" spans="1:12" s="51" customFormat="1" x14ac:dyDescent="0.2">
      <c r="A10" s="372" t="s">
        <v>8</v>
      </c>
      <c r="B10" s="372"/>
      <c r="C10" s="372"/>
      <c r="D10" s="372"/>
      <c r="E10" s="372"/>
      <c r="F10" s="372"/>
      <c r="G10" s="372"/>
      <c r="H10" s="372"/>
      <c r="I10" s="372"/>
      <c r="J10" s="372"/>
      <c r="K10" s="372"/>
    </row>
    <row r="11" spans="1:12" s="51" customFormat="1" x14ac:dyDescent="0.2">
      <c r="A11" s="372" t="s">
        <v>9</v>
      </c>
      <c r="B11" s="372"/>
      <c r="C11" s="372"/>
      <c r="D11" s="372"/>
      <c r="E11" s="372"/>
      <c r="F11" s="372"/>
      <c r="G11" s="372"/>
      <c r="H11" s="372"/>
      <c r="I11" s="372"/>
      <c r="J11" s="372"/>
      <c r="K11" s="372"/>
    </row>
    <row r="12" spans="1:12" s="51" customFormat="1" x14ac:dyDescent="0.2">
      <c r="A12" s="372" t="s">
        <v>10</v>
      </c>
      <c r="B12" s="372"/>
      <c r="C12" s="372"/>
      <c r="D12" s="372"/>
      <c r="E12" s="372"/>
      <c r="F12" s="372"/>
      <c r="G12" s="372"/>
      <c r="H12" s="372"/>
      <c r="I12" s="372"/>
      <c r="J12" s="372"/>
      <c r="K12" s="372"/>
    </row>
    <row r="13" spans="1:12" s="51" customFormat="1" ht="13.5" thickBot="1" x14ac:dyDescent="0.25">
      <c r="A13" s="54"/>
      <c r="B13" s="54"/>
      <c r="C13" s="54"/>
      <c r="D13" s="54"/>
      <c r="E13" s="54"/>
      <c r="F13" s="54"/>
      <c r="G13" s="54"/>
      <c r="H13" s="54"/>
      <c r="I13" s="54"/>
      <c r="J13" s="54"/>
      <c r="K13" s="54"/>
    </row>
    <row r="14" spans="1:12" s="59" customFormat="1" ht="15.75" thickBot="1" x14ac:dyDescent="0.3">
      <c r="A14" s="55" t="s">
        <v>607</v>
      </c>
      <c r="B14" s="56"/>
      <c r="C14" s="56"/>
      <c r="D14" s="61"/>
      <c r="E14" s="62"/>
      <c r="F14" s="62"/>
      <c r="G14" s="232">
        <f>'[1]Суворова 65'!$G$38</f>
        <v>-262957.13210000005</v>
      </c>
      <c r="H14" s="54"/>
      <c r="I14" s="54"/>
    </row>
    <row r="15" spans="1:12" s="51" customFormat="1" ht="6.75" customHeight="1" x14ac:dyDescent="0.2"/>
    <row r="16" spans="1:12" s="66" customFormat="1" ht="38.25" x14ac:dyDescent="0.25">
      <c r="A16" s="64" t="s">
        <v>11</v>
      </c>
      <c r="B16" s="64" t="s">
        <v>12</v>
      </c>
      <c r="C16" s="64" t="s">
        <v>61</v>
      </c>
      <c r="D16" s="64" t="s">
        <v>432</v>
      </c>
      <c r="E16" s="64" t="s">
        <v>433</v>
      </c>
      <c r="F16" s="65" t="s">
        <v>434</v>
      </c>
      <c r="G16" s="64" t="s">
        <v>435</v>
      </c>
    </row>
    <row r="17" spans="1:14" s="51" customFormat="1" ht="14.25" x14ac:dyDescent="0.2">
      <c r="A17" s="67" t="s">
        <v>14</v>
      </c>
      <c r="B17" s="39" t="s">
        <v>379</v>
      </c>
      <c r="C17" s="87">
        <v>20.32</v>
      </c>
      <c r="D17" s="68">
        <v>1896148.8</v>
      </c>
      <c r="E17" s="68">
        <v>1841573.53</v>
      </c>
      <c r="F17" s="68">
        <f t="shared" ref="F17:F23" si="0">D17</f>
        <v>1896148.8</v>
      </c>
      <c r="G17" s="69">
        <f>D17-E17</f>
        <v>54575.270000000019</v>
      </c>
      <c r="H17" s="70">
        <f>C17</f>
        <v>20.32</v>
      </c>
      <c r="I17" s="71"/>
      <c r="J17" s="71"/>
      <c r="K17" s="71"/>
      <c r="M17" s="70"/>
      <c r="N17" s="72"/>
    </row>
    <row r="18" spans="1:14" s="51" customFormat="1" ht="15" hidden="1" outlineLevel="1" x14ac:dyDescent="0.25">
      <c r="A18" s="73" t="s">
        <v>16</v>
      </c>
      <c r="B18" s="34" t="s">
        <v>17</v>
      </c>
      <c r="C18" s="74">
        <v>3.46</v>
      </c>
      <c r="D18" s="75">
        <f>D17*I18</f>
        <v>322867.8566929134</v>
      </c>
      <c r="E18" s="75">
        <f>E17*I18</f>
        <v>313575.02036417322</v>
      </c>
      <c r="F18" s="75">
        <f t="shared" si="0"/>
        <v>322867.8566929134</v>
      </c>
      <c r="G18" s="76">
        <f>D18-E18</f>
        <v>9292.8363287401735</v>
      </c>
      <c r="H18" s="70">
        <f>C18</f>
        <v>3.46</v>
      </c>
      <c r="I18" s="51">
        <f>H18/H17</f>
        <v>0.17027559055118111</v>
      </c>
    </row>
    <row r="19" spans="1:14" s="51" customFormat="1" ht="15" hidden="1" outlineLevel="1" x14ac:dyDescent="0.25">
      <c r="A19" s="73" t="s">
        <v>18</v>
      </c>
      <c r="B19" s="34" t="s">
        <v>19</v>
      </c>
      <c r="C19" s="74">
        <v>1.69</v>
      </c>
      <c r="D19" s="75">
        <f>D17*I19</f>
        <v>157701.35196850394</v>
      </c>
      <c r="E19" s="75">
        <f>E17*I19</f>
        <v>153162.36543799212</v>
      </c>
      <c r="F19" s="75">
        <f t="shared" si="0"/>
        <v>157701.35196850394</v>
      </c>
      <c r="G19" s="76">
        <f>D19-E19</f>
        <v>4538.9865305118146</v>
      </c>
      <c r="H19" s="70">
        <f>C19</f>
        <v>1.69</v>
      </c>
      <c r="I19" s="51">
        <f>H19/H17</f>
        <v>8.3169291338582668E-2</v>
      </c>
    </row>
    <row r="20" spans="1:14" s="51" customFormat="1" ht="15" hidden="1" outlineLevel="1" x14ac:dyDescent="0.25">
      <c r="A20" s="73" t="s">
        <v>20</v>
      </c>
      <c r="B20" s="34" t="s">
        <v>21</v>
      </c>
      <c r="C20" s="74">
        <v>2.15</v>
      </c>
      <c r="D20" s="75">
        <f>D17*I20</f>
        <v>200625.98031496062</v>
      </c>
      <c r="E20" s="75">
        <f>E17*I20</f>
        <v>194851.52999507872</v>
      </c>
      <c r="F20" s="75">
        <f t="shared" si="0"/>
        <v>200625.98031496062</v>
      </c>
      <c r="G20" s="76">
        <f>D20-E20</f>
        <v>5774.4503198819002</v>
      </c>
      <c r="H20" s="70">
        <f>C20</f>
        <v>2.15</v>
      </c>
      <c r="I20" s="51">
        <f>H20/H17</f>
        <v>0.10580708661417322</v>
      </c>
    </row>
    <row r="21" spans="1:14" s="51" customFormat="1" ht="15" hidden="1" outlineLevel="1" x14ac:dyDescent="0.25">
      <c r="A21" s="73" t="s">
        <v>22</v>
      </c>
      <c r="B21" s="34" t="s">
        <v>23</v>
      </c>
      <c r="C21" s="74">
        <v>3.04</v>
      </c>
      <c r="D21" s="75">
        <f>D17*I21</f>
        <v>283675.80472440948</v>
      </c>
      <c r="E21" s="75">
        <f>E17*I21</f>
        <v>275511.00055118115</v>
      </c>
      <c r="F21" s="75">
        <f t="shared" si="0"/>
        <v>283675.80472440948</v>
      </c>
      <c r="G21" s="76">
        <f>D21-E21</f>
        <v>8164.8041732283309</v>
      </c>
      <c r="H21" s="70">
        <f>C21</f>
        <v>3.04</v>
      </c>
      <c r="I21" s="51">
        <f>H21/H17</f>
        <v>0.14960629921259844</v>
      </c>
    </row>
    <row r="22" spans="1:14" s="81" customFormat="1" ht="14.25" collapsed="1" x14ac:dyDescent="0.2">
      <c r="A22" s="78" t="s">
        <v>25</v>
      </c>
      <c r="B22" s="78" t="s">
        <v>118</v>
      </c>
      <c r="C22" s="43">
        <v>0</v>
      </c>
      <c r="D22" s="79">
        <v>0</v>
      </c>
      <c r="E22" s="79">
        <v>0</v>
      </c>
      <c r="F22" s="79">
        <f>D22</f>
        <v>0</v>
      </c>
      <c r="G22" s="69">
        <f t="shared" ref="G22:G33" si="1">D22-E22</f>
        <v>0</v>
      </c>
      <c r="H22" s="80"/>
      <c r="I22" s="80"/>
      <c r="J22" s="80"/>
      <c r="K22" s="80"/>
    </row>
    <row r="23" spans="1:14" s="81" customFormat="1" ht="14.25" x14ac:dyDescent="0.2">
      <c r="A23" s="78" t="s">
        <v>27</v>
      </c>
      <c r="B23" s="78" t="s">
        <v>138</v>
      </c>
      <c r="C23" s="43">
        <v>0</v>
      </c>
      <c r="D23" s="79">
        <v>0</v>
      </c>
      <c r="E23" s="79">
        <v>0</v>
      </c>
      <c r="F23" s="79">
        <f t="shared" si="0"/>
        <v>0</v>
      </c>
      <c r="G23" s="69">
        <f t="shared" si="1"/>
        <v>0</v>
      </c>
      <c r="H23" s="80"/>
      <c r="I23" s="80"/>
      <c r="J23" s="80"/>
      <c r="K23" s="80"/>
    </row>
    <row r="24" spans="1:14" s="81" customFormat="1" ht="14.25" x14ac:dyDescent="0.2">
      <c r="A24" s="78" t="s">
        <v>29</v>
      </c>
      <c r="B24" s="78" t="s">
        <v>26</v>
      </c>
      <c r="C24" s="43">
        <v>4.3600000000000003</v>
      </c>
      <c r="D24" s="79">
        <v>406599.39</v>
      </c>
      <c r="E24" s="79">
        <v>395192.19</v>
      </c>
      <c r="F24" s="79">
        <f>D24</f>
        <v>406599.39</v>
      </c>
      <c r="G24" s="69">
        <f t="shared" si="1"/>
        <v>11407.200000000012</v>
      </c>
      <c r="H24" s="80"/>
      <c r="I24" s="80"/>
      <c r="J24" s="80"/>
      <c r="K24" s="80"/>
    </row>
    <row r="25" spans="1:14" s="81" customFormat="1" ht="14.25" x14ac:dyDescent="0.2">
      <c r="A25" s="78" t="s">
        <v>31</v>
      </c>
      <c r="B25" s="78" t="s">
        <v>80</v>
      </c>
      <c r="C25" s="86">
        <v>2.0099999999999998</v>
      </c>
      <c r="D25" s="79">
        <f>187562.88+D26</f>
        <v>187770.31</v>
      </c>
      <c r="E25" s="79">
        <f>182303.53+E26</f>
        <v>182510.96</v>
      </c>
      <c r="F25" s="79">
        <f>F45</f>
        <v>99014.229599999991</v>
      </c>
      <c r="G25" s="69">
        <f t="shared" si="1"/>
        <v>5259.3500000000058</v>
      </c>
      <c r="H25" s="80"/>
      <c r="I25" s="80"/>
      <c r="J25" s="80"/>
      <c r="K25" s="80"/>
    </row>
    <row r="26" spans="1:14" s="81" customFormat="1" ht="14.25" x14ac:dyDescent="0.2">
      <c r="A26" s="78"/>
      <c r="B26" s="292" t="s">
        <v>244</v>
      </c>
      <c r="C26" s="293"/>
      <c r="D26" s="294">
        <v>207.43</v>
      </c>
      <c r="E26" s="294">
        <v>207.43</v>
      </c>
      <c r="F26" s="294"/>
      <c r="G26" s="248">
        <f>D26-E26</f>
        <v>0</v>
      </c>
      <c r="H26" s="80"/>
      <c r="I26" s="80"/>
      <c r="J26" s="80"/>
      <c r="K26" s="80"/>
    </row>
    <row r="27" spans="1:14" ht="14.25" x14ac:dyDescent="0.2">
      <c r="A27" s="39" t="s">
        <v>33</v>
      </c>
      <c r="B27" s="39" t="s">
        <v>97</v>
      </c>
      <c r="C27" s="87">
        <v>0</v>
      </c>
      <c r="D27" s="69">
        <v>0</v>
      </c>
      <c r="E27" s="69">
        <v>0</v>
      </c>
      <c r="F27" s="79">
        <f>D27</f>
        <v>0</v>
      </c>
      <c r="G27" s="69">
        <f t="shared" si="1"/>
        <v>0</v>
      </c>
      <c r="H27" s="88"/>
      <c r="I27" s="88"/>
      <c r="J27" s="88"/>
      <c r="K27" s="88"/>
    </row>
    <row r="28" spans="1:14" ht="14.25" x14ac:dyDescent="0.2">
      <c r="A28" s="39" t="s">
        <v>35</v>
      </c>
      <c r="B28" s="39" t="s">
        <v>36</v>
      </c>
      <c r="C28" s="87"/>
      <c r="D28" s="69">
        <f>SUM(D29:D32)</f>
        <v>297891.49</v>
      </c>
      <c r="E28" s="69">
        <f>SUM(E29:E32)</f>
        <v>289764.17</v>
      </c>
      <c r="F28" s="69">
        <f>SUM(F29:F32)</f>
        <v>297891.49</v>
      </c>
      <c r="G28" s="69">
        <f t="shared" si="1"/>
        <v>8127.320000000007</v>
      </c>
      <c r="H28" s="88"/>
      <c r="I28" s="88"/>
      <c r="J28" s="88"/>
      <c r="K28" s="88"/>
    </row>
    <row r="29" spans="1:14" ht="15" x14ac:dyDescent="0.25">
      <c r="A29" s="34" t="s">
        <v>37</v>
      </c>
      <c r="B29" s="34" t="s">
        <v>101</v>
      </c>
      <c r="C29" s="89">
        <v>7.36</v>
      </c>
      <c r="D29" s="76">
        <v>94004.27</v>
      </c>
      <c r="E29" s="76">
        <v>92089.12</v>
      </c>
      <c r="F29" s="76">
        <f>D29</f>
        <v>94004.27</v>
      </c>
      <c r="G29" s="76">
        <f t="shared" si="1"/>
        <v>1915.1500000000087</v>
      </c>
    </row>
    <row r="30" spans="1:14" ht="15" x14ac:dyDescent="0.25">
      <c r="A30" s="34" t="s">
        <v>39</v>
      </c>
      <c r="B30" s="34" t="s">
        <v>84</v>
      </c>
      <c r="C30" s="89">
        <v>88.38</v>
      </c>
      <c r="D30" s="76">
        <v>61707.32</v>
      </c>
      <c r="E30" s="76">
        <v>59883.67</v>
      </c>
      <c r="F30" s="76">
        <f>D30</f>
        <v>61707.32</v>
      </c>
      <c r="G30" s="76">
        <f t="shared" si="1"/>
        <v>1823.6500000000015</v>
      </c>
    </row>
    <row r="31" spans="1:14" ht="15" x14ac:dyDescent="0.25">
      <c r="A31" s="34" t="s">
        <v>42</v>
      </c>
      <c r="B31" s="45" t="s">
        <v>135</v>
      </c>
      <c r="C31" s="128">
        <v>278.94</v>
      </c>
      <c r="D31" s="76">
        <v>142179.9</v>
      </c>
      <c r="E31" s="76">
        <v>137791.38</v>
      </c>
      <c r="F31" s="76">
        <f>D31</f>
        <v>142179.9</v>
      </c>
      <c r="G31" s="76">
        <f t="shared" si="1"/>
        <v>4388.5199999999895</v>
      </c>
    </row>
    <row r="32" spans="1:14" s="230" customFormat="1" ht="15" x14ac:dyDescent="0.25">
      <c r="A32" s="228" t="s">
        <v>41</v>
      </c>
      <c r="B32" s="228" t="s">
        <v>43</v>
      </c>
      <c r="C32" s="89">
        <v>0</v>
      </c>
      <c r="D32" s="188">
        <v>0</v>
      </c>
      <c r="E32" s="188">
        <v>0</v>
      </c>
      <c r="F32" s="188">
        <f>D32</f>
        <v>0</v>
      </c>
      <c r="G32" s="76">
        <f t="shared" si="1"/>
        <v>0</v>
      </c>
    </row>
    <row r="33" spans="1:12" s="230" customFormat="1" ht="14.25" hidden="1" outlineLevel="1" x14ac:dyDescent="0.2">
      <c r="A33" s="39" t="s">
        <v>112</v>
      </c>
      <c r="B33" s="300" t="s">
        <v>140</v>
      </c>
      <c r="C33" s="298"/>
      <c r="D33" s="248">
        <v>1800</v>
      </c>
      <c r="E33" s="248">
        <v>1800</v>
      </c>
      <c r="F33" s="248">
        <v>0</v>
      </c>
      <c r="G33" s="248">
        <f t="shared" si="1"/>
        <v>0</v>
      </c>
    </row>
    <row r="34" spans="1:12" s="230" customFormat="1" ht="15" hidden="1" outlineLevel="1" x14ac:dyDescent="0.2">
      <c r="A34" s="90"/>
      <c r="B34" s="301"/>
      <c r="C34" s="376" t="s">
        <v>246</v>
      </c>
      <c r="D34" s="377"/>
      <c r="E34" s="377"/>
      <c r="F34" s="377"/>
      <c r="G34" s="82">
        <f>E33-(E33*15%)</f>
        <v>1530</v>
      </c>
    </row>
    <row r="35" spans="1:12" s="92" customFormat="1" ht="19.5" customHeight="1" collapsed="1" thickBot="1" x14ac:dyDescent="0.3">
      <c r="A35" s="373"/>
      <c r="B35" s="374"/>
      <c r="C35" s="374"/>
      <c r="D35" s="375"/>
      <c r="E35" s="375"/>
      <c r="F35" s="375"/>
      <c r="G35" s="91"/>
      <c r="H35" s="91"/>
      <c r="I35" s="91"/>
    </row>
    <row r="36" spans="1:12" s="59" customFormat="1" ht="15.75" thickBot="1" x14ac:dyDescent="0.3">
      <c r="A36" s="387" t="s">
        <v>427</v>
      </c>
      <c r="B36" s="388"/>
      <c r="C36" s="388"/>
      <c r="D36" s="63">
        <v>79369.14</v>
      </c>
      <c r="E36" s="58"/>
      <c r="F36" s="58"/>
      <c r="G36" s="58"/>
      <c r="H36" s="54"/>
      <c r="I36" s="54"/>
    </row>
    <row r="37" spans="1:12" s="59" customFormat="1" ht="6" customHeight="1" thickBot="1" x14ac:dyDescent="0.3">
      <c r="A37" s="60"/>
      <c r="B37" s="60"/>
      <c r="C37" s="60"/>
      <c r="D37" s="38"/>
      <c r="E37" s="58"/>
      <c r="F37" s="58"/>
      <c r="G37" s="58"/>
      <c r="H37" s="54"/>
      <c r="I37" s="54"/>
    </row>
    <row r="38" spans="1:12" s="59" customFormat="1" ht="15.75" thickBot="1" x14ac:dyDescent="0.3">
      <c r="A38" s="55" t="s">
        <v>428</v>
      </c>
      <c r="B38" s="56"/>
      <c r="C38" s="56"/>
      <c r="D38" s="61"/>
      <c r="E38" s="62"/>
      <c r="F38" s="62"/>
      <c r="G38" s="246">
        <f>G14+E25-F25</f>
        <v>-179460.40170000005</v>
      </c>
      <c r="H38" s="54"/>
      <c r="I38" s="54"/>
    </row>
    <row r="39" spans="1:12" s="59" customFormat="1" ht="15" x14ac:dyDescent="0.25">
      <c r="A39" s="392" t="s">
        <v>90</v>
      </c>
      <c r="B39" s="392"/>
      <c r="C39" s="60"/>
      <c r="D39" s="38"/>
      <c r="E39" s="58"/>
      <c r="F39" s="58"/>
      <c r="G39" s="38"/>
      <c r="H39" s="54"/>
      <c r="I39" s="54"/>
    </row>
    <row r="40" spans="1:12" s="59" customFormat="1" ht="15" x14ac:dyDescent="0.25">
      <c r="A40" s="444" t="s">
        <v>91</v>
      </c>
      <c r="B40" s="445"/>
      <c r="C40" s="305" t="s">
        <v>92</v>
      </c>
      <c r="D40" s="305" t="s">
        <v>93</v>
      </c>
      <c r="E40" s="138" t="s">
        <v>94</v>
      </c>
      <c r="F40" s="306" t="s">
        <v>95</v>
      </c>
      <c r="G40" s="138" t="s">
        <v>96</v>
      </c>
      <c r="H40" s="54"/>
      <c r="I40" s="54"/>
    </row>
    <row r="41" spans="1:12" s="59" customFormat="1" ht="15.75" thickBot="1" x14ac:dyDescent="0.3">
      <c r="A41" s="446"/>
      <c r="B41" s="447"/>
      <c r="C41" s="342">
        <v>8.6</v>
      </c>
      <c r="D41" s="138">
        <f>E41/C41/12</f>
        <v>26.690697674418605</v>
      </c>
      <c r="E41" s="358">
        <v>2754.48</v>
      </c>
      <c r="F41" s="358">
        <v>2754.48</v>
      </c>
      <c r="G41" s="138">
        <f>E41-F41</f>
        <v>0</v>
      </c>
      <c r="H41" s="335">
        <f>C17+C24+C25</f>
        <v>26.689999999999998</v>
      </c>
      <c r="I41" s="54">
        <f>8.6*H41*3</f>
        <v>688.60199999999986</v>
      </c>
      <c r="J41" s="59">
        <f>1377.24</f>
        <v>1377.24</v>
      </c>
      <c r="K41" s="59">
        <f>688.62</f>
        <v>688.62</v>
      </c>
    </row>
    <row r="42" spans="1:12" ht="31.5" customHeight="1" x14ac:dyDescent="0.25">
      <c r="A42" s="571" t="s">
        <v>106</v>
      </c>
      <c r="B42" s="572"/>
      <c r="C42" s="572"/>
      <c r="D42" s="572"/>
      <c r="E42" s="572"/>
      <c r="F42" s="572"/>
      <c r="G42" s="572"/>
      <c r="H42" s="50"/>
      <c r="I42" s="50"/>
      <c r="J42" s="50"/>
      <c r="K42" s="50"/>
    </row>
    <row r="44" spans="1:12" s="66" customFormat="1" ht="37.5" customHeight="1" x14ac:dyDescent="0.2">
      <c r="A44" s="94" t="s">
        <v>11</v>
      </c>
      <c r="B44" s="416" t="s">
        <v>45</v>
      </c>
      <c r="C44" s="425"/>
      <c r="D44" s="94" t="s">
        <v>99</v>
      </c>
      <c r="E44" s="94" t="s">
        <v>98</v>
      </c>
      <c r="F44" s="550" t="s">
        <v>46</v>
      </c>
      <c r="G44" s="550"/>
      <c r="H44" s="95"/>
      <c r="I44" s="96"/>
      <c r="L44" s="97"/>
    </row>
    <row r="45" spans="1:12" s="103" customFormat="1" ht="15" customHeight="1" x14ac:dyDescent="0.25">
      <c r="A45" s="98" t="s">
        <v>47</v>
      </c>
      <c r="B45" s="418" t="s">
        <v>75</v>
      </c>
      <c r="C45" s="430"/>
      <c r="D45" s="99"/>
      <c r="E45" s="99"/>
      <c r="F45" s="548">
        <f>SUM(F46:G52)</f>
        <v>99014.229599999991</v>
      </c>
      <c r="G45" s="549"/>
      <c r="H45" s="101"/>
      <c r="I45" s="102"/>
      <c r="L45" s="104"/>
    </row>
    <row r="46" spans="1:12" ht="15" x14ac:dyDescent="0.25">
      <c r="A46" s="34" t="s">
        <v>16</v>
      </c>
      <c r="B46" s="406" t="s">
        <v>608</v>
      </c>
      <c r="C46" s="407"/>
      <c r="D46" s="176" t="s">
        <v>137</v>
      </c>
      <c r="E46" s="176">
        <v>5.0000000000000001E-3</v>
      </c>
      <c r="F46" s="435">
        <v>2614.7199999999998</v>
      </c>
      <c r="G46" s="435"/>
      <c r="H46" s="38"/>
      <c r="I46" s="38"/>
      <c r="L46" s="106"/>
    </row>
    <row r="47" spans="1:12" ht="15" x14ac:dyDescent="0.25">
      <c r="A47" s="34" t="s">
        <v>18</v>
      </c>
      <c r="B47" s="406" t="s">
        <v>494</v>
      </c>
      <c r="C47" s="407"/>
      <c r="D47" s="176" t="s">
        <v>100</v>
      </c>
      <c r="E47" s="176">
        <v>1</v>
      </c>
      <c r="F47" s="435">
        <v>12246.92</v>
      </c>
      <c r="G47" s="435"/>
      <c r="H47" s="38"/>
      <c r="I47" s="38"/>
      <c r="L47" s="106"/>
    </row>
    <row r="48" spans="1:12" ht="15" x14ac:dyDescent="0.25">
      <c r="A48" s="34" t="s">
        <v>20</v>
      </c>
      <c r="B48" s="406" t="s">
        <v>547</v>
      </c>
      <c r="C48" s="407"/>
      <c r="D48" s="176" t="s">
        <v>100</v>
      </c>
      <c r="E48" s="176">
        <v>1</v>
      </c>
      <c r="F48" s="435">
        <v>16000</v>
      </c>
      <c r="G48" s="435"/>
      <c r="H48" s="38"/>
      <c r="I48" s="38"/>
      <c r="L48" s="106"/>
    </row>
    <row r="49" spans="1:12" ht="15" x14ac:dyDescent="0.25">
      <c r="A49" s="34" t="s">
        <v>22</v>
      </c>
      <c r="B49" s="406" t="s">
        <v>609</v>
      </c>
      <c r="C49" s="407"/>
      <c r="D49" s="176" t="s">
        <v>100</v>
      </c>
      <c r="E49" s="176">
        <v>1</v>
      </c>
      <c r="F49" s="435">
        <v>29076.46</v>
      </c>
      <c r="G49" s="435"/>
      <c r="H49" s="38"/>
      <c r="I49" s="38"/>
      <c r="L49" s="106"/>
    </row>
    <row r="50" spans="1:12" ht="15" x14ac:dyDescent="0.25">
      <c r="A50" s="34" t="s">
        <v>24</v>
      </c>
      <c r="B50" s="406" t="s">
        <v>611</v>
      </c>
      <c r="C50" s="407"/>
      <c r="D50" s="176" t="s">
        <v>137</v>
      </c>
      <c r="E50" s="176">
        <v>0.5</v>
      </c>
      <c r="F50" s="435">
        <v>37251.019999999997</v>
      </c>
      <c r="G50" s="435"/>
      <c r="H50" s="38"/>
      <c r="I50" s="38"/>
      <c r="L50" s="106"/>
    </row>
    <row r="51" spans="1:12" ht="15" x14ac:dyDescent="0.25">
      <c r="A51" s="34" t="s">
        <v>73</v>
      </c>
      <c r="B51" s="412"/>
      <c r="C51" s="413"/>
      <c r="D51" s="260"/>
      <c r="E51" s="260"/>
      <c r="F51" s="463"/>
      <c r="G51" s="463"/>
      <c r="H51" s="38"/>
      <c r="I51" s="38"/>
      <c r="L51" s="106"/>
    </row>
    <row r="52" spans="1:12" s="59" customFormat="1" ht="15" x14ac:dyDescent="0.25">
      <c r="A52" s="34" t="s">
        <v>74</v>
      </c>
      <c r="B52" s="458" t="s">
        <v>108</v>
      </c>
      <c r="C52" s="459"/>
      <c r="D52" s="108"/>
      <c r="E52" s="108"/>
      <c r="F52" s="435">
        <f>E25*1%</f>
        <v>1825.1096</v>
      </c>
      <c r="G52" s="435"/>
      <c r="H52" s="51"/>
      <c r="I52" s="51"/>
      <c r="J52" s="51"/>
      <c r="K52" s="51"/>
    </row>
    <row r="53" spans="1:12" s="51" customFormat="1" ht="9" customHeight="1" x14ac:dyDescent="0.2"/>
    <row r="54" spans="1:12" s="51" customFormat="1" ht="15" x14ac:dyDescent="0.25">
      <c r="A54" s="51" t="s">
        <v>372</v>
      </c>
      <c r="B54" s="59"/>
      <c r="C54" s="110" t="s">
        <v>49</v>
      </c>
      <c r="D54" s="59"/>
      <c r="E54" s="59"/>
      <c r="F54" s="59" t="s">
        <v>60</v>
      </c>
      <c r="G54" s="59"/>
      <c r="H54" s="59"/>
      <c r="I54" s="59"/>
      <c r="J54" s="59"/>
      <c r="K54" s="59"/>
    </row>
    <row r="55" spans="1:12" s="51" customFormat="1" ht="15" x14ac:dyDescent="0.25">
      <c r="A55" s="59"/>
      <c r="B55" s="59"/>
      <c r="C55" s="110"/>
      <c r="D55" s="59"/>
      <c r="E55" s="59"/>
      <c r="F55" s="111" t="s">
        <v>438</v>
      </c>
      <c r="G55" s="59"/>
    </row>
    <row r="56" spans="1:12" s="51" customFormat="1" ht="15" x14ac:dyDescent="0.25">
      <c r="A56" s="59" t="s">
        <v>50</v>
      </c>
      <c r="B56" s="59"/>
      <c r="C56" s="110"/>
      <c r="D56" s="59"/>
      <c r="E56" s="59"/>
      <c r="F56" s="59"/>
      <c r="G56" s="59"/>
      <c r="H56" s="141"/>
      <c r="I56" s="141"/>
      <c r="J56" s="141"/>
    </row>
    <row r="57" spans="1:12" ht="15" x14ac:dyDescent="0.25">
      <c r="A57" s="59"/>
      <c r="B57" s="59"/>
      <c r="C57" s="112" t="s">
        <v>51</v>
      </c>
      <c r="D57" s="59"/>
      <c r="E57" s="113"/>
      <c r="F57" s="113"/>
      <c r="G57" s="113"/>
      <c r="H57" s="51"/>
      <c r="I57" s="51"/>
      <c r="J57" s="51"/>
      <c r="K57" s="51"/>
    </row>
    <row r="58" spans="1:12" x14ac:dyDescent="0.2">
      <c r="A58" s="51"/>
      <c r="B58" s="51"/>
      <c r="C58" s="51"/>
      <c r="D58" s="51"/>
      <c r="E58" s="51"/>
      <c r="F58" s="51"/>
      <c r="G58" s="51"/>
      <c r="H58" s="51"/>
      <c r="I58" s="51"/>
      <c r="J58" s="51"/>
      <c r="K58" s="51"/>
    </row>
  </sheetData>
  <mergeCells count="31">
    <mergeCell ref="B48:C48"/>
    <mergeCell ref="B49:C49"/>
    <mergeCell ref="B50:C50"/>
    <mergeCell ref="B51:C51"/>
    <mergeCell ref="F48:G48"/>
    <mergeCell ref="F49:G49"/>
    <mergeCell ref="F50:G50"/>
    <mergeCell ref="F51:G51"/>
    <mergeCell ref="A1:K1"/>
    <mergeCell ref="A2:L2"/>
    <mergeCell ref="A5:K5"/>
    <mergeCell ref="A10:K10"/>
    <mergeCell ref="A11:K11"/>
    <mergeCell ref="A3:L3"/>
    <mergeCell ref="A12:K12"/>
    <mergeCell ref="C34:F34"/>
    <mergeCell ref="A35:F35"/>
    <mergeCell ref="A36:C36"/>
    <mergeCell ref="A42:G42"/>
    <mergeCell ref="B44:C44"/>
    <mergeCell ref="F44:G44"/>
    <mergeCell ref="B52:C52"/>
    <mergeCell ref="F52:G52"/>
    <mergeCell ref="A39:B39"/>
    <mergeCell ref="A40:B41"/>
    <mergeCell ref="B45:C45"/>
    <mergeCell ref="F45:G45"/>
    <mergeCell ref="B46:C46"/>
    <mergeCell ref="F46:G46"/>
    <mergeCell ref="B47:C47"/>
    <mergeCell ref="F47:G47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  <drawing r:id="rId2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AD3694-F18D-495E-8F05-B57EEC77991D}">
  <sheetPr>
    <tabColor rgb="FF7030A0"/>
  </sheetPr>
  <dimension ref="A1:N52"/>
  <sheetViews>
    <sheetView topLeftCell="A31" workbookViewId="0">
      <selection activeCell="A55" sqref="A55:IV56"/>
    </sheetView>
  </sheetViews>
  <sheetFormatPr defaultRowHeight="12.75" outlineLevelRow="1" outlineLevelCol="1" x14ac:dyDescent="0.2"/>
  <cols>
    <col min="1" max="1" width="6" style="49" customWidth="1"/>
    <col min="2" max="2" width="48.140625" style="49" customWidth="1"/>
    <col min="3" max="3" width="14" style="49" customWidth="1"/>
    <col min="4" max="4" width="14.85546875" style="49" customWidth="1"/>
    <col min="5" max="6" width="13.28515625" style="49" customWidth="1"/>
    <col min="7" max="7" width="14.5703125" style="49" customWidth="1"/>
    <col min="8" max="9" width="11.5703125" style="49" hidden="1" customWidth="1" outlineLevel="1"/>
    <col min="10" max="10" width="10.140625" style="49" hidden="1" customWidth="1" outlineLevel="1"/>
    <col min="11" max="11" width="10.42578125" style="49" customWidth="1" collapsed="1"/>
    <col min="12" max="12" width="9.140625" style="49"/>
    <col min="13" max="13" width="10" style="49" bestFit="1" customWidth="1"/>
    <col min="14" max="14" width="15.85546875" style="49" customWidth="1"/>
    <col min="15" max="16384" width="9.140625" style="49"/>
  </cols>
  <sheetData>
    <row r="1" spans="1:12" x14ac:dyDescent="0.2">
      <c r="A1" s="370" t="s">
        <v>0</v>
      </c>
      <c r="B1" s="370"/>
      <c r="C1" s="370"/>
      <c r="D1" s="370"/>
      <c r="E1" s="370"/>
      <c r="F1" s="370"/>
      <c r="G1" s="370"/>
      <c r="H1" s="370"/>
      <c r="I1" s="370"/>
      <c r="J1" s="370"/>
      <c r="K1" s="370"/>
    </row>
    <row r="2" spans="1:12" ht="12.75" customHeight="1" x14ac:dyDescent="0.2">
      <c r="A2" s="370" t="s">
        <v>152</v>
      </c>
      <c r="B2" s="370"/>
      <c r="C2" s="370"/>
      <c r="D2" s="370"/>
      <c r="E2" s="370"/>
      <c r="F2" s="370"/>
      <c r="G2" s="370"/>
      <c r="H2" s="370"/>
      <c r="I2" s="370"/>
      <c r="J2" s="370"/>
      <c r="K2" s="370"/>
      <c r="L2" s="370"/>
    </row>
    <row r="3" spans="1:12" ht="13.5" customHeight="1" x14ac:dyDescent="0.2">
      <c r="A3" s="370" t="s">
        <v>426</v>
      </c>
      <c r="B3" s="370"/>
      <c r="C3" s="370"/>
      <c r="D3" s="370"/>
      <c r="E3" s="370"/>
      <c r="F3" s="370"/>
      <c r="G3" s="370"/>
      <c r="H3" s="370"/>
      <c r="I3" s="370"/>
      <c r="J3" s="370"/>
      <c r="K3" s="370"/>
      <c r="L3" s="370"/>
    </row>
    <row r="4" spans="1:12" ht="9" customHeight="1" x14ac:dyDescent="0.2">
      <c r="A4" s="48"/>
      <c r="B4" s="48"/>
      <c r="C4" s="48"/>
      <c r="D4" s="48"/>
      <c r="E4" s="48"/>
      <c r="F4" s="48"/>
      <c r="G4" s="48"/>
      <c r="H4" s="48"/>
      <c r="I4" s="48"/>
      <c r="J4" s="48"/>
      <c r="K4" s="48"/>
    </row>
    <row r="5" spans="1:12" ht="16.5" customHeight="1" x14ac:dyDescent="0.2">
      <c r="A5" s="371" t="s">
        <v>1</v>
      </c>
      <c r="B5" s="370"/>
      <c r="C5" s="370"/>
      <c r="D5" s="370"/>
      <c r="E5" s="370"/>
      <c r="F5" s="370"/>
      <c r="G5" s="370"/>
      <c r="H5" s="370"/>
      <c r="I5" s="370"/>
      <c r="J5" s="370"/>
      <c r="K5" s="370"/>
    </row>
    <row r="7" spans="1:12" s="51" customFormat="1" ht="16.5" customHeight="1" x14ac:dyDescent="0.2">
      <c r="A7" s="51" t="s">
        <v>2</v>
      </c>
      <c r="F7" s="52" t="s">
        <v>398</v>
      </c>
      <c r="H7" s="52"/>
    </row>
    <row r="8" spans="1:12" s="51" customFormat="1" x14ac:dyDescent="0.2">
      <c r="A8" s="51" t="s">
        <v>3</v>
      </c>
      <c r="F8" s="242" t="s">
        <v>399</v>
      </c>
      <c r="H8" s="245">
        <v>0</v>
      </c>
      <c r="I8" s="214">
        <v>2842.4</v>
      </c>
      <c r="J8" s="304">
        <f>H8+I8</f>
        <v>2842.4</v>
      </c>
    </row>
    <row r="9" spans="1:12" s="51" customFormat="1" x14ac:dyDescent="0.2">
      <c r="F9" s="242"/>
      <c r="H9" s="312"/>
      <c r="I9" s="214"/>
      <c r="J9" s="304"/>
    </row>
    <row r="10" spans="1:12" s="51" customFormat="1" x14ac:dyDescent="0.2">
      <c r="A10" s="372" t="s">
        <v>8</v>
      </c>
      <c r="B10" s="372"/>
      <c r="C10" s="372"/>
      <c r="D10" s="372"/>
      <c r="E10" s="372"/>
      <c r="F10" s="372"/>
      <c r="G10" s="372"/>
      <c r="H10" s="372"/>
      <c r="I10" s="372"/>
      <c r="J10" s="372"/>
      <c r="K10" s="372"/>
    </row>
    <row r="11" spans="1:12" s="51" customFormat="1" x14ac:dyDescent="0.2">
      <c r="A11" s="372" t="s">
        <v>9</v>
      </c>
      <c r="B11" s="372"/>
      <c r="C11" s="372"/>
      <c r="D11" s="372"/>
      <c r="E11" s="372"/>
      <c r="F11" s="372"/>
      <c r="G11" s="372"/>
      <c r="H11" s="372"/>
      <c r="I11" s="372"/>
      <c r="J11" s="372"/>
      <c r="K11" s="372"/>
    </row>
    <row r="12" spans="1:12" s="51" customFormat="1" x14ac:dyDescent="0.2">
      <c r="A12" s="372" t="s">
        <v>10</v>
      </c>
      <c r="B12" s="372"/>
      <c r="C12" s="372"/>
      <c r="D12" s="372"/>
      <c r="E12" s="372"/>
      <c r="F12" s="372"/>
      <c r="G12" s="372"/>
      <c r="H12" s="372"/>
      <c r="I12" s="372"/>
      <c r="J12" s="372"/>
      <c r="K12" s="372"/>
    </row>
    <row r="13" spans="1:12" s="51" customFormat="1" ht="13.5" thickBot="1" x14ac:dyDescent="0.25">
      <c r="A13" s="54"/>
      <c r="B13" s="54"/>
      <c r="C13" s="54"/>
      <c r="D13" s="54"/>
      <c r="E13" s="54"/>
      <c r="F13" s="54"/>
      <c r="G13" s="54"/>
      <c r="H13" s="54"/>
      <c r="I13" s="54"/>
      <c r="J13" s="54"/>
      <c r="K13" s="54"/>
    </row>
    <row r="14" spans="1:12" s="59" customFormat="1" ht="15.75" thickBot="1" x14ac:dyDescent="0.3">
      <c r="A14" s="55" t="s">
        <v>610</v>
      </c>
      <c r="B14" s="56"/>
      <c r="C14" s="56"/>
      <c r="D14" s="61"/>
      <c r="E14" s="62"/>
      <c r="F14" s="62"/>
      <c r="G14" s="232">
        <f>'[1]Труда 22'!$G$37</f>
        <v>-313956.43420000002</v>
      </c>
      <c r="H14" s="54"/>
      <c r="I14" s="54"/>
    </row>
    <row r="15" spans="1:12" s="51" customFormat="1" ht="6.75" customHeight="1" x14ac:dyDescent="0.2"/>
    <row r="16" spans="1:12" s="66" customFormat="1" ht="38.25" x14ac:dyDescent="0.25">
      <c r="A16" s="64" t="s">
        <v>11</v>
      </c>
      <c r="B16" s="64" t="s">
        <v>12</v>
      </c>
      <c r="C16" s="64" t="s">
        <v>61</v>
      </c>
      <c r="D16" s="64" t="s">
        <v>432</v>
      </c>
      <c r="E16" s="64" t="s">
        <v>433</v>
      </c>
      <c r="F16" s="65" t="s">
        <v>434</v>
      </c>
      <c r="G16" s="64" t="s">
        <v>435</v>
      </c>
    </row>
    <row r="17" spans="1:14" s="51" customFormat="1" ht="14.25" x14ac:dyDescent="0.2">
      <c r="A17" s="67" t="s">
        <v>14</v>
      </c>
      <c r="B17" s="39" t="s">
        <v>379</v>
      </c>
      <c r="C17" s="87">
        <v>23.85</v>
      </c>
      <c r="D17" s="68">
        <v>813496.92</v>
      </c>
      <c r="E17" s="68">
        <v>797446.72</v>
      </c>
      <c r="F17" s="68">
        <f t="shared" ref="F17:F23" si="0">D17</f>
        <v>813496.92</v>
      </c>
      <c r="G17" s="69">
        <f>D17-E17</f>
        <v>16050.20000000007</v>
      </c>
      <c r="H17" s="70">
        <f>C17</f>
        <v>23.85</v>
      </c>
      <c r="I17" s="71"/>
      <c r="J17" s="71"/>
      <c r="K17" s="71"/>
      <c r="M17" s="70"/>
      <c r="N17" s="72"/>
    </row>
    <row r="18" spans="1:14" s="51" customFormat="1" ht="15" hidden="1" outlineLevel="1" x14ac:dyDescent="0.25">
      <c r="A18" s="73" t="s">
        <v>16</v>
      </c>
      <c r="B18" s="34" t="s">
        <v>17</v>
      </c>
      <c r="C18" s="74">
        <v>3.46</v>
      </c>
      <c r="D18" s="75">
        <f>D17*I18</f>
        <v>118016.74394968554</v>
      </c>
      <c r="E18" s="75">
        <f>E17*I18</f>
        <v>115688.28726205449</v>
      </c>
      <c r="F18" s="75">
        <f t="shared" si="0"/>
        <v>118016.74394968554</v>
      </c>
      <c r="G18" s="76">
        <f>D18-E18</f>
        <v>2328.4566876310419</v>
      </c>
      <c r="H18" s="70">
        <f>C18</f>
        <v>3.46</v>
      </c>
      <c r="I18" s="51">
        <f>H18/H17</f>
        <v>0.14507337526205449</v>
      </c>
    </row>
    <row r="19" spans="1:14" s="51" customFormat="1" ht="15" hidden="1" outlineLevel="1" x14ac:dyDescent="0.25">
      <c r="A19" s="73" t="s">
        <v>18</v>
      </c>
      <c r="B19" s="34" t="s">
        <v>19</v>
      </c>
      <c r="C19" s="74">
        <v>1.69</v>
      </c>
      <c r="D19" s="75">
        <f>D17*I19</f>
        <v>57644.016553459114</v>
      </c>
      <c r="E19" s="75">
        <f>E17*I19</f>
        <v>56506.706784067072</v>
      </c>
      <c r="F19" s="75">
        <f t="shared" si="0"/>
        <v>57644.016553459114</v>
      </c>
      <c r="G19" s="76">
        <f>D19-E19</f>
        <v>1137.3097693920427</v>
      </c>
      <c r="H19" s="70">
        <f>C19</f>
        <v>1.69</v>
      </c>
      <c r="I19" s="51">
        <f>H19/H17</f>
        <v>7.0859538784067075E-2</v>
      </c>
    </row>
    <row r="20" spans="1:14" s="51" customFormat="1" ht="15" hidden="1" outlineLevel="1" x14ac:dyDescent="0.25">
      <c r="A20" s="73" t="s">
        <v>20</v>
      </c>
      <c r="B20" s="34" t="s">
        <v>21</v>
      </c>
      <c r="C20" s="74">
        <v>2.15</v>
      </c>
      <c r="D20" s="75">
        <f>D17*I20</f>
        <v>73334.103899371068</v>
      </c>
      <c r="E20" s="75">
        <f>E17*I20</f>
        <v>71887.230524109007</v>
      </c>
      <c r="F20" s="75">
        <f t="shared" si="0"/>
        <v>73334.103899371068</v>
      </c>
      <c r="G20" s="76">
        <f>D20-E20</f>
        <v>1446.873375262061</v>
      </c>
      <c r="H20" s="70">
        <f>C20</f>
        <v>2.15</v>
      </c>
      <c r="I20" s="51">
        <f>H20/H17</f>
        <v>9.0146750524109004E-2</v>
      </c>
    </row>
    <row r="21" spans="1:14" s="51" customFormat="1" ht="15" hidden="1" outlineLevel="1" x14ac:dyDescent="0.25">
      <c r="A21" s="73" t="s">
        <v>22</v>
      </c>
      <c r="B21" s="34" t="s">
        <v>23</v>
      </c>
      <c r="C21" s="74">
        <v>3.04</v>
      </c>
      <c r="D21" s="75">
        <f>D17*I21</f>
        <v>103691.01202515724</v>
      </c>
      <c r="E21" s="75">
        <f>E17*I21</f>
        <v>101645.20036897273</v>
      </c>
      <c r="F21" s="75">
        <f t="shared" si="0"/>
        <v>103691.01202515724</v>
      </c>
      <c r="G21" s="76">
        <f>D21-E21</f>
        <v>2045.811656184509</v>
      </c>
      <c r="H21" s="70">
        <f>C21</f>
        <v>3.04</v>
      </c>
      <c r="I21" s="51">
        <f>H21/H17</f>
        <v>0.12746331236897274</v>
      </c>
    </row>
    <row r="22" spans="1:14" s="81" customFormat="1" ht="14.25" collapsed="1" x14ac:dyDescent="0.2">
      <c r="A22" s="78" t="s">
        <v>25</v>
      </c>
      <c r="B22" s="78" t="s">
        <v>118</v>
      </c>
      <c r="C22" s="43">
        <v>0</v>
      </c>
      <c r="D22" s="79">
        <v>0</v>
      </c>
      <c r="E22" s="79">
        <v>0</v>
      </c>
      <c r="F22" s="79">
        <f>D22</f>
        <v>0</v>
      </c>
      <c r="G22" s="69">
        <f t="shared" ref="G22:G32" si="1">D22-E22</f>
        <v>0</v>
      </c>
      <c r="H22" s="80"/>
      <c r="I22" s="80"/>
      <c r="J22" s="80"/>
      <c r="K22" s="80"/>
    </row>
    <row r="23" spans="1:14" s="81" customFormat="1" ht="14.25" x14ac:dyDescent="0.2">
      <c r="A23" s="78" t="s">
        <v>27</v>
      </c>
      <c r="B23" s="78" t="s">
        <v>138</v>
      </c>
      <c r="C23" s="46">
        <v>130</v>
      </c>
      <c r="D23" s="79">
        <v>-23400</v>
      </c>
      <c r="E23" s="79">
        <v>519.29999999999995</v>
      </c>
      <c r="F23" s="79">
        <f t="shared" si="0"/>
        <v>-23400</v>
      </c>
      <c r="G23" s="69">
        <f t="shared" si="1"/>
        <v>-23919.3</v>
      </c>
      <c r="H23" s="80"/>
      <c r="I23" s="80"/>
      <c r="J23" s="80"/>
      <c r="K23" s="80"/>
    </row>
    <row r="24" spans="1:14" s="81" customFormat="1" ht="14.25" x14ac:dyDescent="0.2">
      <c r="A24" s="78" t="s">
        <v>29</v>
      </c>
      <c r="B24" s="78" t="s">
        <v>26</v>
      </c>
      <c r="C24" s="43">
        <v>0</v>
      </c>
      <c r="D24" s="79">
        <v>0</v>
      </c>
      <c r="E24" s="79">
        <v>0</v>
      </c>
      <c r="F24" s="79">
        <f>D24</f>
        <v>0</v>
      </c>
      <c r="G24" s="69">
        <f t="shared" si="1"/>
        <v>0</v>
      </c>
      <c r="H24" s="80"/>
      <c r="I24" s="80"/>
      <c r="J24" s="80"/>
      <c r="K24" s="80"/>
    </row>
    <row r="25" spans="1:14" s="81" customFormat="1" ht="14.25" x14ac:dyDescent="0.2">
      <c r="A25" s="78" t="s">
        <v>31</v>
      </c>
      <c r="B25" s="78" t="s">
        <v>80</v>
      </c>
      <c r="C25" s="86">
        <v>2.36</v>
      </c>
      <c r="D25" s="79">
        <v>80496.72</v>
      </c>
      <c r="E25" s="79">
        <v>78909.679999999993</v>
      </c>
      <c r="F25" s="79">
        <f>F41</f>
        <v>46499.096799999999</v>
      </c>
      <c r="G25" s="69">
        <f t="shared" si="1"/>
        <v>1587.0400000000081</v>
      </c>
      <c r="H25" s="80"/>
      <c r="I25" s="80"/>
      <c r="J25" s="80"/>
      <c r="K25" s="80"/>
    </row>
    <row r="26" spans="1:14" ht="14.25" x14ac:dyDescent="0.2">
      <c r="A26" s="39" t="s">
        <v>33</v>
      </c>
      <c r="B26" s="39" t="s">
        <v>97</v>
      </c>
      <c r="C26" s="46">
        <v>0</v>
      </c>
      <c r="D26" s="69">
        <v>0</v>
      </c>
      <c r="E26" s="69">
        <v>0</v>
      </c>
      <c r="F26" s="79">
        <f>D26</f>
        <v>0</v>
      </c>
      <c r="G26" s="69">
        <f t="shared" si="1"/>
        <v>0</v>
      </c>
      <c r="H26" s="88"/>
      <c r="I26" s="88"/>
      <c r="J26" s="88"/>
      <c r="K26" s="88"/>
    </row>
    <row r="27" spans="1:14" ht="14.25" x14ac:dyDescent="0.2">
      <c r="A27" s="39" t="s">
        <v>35</v>
      </c>
      <c r="B27" s="39" t="s">
        <v>36</v>
      </c>
      <c r="C27" s="87"/>
      <c r="D27" s="69">
        <f>SUM(D28:D31)</f>
        <v>110783.29999999999</v>
      </c>
      <c r="E27" s="69">
        <f>SUM(E28:E31)</f>
        <v>108185.8</v>
      </c>
      <c r="F27" s="69">
        <f>SUM(F28:F31)</f>
        <v>110783.29999999999</v>
      </c>
      <c r="G27" s="69">
        <f t="shared" si="1"/>
        <v>2597.4999999999854</v>
      </c>
      <c r="H27" s="88"/>
      <c r="I27" s="88"/>
      <c r="J27" s="88"/>
      <c r="K27" s="88"/>
    </row>
    <row r="28" spans="1:14" ht="15" x14ac:dyDescent="0.25">
      <c r="A28" s="34" t="s">
        <v>37</v>
      </c>
      <c r="B28" s="34" t="s">
        <v>101</v>
      </c>
      <c r="C28" s="89">
        <v>7.36</v>
      </c>
      <c r="D28" s="76">
        <v>44454.879999999997</v>
      </c>
      <c r="E28" s="76">
        <v>43307.87</v>
      </c>
      <c r="F28" s="76">
        <f>D28</f>
        <v>44454.879999999997</v>
      </c>
      <c r="G28" s="76">
        <f t="shared" si="1"/>
        <v>1147.0099999999948</v>
      </c>
    </row>
    <row r="29" spans="1:14" ht="15" x14ac:dyDescent="0.25">
      <c r="A29" s="34" t="s">
        <v>39</v>
      </c>
      <c r="B29" s="34" t="s">
        <v>84</v>
      </c>
      <c r="C29" s="89">
        <v>88.38</v>
      </c>
      <c r="D29" s="76">
        <v>20074</v>
      </c>
      <c r="E29" s="76">
        <v>19660.21</v>
      </c>
      <c r="F29" s="76">
        <f>D29</f>
        <v>20074</v>
      </c>
      <c r="G29" s="76">
        <f t="shared" si="1"/>
        <v>413.79000000000087</v>
      </c>
    </row>
    <row r="30" spans="1:14" ht="15" x14ac:dyDescent="0.25">
      <c r="A30" s="34" t="s">
        <v>42</v>
      </c>
      <c r="B30" s="45" t="s">
        <v>135</v>
      </c>
      <c r="C30" s="128">
        <v>278.94</v>
      </c>
      <c r="D30" s="76">
        <v>46254.42</v>
      </c>
      <c r="E30" s="76">
        <v>45217.72</v>
      </c>
      <c r="F30" s="76">
        <f>D30</f>
        <v>46254.42</v>
      </c>
      <c r="G30" s="76">
        <f t="shared" si="1"/>
        <v>1036.6999999999971</v>
      </c>
    </row>
    <row r="31" spans="1:14" s="230" customFormat="1" ht="15" x14ac:dyDescent="0.25">
      <c r="A31" s="228" t="s">
        <v>41</v>
      </c>
      <c r="B31" s="228" t="s">
        <v>43</v>
      </c>
      <c r="C31" s="89">
        <v>0</v>
      </c>
      <c r="D31" s="188">
        <v>0</v>
      </c>
      <c r="E31" s="188">
        <v>0</v>
      </c>
      <c r="F31" s="188">
        <f>D31</f>
        <v>0</v>
      </c>
      <c r="G31" s="76">
        <f t="shared" si="1"/>
        <v>0</v>
      </c>
    </row>
    <row r="32" spans="1:14" s="230" customFormat="1" ht="14.25" hidden="1" outlineLevel="1" x14ac:dyDescent="0.2">
      <c r="A32" s="39" t="s">
        <v>112</v>
      </c>
      <c r="B32" s="300" t="s">
        <v>140</v>
      </c>
      <c r="C32" s="298"/>
      <c r="D32" s="248">
        <v>1800</v>
      </c>
      <c r="E32" s="248">
        <v>1800</v>
      </c>
      <c r="F32" s="248">
        <v>0</v>
      </c>
      <c r="G32" s="248">
        <f t="shared" si="1"/>
        <v>0</v>
      </c>
    </row>
    <row r="33" spans="1:12" s="230" customFormat="1" ht="15" hidden="1" outlineLevel="1" x14ac:dyDescent="0.2">
      <c r="A33" s="90"/>
      <c r="B33" s="301"/>
      <c r="C33" s="376" t="s">
        <v>246</v>
      </c>
      <c r="D33" s="377"/>
      <c r="E33" s="377"/>
      <c r="F33" s="377"/>
      <c r="G33" s="82">
        <f>E32-(E32*15%)</f>
        <v>1530</v>
      </c>
    </row>
    <row r="34" spans="1:12" s="92" customFormat="1" ht="12.6" customHeight="1" collapsed="1" thickBot="1" x14ac:dyDescent="0.3">
      <c r="A34" s="373"/>
      <c r="B34" s="374"/>
      <c r="C34" s="374"/>
      <c r="D34" s="375"/>
      <c r="E34" s="375"/>
      <c r="F34" s="375"/>
      <c r="G34" s="91"/>
      <c r="H34" s="91"/>
      <c r="I34" s="91"/>
    </row>
    <row r="35" spans="1:12" s="59" customFormat="1" ht="15.75" thickBot="1" x14ac:dyDescent="0.3">
      <c r="A35" s="387" t="s">
        <v>427</v>
      </c>
      <c r="B35" s="388"/>
      <c r="C35" s="388"/>
      <c r="D35" s="63">
        <v>-3684.56</v>
      </c>
      <c r="E35" s="58"/>
      <c r="F35" s="58"/>
      <c r="G35" s="58"/>
      <c r="H35" s="54"/>
      <c r="I35" s="54"/>
    </row>
    <row r="36" spans="1:12" s="59" customFormat="1" ht="6" customHeight="1" thickBot="1" x14ac:dyDescent="0.3">
      <c r="A36" s="60"/>
      <c r="B36" s="60"/>
      <c r="C36" s="60"/>
      <c r="D36" s="38"/>
      <c r="E36" s="58"/>
      <c r="F36" s="58"/>
      <c r="G36" s="58"/>
      <c r="H36" s="54"/>
      <c r="I36" s="54"/>
    </row>
    <row r="37" spans="1:12" s="59" customFormat="1" ht="15.75" thickBot="1" x14ac:dyDescent="0.3">
      <c r="A37" s="55" t="s">
        <v>428</v>
      </c>
      <c r="B37" s="56"/>
      <c r="C37" s="56"/>
      <c r="D37" s="61"/>
      <c r="E37" s="62"/>
      <c r="F37" s="62"/>
      <c r="G37" s="246">
        <f>G14+E25-F25</f>
        <v>-281545.85100000002</v>
      </c>
      <c r="H37" s="54"/>
      <c r="I37" s="54"/>
    </row>
    <row r="38" spans="1:12" ht="31.5" customHeight="1" x14ac:dyDescent="0.25">
      <c r="A38" s="571" t="s">
        <v>106</v>
      </c>
      <c r="B38" s="572"/>
      <c r="C38" s="572"/>
      <c r="D38" s="572"/>
      <c r="E38" s="572"/>
      <c r="F38" s="572"/>
      <c r="G38" s="572"/>
      <c r="H38" s="50"/>
      <c r="I38" s="50"/>
      <c r="J38" s="50"/>
      <c r="K38" s="50"/>
    </row>
    <row r="40" spans="1:12" s="66" customFormat="1" ht="37.5" customHeight="1" x14ac:dyDescent="0.2">
      <c r="A40" s="94" t="s">
        <v>11</v>
      </c>
      <c r="B40" s="416" t="s">
        <v>45</v>
      </c>
      <c r="C40" s="425"/>
      <c r="D40" s="94" t="s">
        <v>99</v>
      </c>
      <c r="E40" s="94" t="s">
        <v>98</v>
      </c>
      <c r="F40" s="416" t="s">
        <v>46</v>
      </c>
      <c r="G40" s="425"/>
      <c r="H40" s="207"/>
      <c r="I40" s="208"/>
      <c r="L40" s="97"/>
    </row>
    <row r="41" spans="1:12" s="103" customFormat="1" ht="15" customHeight="1" x14ac:dyDescent="0.25">
      <c r="A41" s="98" t="s">
        <v>47</v>
      </c>
      <c r="B41" s="418" t="s">
        <v>75</v>
      </c>
      <c r="C41" s="430"/>
      <c r="D41" s="99"/>
      <c r="E41" s="99"/>
      <c r="F41" s="436">
        <f>SUM(F42:G46)</f>
        <v>46499.096799999999</v>
      </c>
      <c r="G41" s="424"/>
      <c r="H41" s="209"/>
      <c r="I41" s="210"/>
      <c r="L41" s="104"/>
    </row>
    <row r="42" spans="1:12" ht="15" x14ac:dyDescent="0.25">
      <c r="A42" s="34" t="s">
        <v>16</v>
      </c>
      <c r="B42" s="406" t="s">
        <v>517</v>
      </c>
      <c r="C42" s="407"/>
      <c r="D42" s="176" t="s">
        <v>100</v>
      </c>
      <c r="E42" s="176">
        <v>1</v>
      </c>
      <c r="F42" s="435">
        <v>9714</v>
      </c>
      <c r="G42" s="435"/>
      <c r="H42" s="211"/>
      <c r="I42" s="212"/>
      <c r="L42" s="106"/>
    </row>
    <row r="43" spans="1:12" ht="15" x14ac:dyDescent="0.25">
      <c r="A43" s="34" t="s">
        <v>18</v>
      </c>
      <c r="B43" s="406" t="s">
        <v>412</v>
      </c>
      <c r="C43" s="407"/>
      <c r="D43" s="176" t="s">
        <v>100</v>
      </c>
      <c r="E43" s="176">
        <v>1</v>
      </c>
      <c r="F43" s="435">
        <v>8000</v>
      </c>
      <c r="G43" s="435"/>
      <c r="H43" s="38"/>
      <c r="I43" s="38"/>
      <c r="L43" s="106"/>
    </row>
    <row r="44" spans="1:12" ht="15" x14ac:dyDescent="0.25">
      <c r="A44" s="34" t="s">
        <v>20</v>
      </c>
      <c r="B44" s="406" t="s">
        <v>408</v>
      </c>
      <c r="C44" s="407"/>
      <c r="D44" s="176" t="s">
        <v>100</v>
      </c>
      <c r="E44" s="176">
        <v>1</v>
      </c>
      <c r="F44" s="435">
        <v>27996</v>
      </c>
      <c r="G44" s="435"/>
      <c r="H44" s="38"/>
      <c r="I44" s="38"/>
      <c r="L44" s="106"/>
    </row>
    <row r="45" spans="1:12" ht="15" x14ac:dyDescent="0.25">
      <c r="A45" s="34" t="s">
        <v>22</v>
      </c>
      <c r="B45" s="412"/>
      <c r="C45" s="413"/>
      <c r="D45" s="260"/>
      <c r="E45" s="260"/>
      <c r="F45" s="463"/>
      <c r="G45" s="463"/>
      <c r="H45" s="38"/>
      <c r="I45" s="38"/>
      <c r="L45" s="106"/>
    </row>
    <row r="46" spans="1:12" s="59" customFormat="1" ht="15" x14ac:dyDescent="0.25">
      <c r="A46" s="34" t="s">
        <v>24</v>
      </c>
      <c r="B46" s="458" t="s">
        <v>108</v>
      </c>
      <c r="C46" s="459"/>
      <c r="D46" s="108"/>
      <c r="E46" s="108"/>
      <c r="F46" s="435">
        <f>E25*1%</f>
        <v>789.09679999999992</v>
      </c>
      <c r="G46" s="435"/>
      <c r="H46" s="51"/>
      <c r="I46" s="51"/>
      <c r="J46" s="51"/>
      <c r="K46" s="51"/>
    </row>
    <row r="47" spans="1:12" s="51" customFormat="1" ht="9" customHeight="1" x14ac:dyDescent="0.2"/>
    <row r="48" spans="1:12" s="51" customFormat="1" ht="15" x14ac:dyDescent="0.25">
      <c r="A48" s="51" t="s">
        <v>372</v>
      </c>
      <c r="B48" s="59"/>
      <c r="C48" s="110" t="s">
        <v>49</v>
      </c>
      <c r="D48" s="59"/>
      <c r="E48" s="59"/>
      <c r="F48" s="59" t="s">
        <v>60</v>
      </c>
      <c r="G48" s="59"/>
      <c r="H48" s="59"/>
      <c r="I48" s="59"/>
      <c r="J48" s="59"/>
      <c r="K48" s="59"/>
    </row>
    <row r="49" spans="1:11" s="51" customFormat="1" ht="15" x14ac:dyDescent="0.25">
      <c r="A49" s="59"/>
      <c r="B49" s="59"/>
      <c r="C49" s="110"/>
      <c r="D49" s="59"/>
      <c r="E49" s="59"/>
      <c r="F49" s="111" t="s">
        <v>438</v>
      </c>
      <c r="G49" s="59"/>
    </row>
    <row r="50" spans="1:11" s="51" customFormat="1" ht="15" x14ac:dyDescent="0.25">
      <c r="A50" s="59" t="s">
        <v>50</v>
      </c>
      <c r="B50" s="59"/>
      <c r="C50" s="110"/>
      <c r="D50" s="59"/>
      <c r="E50" s="59"/>
      <c r="F50" s="59"/>
      <c r="G50" s="59"/>
      <c r="H50" s="141"/>
      <c r="I50" s="141"/>
      <c r="J50" s="141"/>
    </row>
    <row r="51" spans="1:11" ht="15" x14ac:dyDescent="0.25">
      <c r="A51" s="59"/>
      <c r="B51" s="59"/>
      <c r="C51" s="112" t="s">
        <v>51</v>
      </c>
      <c r="D51" s="59"/>
      <c r="E51" s="113"/>
      <c r="F51" s="113"/>
      <c r="G51" s="113"/>
      <c r="H51" s="51"/>
      <c r="I51" s="51"/>
      <c r="J51" s="51"/>
      <c r="K51" s="51"/>
    </row>
    <row r="52" spans="1:11" x14ac:dyDescent="0.2">
      <c r="A52" s="51"/>
      <c r="B52" s="51"/>
      <c r="C52" s="51"/>
      <c r="D52" s="51"/>
      <c r="E52" s="51"/>
      <c r="F52" s="51"/>
      <c r="G52" s="51"/>
      <c r="H52" s="51"/>
      <c r="I52" s="51"/>
      <c r="J52" s="51"/>
      <c r="K52" s="51"/>
    </row>
  </sheetData>
  <mergeCells count="25">
    <mergeCell ref="A3:L3"/>
    <mergeCell ref="A1:K1"/>
    <mergeCell ref="A2:L2"/>
    <mergeCell ref="A5:K5"/>
    <mergeCell ref="A10:K10"/>
    <mergeCell ref="B46:C46"/>
    <mergeCell ref="F46:G46"/>
    <mergeCell ref="A38:G38"/>
    <mergeCell ref="B40:C40"/>
    <mergeCell ref="F40:G40"/>
    <mergeCell ref="B43:C43"/>
    <mergeCell ref="F43:G43"/>
    <mergeCell ref="B44:C44"/>
    <mergeCell ref="F44:G44"/>
    <mergeCell ref="F45:G45"/>
    <mergeCell ref="B45:C45"/>
    <mergeCell ref="A11:K11"/>
    <mergeCell ref="F42:G42"/>
    <mergeCell ref="A12:K12"/>
    <mergeCell ref="C33:F33"/>
    <mergeCell ref="A34:F34"/>
    <mergeCell ref="A35:C35"/>
    <mergeCell ref="B41:C41"/>
    <mergeCell ref="F41:G41"/>
    <mergeCell ref="B42:C42"/>
  </mergeCell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43D0F7-6D39-4A80-9566-7A8ABB9A27C0}">
  <sheetPr>
    <tabColor rgb="FF7030A0"/>
  </sheetPr>
  <dimension ref="A1:N50"/>
  <sheetViews>
    <sheetView topLeftCell="A28" workbookViewId="0">
      <selection activeCell="A53" sqref="A53:IV54"/>
    </sheetView>
  </sheetViews>
  <sheetFormatPr defaultRowHeight="12.75" outlineLevelRow="1" outlineLevelCol="1" x14ac:dyDescent="0.2"/>
  <cols>
    <col min="1" max="1" width="6" style="49" customWidth="1"/>
    <col min="2" max="2" width="48.140625" style="49" customWidth="1"/>
    <col min="3" max="3" width="14" style="49" customWidth="1"/>
    <col min="4" max="4" width="14.85546875" style="49" customWidth="1"/>
    <col min="5" max="6" width="13.28515625" style="49" customWidth="1"/>
    <col min="7" max="7" width="14.5703125" style="49" customWidth="1"/>
    <col min="8" max="9" width="11.5703125" style="49" hidden="1" customWidth="1" outlineLevel="1"/>
    <col min="10" max="10" width="10.140625" style="49" hidden="1" customWidth="1" outlineLevel="1"/>
    <col min="11" max="11" width="10.42578125" style="49" customWidth="1" collapsed="1"/>
    <col min="12" max="12" width="9.140625" style="49"/>
    <col min="13" max="13" width="10" style="49" bestFit="1" customWidth="1"/>
    <col min="14" max="14" width="15.85546875" style="49" customWidth="1"/>
    <col min="15" max="16384" width="9.140625" style="49"/>
  </cols>
  <sheetData>
    <row r="1" spans="1:12" x14ac:dyDescent="0.2">
      <c r="A1" s="370" t="s">
        <v>0</v>
      </c>
      <c r="B1" s="370"/>
      <c r="C1" s="370"/>
      <c r="D1" s="370"/>
      <c r="E1" s="370"/>
      <c r="F1" s="370"/>
      <c r="G1" s="370"/>
      <c r="H1" s="370"/>
      <c r="I1" s="370"/>
      <c r="J1" s="370"/>
      <c r="K1" s="370"/>
    </row>
    <row r="2" spans="1:12" ht="12.75" customHeight="1" x14ac:dyDescent="0.2">
      <c r="A2" s="370" t="s">
        <v>152</v>
      </c>
      <c r="B2" s="370"/>
      <c r="C2" s="370"/>
      <c r="D2" s="370"/>
      <c r="E2" s="370"/>
      <c r="F2" s="370"/>
      <c r="G2" s="370"/>
      <c r="H2" s="370"/>
      <c r="I2" s="370"/>
      <c r="J2" s="370"/>
      <c r="K2" s="370"/>
      <c r="L2" s="370"/>
    </row>
    <row r="3" spans="1:12" ht="13.5" customHeight="1" x14ac:dyDescent="0.2">
      <c r="A3" s="370" t="s">
        <v>426</v>
      </c>
      <c r="B3" s="370"/>
      <c r="C3" s="370"/>
      <c r="D3" s="370"/>
      <c r="E3" s="370"/>
      <c r="F3" s="370"/>
      <c r="G3" s="370"/>
      <c r="H3" s="370"/>
      <c r="I3" s="370"/>
      <c r="J3" s="370"/>
      <c r="K3" s="370"/>
      <c r="L3" s="370"/>
    </row>
    <row r="4" spans="1:12" ht="9" customHeight="1" x14ac:dyDescent="0.2">
      <c r="A4" s="48"/>
      <c r="B4" s="48"/>
      <c r="C4" s="48"/>
      <c r="D4" s="48"/>
      <c r="E4" s="48"/>
      <c r="F4" s="48"/>
      <c r="G4" s="48"/>
      <c r="H4" s="48"/>
      <c r="I4" s="48"/>
      <c r="J4" s="48"/>
      <c r="K4" s="48"/>
    </row>
    <row r="5" spans="1:12" ht="16.5" customHeight="1" x14ac:dyDescent="0.2">
      <c r="A5" s="371" t="s">
        <v>1</v>
      </c>
      <c r="B5" s="370"/>
      <c r="C5" s="370"/>
      <c r="D5" s="370"/>
      <c r="E5" s="370"/>
      <c r="F5" s="370"/>
      <c r="G5" s="370"/>
      <c r="H5" s="370"/>
      <c r="I5" s="370"/>
      <c r="J5" s="370"/>
      <c r="K5" s="370"/>
    </row>
    <row r="7" spans="1:12" s="51" customFormat="1" ht="16.5" customHeight="1" x14ac:dyDescent="0.2">
      <c r="A7" s="51" t="s">
        <v>2</v>
      </c>
      <c r="F7" s="52" t="s">
        <v>400</v>
      </c>
      <c r="H7" s="52"/>
    </row>
    <row r="8" spans="1:12" s="51" customFormat="1" x14ac:dyDescent="0.2">
      <c r="A8" s="51" t="s">
        <v>3</v>
      </c>
      <c r="F8" s="242" t="s">
        <v>401</v>
      </c>
      <c r="H8" s="245">
        <v>0</v>
      </c>
      <c r="I8" s="214">
        <v>929.9</v>
      </c>
      <c r="J8" s="304">
        <f>H8+I8</f>
        <v>929.9</v>
      </c>
    </row>
    <row r="9" spans="1:12" s="51" customFormat="1" x14ac:dyDescent="0.2">
      <c r="F9" s="242"/>
      <c r="H9" s="312"/>
      <c r="I9" s="214"/>
      <c r="J9" s="304"/>
    </row>
    <row r="10" spans="1:12" s="51" customFormat="1" x14ac:dyDescent="0.2">
      <c r="A10" s="372" t="s">
        <v>8</v>
      </c>
      <c r="B10" s="372"/>
      <c r="C10" s="372"/>
      <c r="D10" s="372"/>
      <c r="E10" s="372"/>
      <c r="F10" s="372"/>
      <c r="G10" s="372"/>
      <c r="H10" s="372"/>
      <c r="I10" s="372"/>
      <c r="J10" s="372"/>
      <c r="K10" s="372"/>
    </row>
    <row r="11" spans="1:12" s="51" customFormat="1" x14ac:dyDescent="0.2">
      <c r="A11" s="372" t="s">
        <v>9</v>
      </c>
      <c r="B11" s="372"/>
      <c r="C11" s="372"/>
      <c r="D11" s="372"/>
      <c r="E11" s="372"/>
      <c r="F11" s="372"/>
      <c r="G11" s="372"/>
      <c r="H11" s="372"/>
      <c r="I11" s="372"/>
      <c r="J11" s="372"/>
      <c r="K11" s="372"/>
    </row>
    <row r="12" spans="1:12" s="51" customFormat="1" x14ac:dyDescent="0.2">
      <c r="A12" s="372" t="s">
        <v>10</v>
      </c>
      <c r="B12" s="372"/>
      <c r="C12" s="372"/>
      <c r="D12" s="372"/>
      <c r="E12" s="372"/>
      <c r="F12" s="372"/>
      <c r="G12" s="372"/>
      <c r="H12" s="372"/>
      <c r="I12" s="372"/>
      <c r="J12" s="372"/>
      <c r="K12" s="372"/>
    </row>
    <row r="13" spans="1:12" s="51" customFormat="1" ht="13.5" thickBot="1" x14ac:dyDescent="0.25">
      <c r="A13" s="54"/>
      <c r="B13" s="54"/>
      <c r="C13" s="54"/>
      <c r="D13" s="54"/>
      <c r="E13" s="54"/>
      <c r="F13" s="54"/>
      <c r="G13" s="54"/>
      <c r="H13" s="54"/>
      <c r="I13" s="54"/>
      <c r="J13" s="54"/>
      <c r="K13" s="54"/>
    </row>
    <row r="14" spans="1:12" s="59" customFormat="1" ht="15.75" thickBot="1" x14ac:dyDescent="0.3">
      <c r="A14" s="55" t="s">
        <v>612</v>
      </c>
      <c r="B14" s="56"/>
      <c r="C14" s="56"/>
      <c r="D14" s="61"/>
      <c r="E14" s="62"/>
      <c r="F14" s="62"/>
      <c r="G14" s="232">
        <f>'[1]Кирова 44а'!$G$37</f>
        <v>-5773.292300000001</v>
      </c>
      <c r="H14" s="54"/>
      <c r="I14" s="54"/>
    </row>
    <row r="15" spans="1:12" s="51" customFormat="1" ht="6.75" customHeight="1" x14ac:dyDescent="0.2"/>
    <row r="16" spans="1:12" s="66" customFormat="1" ht="38.25" x14ac:dyDescent="0.25">
      <c r="A16" s="64" t="s">
        <v>11</v>
      </c>
      <c r="B16" s="64" t="s">
        <v>12</v>
      </c>
      <c r="C16" s="64" t="s">
        <v>61</v>
      </c>
      <c r="D16" s="64" t="s">
        <v>432</v>
      </c>
      <c r="E16" s="64" t="s">
        <v>433</v>
      </c>
      <c r="F16" s="65" t="s">
        <v>434</v>
      </c>
      <c r="G16" s="64" t="s">
        <v>435</v>
      </c>
    </row>
    <row r="17" spans="1:14" s="51" customFormat="1" ht="14.25" x14ac:dyDescent="0.2">
      <c r="A17" s="67" t="s">
        <v>14</v>
      </c>
      <c r="B17" s="39" t="s">
        <v>379</v>
      </c>
      <c r="C17" s="87">
        <v>21.99</v>
      </c>
      <c r="D17" s="68">
        <v>241887.48</v>
      </c>
      <c r="E17" s="68">
        <v>222460.79999999999</v>
      </c>
      <c r="F17" s="68">
        <f t="shared" ref="F17:F23" si="0">D17</f>
        <v>241887.48</v>
      </c>
      <c r="G17" s="69">
        <f>D17-E17</f>
        <v>19426.680000000022</v>
      </c>
      <c r="H17" s="70">
        <f>C17</f>
        <v>21.99</v>
      </c>
      <c r="I17" s="71"/>
      <c r="J17" s="71"/>
      <c r="K17" s="71"/>
      <c r="M17" s="70"/>
      <c r="N17" s="72"/>
    </row>
    <row r="18" spans="1:14" s="51" customFormat="1" ht="15" hidden="1" outlineLevel="1" x14ac:dyDescent="0.25">
      <c r="A18" s="73" t="s">
        <v>16</v>
      </c>
      <c r="B18" s="34" t="s">
        <v>17</v>
      </c>
      <c r="C18" s="74">
        <v>3.46</v>
      </c>
      <c r="D18" s="75">
        <f>D17*I18</f>
        <v>38059.603492496593</v>
      </c>
      <c r="E18" s="75">
        <f>E17*I18</f>
        <v>35002.927148703951</v>
      </c>
      <c r="F18" s="75">
        <f t="shared" si="0"/>
        <v>38059.603492496593</v>
      </c>
      <c r="G18" s="76">
        <f>D18-E18</f>
        <v>3056.676343792642</v>
      </c>
      <c r="H18" s="70">
        <f>C18</f>
        <v>3.46</v>
      </c>
      <c r="I18" s="51">
        <f>H18/H17</f>
        <v>0.15734424738517508</v>
      </c>
    </row>
    <row r="19" spans="1:14" s="51" customFormat="1" ht="15" hidden="1" outlineLevel="1" x14ac:dyDescent="0.25">
      <c r="A19" s="73" t="s">
        <v>18</v>
      </c>
      <c r="B19" s="34" t="s">
        <v>19</v>
      </c>
      <c r="C19" s="74">
        <v>1.69</v>
      </c>
      <c r="D19" s="75">
        <f>D17*I19</f>
        <v>18589.80633015007</v>
      </c>
      <c r="E19" s="75">
        <f>E17*I19</f>
        <v>17096.805457025919</v>
      </c>
      <c r="F19" s="75">
        <f t="shared" si="0"/>
        <v>18589.80633015007</v>
      </c>
      <c r="G19" s="76">
        <f>D19-E19</f>
        <v>1493.0008731241505</v>
      </c>
      <c r="H19" s="70">
        <f>C19</f>
        <v>1.69</v>
      </c>
      <c r="I19" s="51">
        <f>H19/H17</f>
        <v>7.68531150522965E-2</v>
      </c>
    </row>
    <row r="20" spans="1:14" s="51" customFormat="1" ht="15" hidden="1" outlineLevel="1" x14ac:dyDescent="0.25">
      <c r="A20" s="73" t="s">
        <v>20</v>
      </c>
      <c r="B20" s="34" t="s">
        <v>21</v>
      </c>
      <c r="C20" s="74">
        <v>2.15</v>
      </c>
      <c r="D20" s="75">
        <f>D17*I20</f>
        <v>23649.753615279675</v>
      </c>
      <c r="E20" s="75">
        <f>E17*I20</f>
        <v>21750.37380627558</v>
      </c>
      <c r="F20" s="75">
        <f t="shared" si="0"/>
        <v>23649.753615279675</v>
      </c>
      <c r="G20" s="76">
        <f>D20-E20</f>
        <v>1899.3798090040946</v>
      </c>
      <c r="H20" s="70">
        <f>C20</f>
        <v>2.15</v>
      </c>
      <c r="I20" s="51">
        <f>H20/H17</f>
        <v>9.7771714415643474E-2</v>
      </c>
    </row>
    <row r="21" spans="1:14" s="51" customFormat="1" ht="15" hidden="1" outlineLevel="1" x14ac:dyDescent="0.25">
      <c r="A21" s="73" t="s">
        <v>22</v>
      </c>
      <c r="B21" s="34" t="s">
        <v>23</v>
      </c>
      <c r="C21" s="74">
        <v>3.04</v>
      </c>
      <c r="D21" s="75">
        <f>D17*I21</f>
        <v>33439.651623465215</v>
      </c>
      <c r="E21" s="75">
        <f>E17*I21</f>
        <v>30754.016916780358</v>
      </c>
      <c r="F21" s="75">
        <f t="shared" si="0"/>
        <v>33439.651623465215</v>
      </c>
      <c r="G21" s="76">
        <f>D21-E21</f>
        <v>2685.6347066848575</v>
      </c>
      <c r="H21" s="70">
        <f>C21</f>
        <v>3.04</v>
      </c>
      <c r="I21" s="51">
        <f>H21/H17</f>
        <v>0.13824465666211916</v>
      </c>
    </row>
    <row r="22" spans="1:14" s="81" customFormat="1" ht="14.25" collapsed="1" x14ac:dyDescent="0.2">
      <c r="A22" s="78" t="s">
        <v>25</v>
      </c>
      <c r="B22" s="78" t="s">
        <v>118</v>
      </c>
      <c r="C22" s="43">
        <v>0</v>
      </c>
      <c r="D22" s="79">
        <v>0</v>
      </c>
      <c r="E22" s="79">
        <v>0</v>
      </c>
      <c r="F22" s="79">
        <f>D22</f>
        <v>0</v>
      </c>
      <c r="G22" s="69">
        <f t="shared" ref="G22:G32" si="1">D22-E22</f>
        <v>0</v>
      </c>
      <c r="H22" s="80"/>
      <c r="I22" s="80"/>
      <c r="J22" s="80"/>
      <c r="K22" s="80"/>
    </row>
    <row r="23" spans="1:14" s="81" customFormat="1" ht="14.25" x14ac:dyDescent="0.2">
      <c r="A23" s="78" t="s">
        <v>27</v>
      </c>
      <c r="B23" s="78" t="s">
        <v>138</v>
      </c>
      <c r="C23" s="43">
        <v>0</v>
      </c>
      <c r="D23" s="79">
        <v>0</v>
      </c>
      <c r="E23" s="79">
        <v>0</v>
      </c>
      <c r="F23" s="79">
        <f t="shared" si="0"/>
        <v>0</v>
      </c>
      <c r="G23" s="69">
        <f t="shared" si="1"/>
        <v>0</v>
      </c>
      <c r="H23" s="80"/>
      <c r="I23" s="80"/>
      <c r="J23" s="80"/>
      <c r="K23" s="80"/>
    </row>
    <row r="24" spans="1:14" s="81" customFormat="1" ht="14.25" x14ac:dyDescent="0.2">
      <c r="A24" s="78" t="s">
        <v>29</v>
      </c>
      <c r="B24" s="78" t="s">
        <v>26</v>
      </c>
      <c r="C24" s="43">
        <v>0</v>
      </c>
      <c r="D24" s="79">
        <v>0</v>
      </c>
      <c r="E24" s="79">
        <v>0</v>
      </c>
      <c r="F24" s="79">
        <f>D24</f>
        <v>0</v>
      </c>
      <c r="G24" s="69">
        <f t="shared" si="1"/>
        <v>0</v>
      </c>
      <c r="H24" s="80"/>
      <c r="I24" s="80"/>
      <c r="J24" s="80"/>
      <c r="K24" s="80"/>
    </row>
    <row r="25" spans="1:14" s="81" customFormat="1" ht="14.25" x14ac:dyDescent="0.2">
      <c r="A25" s="78" t="s">
        <v>31</v>
      </c>
      <c r="B25" s="78" t="s">
        <v>80</v>
      </c>
      <c r="C25" s="86">
        <v>2.17</v>
      </c>
      <c r="D25" s="79">
        <v>24214.44</v>
      </c>
      <c r="E25" s="79">
        <v>22223.71</v>
      </c>
      <c r="F25" s="79">
        <f>F41</f>
        <v>59431.587099999997</v>
      </c>
      <c r="G25" s="69">
        <f t="shared" si="1"/>
        <v>1990.7299999999996</v>
      </c>
      <c r="H25" s="80"/>
      <c r="I25" s="80"/>
      <c r="J25" s="80"/>
      <c r="K25" s="80"/>
    </row>
    <row r="26" spans="1:14" ht="14.25" x14ac:dyDescent="0.2">
      <c r="A26" s="39" t="s">
        <v>33</v>
      </c>
      <c r="B26" s="39" t="s">
        <v>97</v>
      </c>
      <c r="C26" s="87">
        <v>12.54</v>
      </c>
      <c r="D26" s="69">
        <v>0</v>
      </c>
      <c r="E26" s="69">
        <v>0</v>
      </c>
      <c r="F26" s="79">
        <f>D26</f>
        <v>0</v>
      </c>
      <c r="G26" s="69">
        <f t="shared" si="1"/>
        <v>0</v>
      </c>
      <c r="H26" s="88"/>
      <c r="I26" s="88"/>
      <c r="J26" s="88"/>
      <c r="K26" s="88"/>
    </row>
    <row r="27" spans="1:14" ht="14.25" x14ac:dyDescent="0.2">
      <c r="A27" s="39" t="s">
        <v>35</v>
      </c>
      <c r="B27" s="39" t="s">
        <v>36</v>
      </c>
      <c r="C27" s="87"/>
      <c r="D27" s="69">
        <f>SUM(D28:D31)</f>
        <v>20622.239999999998</v>
      </c>
      <c r="E27" s="69">
        <f>SUM(E28:E31)</f>
        <v>19047.420000000002</v>
      </c>
      <c r="F27" s="69">
        <f>SUM(F28:F31)</f>
        <v>20622.239999999998</v>
      </c>
      <c r="G27" s="69">
        <f t="shared" si="1"/>
        <v>1574.8199999999961</v>
      </c>
      <c r="H27" s="88"/>
      <c r="I27" s="88"/>
      <c r="J27" s="88"/>
      <c r="K27" s="88"/>
    </row>
    <row r="28" spans="1:14" ht="15" x14ac:dyDescent="0.25">
      <c r="A28" s="34" t="s">
        <v>37</v>
      </c>
      <c r="B28" s="34" t="s">
        <v>101</v>
      </c>
      <c r="C28" s="89">
        <v>7.36</v>
      </c>
      <c r="D28" s="76">
        <v>9991.5</v>
      </c>
      <c r="E28" s="76">
        <v>9313.93</v>
      </c>
      <c r="F28" s="76">
        <f>D28</f>
        <v>9991.5</v>
      </c>
      <c r="G28" s="76">
        <f t="shared" si="1"/>
        <v>677.56999999999971</v>
      </c>
    </row>
    <row r="29" spans="1:14" ht="15" x14ac:dyDescent="0.25">
      <c r="A29" s="34" t="s">
        <v>39</v>
      </c>
      <c r="B29" s="34" t="s">
        <v>84</v>
      </c>
      <c r="C29" s="89">
        <v>88.38</v>
      </c>
      <c r="D29" s="76">
        <v>3217.32</v>
      </c>
      <c r="E29" s="76">
        <v>2949.78</v>
      </c>
      <c r="F29" s="76">
        <f>D29</f>
        <v>3217.32</v>
      </c>
      <c r="G29" s="76">
        <f t="shared" si="1"/>
        <v>267.53999999999996</v>
      </c>
    </row>
    <row r="30" spans="1:14" ht="15" x14ac:dyDescent="0.25">
      <c r="A30" s="34" t="s">
        <v>42</v>
      </c>
      <c r="B30" s="45" t="s">
        <v>135</v>
      </c>
      <c r="C30" s="128">
        <v>278.94</v>
      </c>
      <c r="D30" s="76">
        <v>7413.42</v>
      </c>
      <c r="E30" s="76">
        <v>6783.71</v>
      </c>
      <c r="F30" s="76">
        <f>D30</f>
        <v>7413.42</v>
      </c>
      <c r="G30" s="76">
        <f t="shared" si="1"/>
        <v>629.71</v>
      </c>
    </row>
    <row r="31" spans="1:14" s="230" customFormat="1" ht="15" x14ac:dyDescent="0.25">
      <c r="A31" s="228" t="s">
        <v>41</v>
      </c>
      <c r="B31" s="228" t="s">
        <v>43</v>
      </c>
      <c r="C31" s="89">
        <v>0</v>
      </c>
      <c r="D31" s="188">
        <v>0</v>
      </c>
      <c r="E31" s="188">
        <v>0</v>
      </c>
      <c r="F31" s="188">
        <f>D31</f>
        <v>0</v>
      </c>
      <c r="G31" s="76">
        <f t="shared" si="1"/>
        <v>0</v>
      </c>
    </row>
    <row r="32" spans="1:14" s="230" customFormat="1" ht="14.25" hidden="1" outlineLevel="1" x14ac:dyDescent="0.2">
      <c r="A32" s="39" t="s">
        <v>112</v>
      </c>
      <c r="B32" s="300" t="s">
        <v>140</v>
      </c>
      <c r="C32" s="298"/>
      <c r="D32" s="248">
        <v>1800</v>
      </c>
      <c r="E32" s="248">
        <v>1800</v>
      </c>
      <c r="F32" s="248">
        <v>0</v>
      </c>
      <c r="G32" s="248">
        <f t="shared" si="1"/>
        <v>0</v>
      </c>
    </row>
    <row r="33" spans="1:12" s="230" customFormat="1" ht="15" hidden="1" outlineLevel="1" x14ac:dyDescent="0.2">
      <c r="A33" s="90"/>
      <c r="B33" s="301"/>
      <c r="C33" s="376" t="s">
        <v>246</v>
      </c>
      <c r="D33" s="377"/>
      <c r="E33" s="377"/>
      <c r="F33" s="377"/>
      <c r="G33" s="82">
        <f>E32-(E32*15%)</f>
        <v>1530</v>
      </c>
    </row>
    <row r="34" spans="1:12" s="92" customFormat="1" ht="19.5" customHeight="1" collapsed="1" thickBot="1" x14ac:dyDescent="0.3">
      <c r="A34" s="373" t="s">
        <v>380</v>
      </c>
      <c r="B34" s="374"/>
      <c r="C34" s="374"/>
      <c r="D34" s="375"/>
      <c r="E34" s="375"/>
      <c r="F34" s="375"/>
      <c r="G34" s="91"/>
      <c r="H34" s="91"/>
      <c r="I34" s="91"/>
    </row>
    <row r="35" spans="1:12" s="59" customFormat="1" ht="15.75" thickBot="1" x14ac:dyDescent="0.3">
      <c r="A35" s="387" t="s">
        <v>427</v>
      </c>
      <c r="B35" s="388"/>
      <c r="C35" s="388"/>
      <c r="D35" s="63">
        <v>22992.23</v>
      </c>
      <c r="E35" s="58"/>
      <c r="F35" s="58"/>
      <c r="G35" s="58"/>
      <c r="H35" s="54"/>
      <c r="I35" s="54"/>
    </row>
    <row r="36" spans="1:12" s="59" customFormat="1" ht="6" customHeight="1" thickBot="1" x14ac:dyDescent="0.3">
      <c r="A36" s="60"/>
      <c r="B36" s="60"/>
      <c r="C36" s="60"/>
      <c r="D36" s="38"/>
      <c r="E36" s="58"/>
      <c r="F36" s="58"/>
      <c r="G36" s="58"/>
      <c r="H36" s="54"/>
      <c r="I36" s="54"/>
    </row>
    <row r="37" spans="1:12" s="59" customFormat="1" ht="15.75" thickBot="1" x14ac:dyDescent="0.3">
      <c r="A37" s="55" t="s">
        <v>428</v>
      </c>
      <c r="B37" s="56"/>
      <c r="C37" s="56"/>
      <c r="D37" s="61"/>
      <c r="E37" s="62"/>
      <c r="F37" s="62"/>
      <c r="G37" s="246">
        <f>G14+E25-F25</f>
        <v>-42981.169399999999</v>
      </c>
      <c r="H37" s="54"/>
      <c r="I37" s="54"/>
    </row>
    <row r="38" spans="1:12" ht="31.5" customHeight="1" x14ac:dyDescent="0.25">
      <c r="A38" s="571" t="s">
        <v>106</v>
      </c>
      <c r="B38" s="572"/>
      <c r="C38" s="572"/>
      <c r="D38" s="572"/>
      <c r="E38" s="572"/>
      <c r="F38" s="572"/>
      <c r="G38" s="572"/>
      <c r="H38" s="50"/>
      <c r="I38" s="50"/>
      <c r="J38" s="50"/>
      <c r="K38" s="50"/>
    </row>
    <row r="40" spans="1:12" s="66" customFormat="1" ht="37.5" customHeight="1" x14ac:dyDescent="0.2">
      <c r="A40" s="94" t="s">
        <v>11</v>
      </c>
      <c r="B40" s="416" t="s">
        <v>45</v>
      </c>
      <c r="C40" s="425"/>
      <c r="D40" s="94" t="s">
        <v>99</v>
      </c>
      <c r="E40" s="94" t="s">
        <v>98</v>
      </c>
      <c r="F40" s="416" t="s">
        <v>46</v>
      </c>
      <c r="G40" s="425"/>
      <c r="H40" s="207"/>
      <c r="I40" s="208"/>
      <c r="L40" s="97"/>
    </row>
    <row r="41" spans="1:12" s="103" customFormat="1" ht="15" customHeight="1" x14ac:dyDescent="0.25">
      <c r="A41" s="98" t="s">
        <v>47</v>
      </c>
      <c r="B41" s="418" t="s">
        <v>75</v>
      </c>
      <c r="C41" s="430"/>
      <c r="D41" s="99"/>
      <c r="E41" s="99"/>
      <c r="F41" s="436">
        <f>SUM(F42:G44)</f>
        <v>59431.587099999997</v>
      </c>
      <c r="G41" s="424"/>
      <c r="H41" s="209"/>
      <c r="I41" s="210"/>
      <c r="L41" s="104"/>
    </row>
    <row r="42" spans="1:12" ht="15" x14ac:dyDescent="0.25">
      <c r="A42" s="34" t="s">
        <v>16</v>
      </c>
      <c r="B42" s="406" t="s">
        <v>613</v>
      </c>
      <c r="C42" s="407"/>
      <c r="D42" s="176" t="s">
        <v>373</v>
      </c>
      <c r="E42" s="176">
        <v>15</v>
      </c>
      <c r="F42" s="435">
        <v>46480</v>
      </c>
      <c r="G42" s="435"/>
      <c r="H42" s="211"/>
      <c r="I42" s="212"/>
      <c r="L42" s="106"/>
    </row>
    <row r="43" spans="1:12" ht="15" x14ac:dyDescent="0.25">
      <c r="A43" s="34" t="s">
        <v>18</v>
      </c>
      <c r="B43" s="406" t="s">
        <v>489</v>
      </c>
      <c r="C43" s="407"/>
      <c r="D43" s="176" t="s">
        <v>137</v>
      </c>
      <c r="E43" s="176">
        <v>0.02</v>
      </c>
      <c r="F43" s="435">
        <v>12729.35</v>
      </c>
      <c r="G43" s="435"/>
      <c r="H43" s="38"/>
      <c r="I43" s="38"/>
      <c r="L43" s="106"/>
    </row>
    <row r="44" spans="1:12" s="59" customFormat="1" ht="15" x14ac:dyDescent="0.25">
      <c r="A44" s="34" t="s">
        <v>20</v>
      </c>
      <c r="B44" s="458" t="s">
        <v>108</v>
      </c>
      <c r="C44" s="459"/>
      <c r="D44" s="108"/>
      <c r="E44" s="108"/>
      <c r="F44" s="435">
        <f>E25*1%</f>
        <v>222.2371</v>
      </c>
      <c r="G44" s="435"/>
      <c r="H44" s="51"/>
      <c r="I44" s="51"/>
      <c r="J44" s="51"/>
      <c r="K44" s="51"/>
    </row>
    <row r="45" spans="1:12" s="51" customFormat="1" ht="9" customHeight="1" x14ac:dyDescent="0.2"/>
    <row r="46" spans="1:12" s="51" customFormat="1" ht="15" x14ac:dyDescent="0.25">
      <c r="A46" s="51" t="s">
        <v>372</v>
      </c>
      <c r="B46" s="59"/>
      <c r="C46" s="110" t="s">
        <v>49</v>
      </c>
      <c r="D46" s="59"/>
      <c r="E46" s="59"/>
      <c r="F46" s="59" t="s">
        <v>60</v>
      </c>
      <c r="G46" s="59"/>
      <c r="H46" s="59"/>
      <c r="I46" s="59"/>
      <c r="J46" s="59"/>
      <c r="K46" s="59"/>
    </row>
    <row r="47" spans="1:12" s="51" customFormat="1" ht="15" x14ac:dyDescent="0.25">
      <c r="A47" s="59"/>
      <c r="B47" s="59"/>
      <c r="C47" s="110"/>
      <c r="D47" s="59"/>
      <c r="E47" s="59"/>
      <c r="F47" s="111" t="s">
        <v>438</v>
      </c>
      <c r="G47" s="59"/>
    </row>
    <row r="48" spans="1:12" s="51" customFormat="1" ht="15" x14ac:dyDescent="0.25">
      <c r="A48" s="59" t="s">
        <v>50</v>
      </c>
      <c r="B48" s="59"/>
      <c r="C48" s="110"/>
      <c r="D48" s="59"/>
      <c r="E48" s="59"/>
      <c r="F48" s="59"/>
      <c r="G48" s="59"/>
      <c r="H48" s="141"/>
      <c r="I48" s="141"/>
      <c r="J48" s="141"/>
    </row>
    <row r="49" spans="1:11" ht="15" x14ac:dyDescent="0.25">
      <c r="A49" s="59"/>
      <c r="B49" s="59"/>
      <c r="C49" s="112" t="s">
        <v>51</v>
      </c>
      <c r="D49" s="59"/>
      <c r="E49" s="113"/>
      <c r="F49" s="113"/>
      <c r="G49" s="113"/>
      <c r="H49" s="51"/>
      <c r="I49" s="51"/>
      <c r="J49" s="51"/>
      <c r="K49" s="51"/>
    </row>
    <row r="50" spans="1:11" x14ac:dyDescent="0.2">
      <c r="A50" s="51"/>
      <c r="B50" s="51"/>
      <c r="C50" s="51"/>
      <c r="D50" s="51"/>
      <c r="E50" s="51"/>
      <c r="F50" s="51"/>
      <c r="G50" s="51"/>
      <c r="H50" s="51"/>
      <c r="I50" s="51"/>
      <c r="J50" s="51"/>
      <c r="K50" s="51"/>
    </row>
  </sheetData>
  <mergeCells count="21">
    <mergeCell ref="B43:C43"/>
    <mergeCell ref="A12:K12"/>
    <mergeCell ref="F43:G43"/>
    <mergeCell ref="B44:C44"/>
    <mergeCell ref="F44:G44"/>
    <mergeCell ref="A38:G38"/>
    <mergeCell ref="B40:C40"/>
    <mergeCell ref="F40:G40"/>
    <mergeCell ref="F42:G42"/>
    <mergeCell ref="B41:C41"/>
    <mergeCell ref="F41:G41"/>
    <mergeCell ref="C33:F33"/>
    <mergeCell ref="B42:C42"/>
    <mergeCell ref="A35:C35"/>
    <mergeCell ref="A1:K1"/>
    <mergeCell ref="A2:L2"/>
    <mergeCell ref="A5:K5"/>
    <mergeCell ref="A10:K10"/>
    <mergeCell ref="A11:K11"/>
    <mergeCell ref="A3:L3"/>
    <mergeCell ref="A34:F34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306FD7-1E12-4FEE-960F-BF5A796412B5}">
  <sheetPr>
    <tabColor rgb="FF7030A0"/>
  </sheetPr>
  <dimension ref="A1:N50"/>
  <sheetViews>
    <sheetView topLeftCell="A28" workbookViewId="0">
      <selection activeCell="A52" sqref="A52:IV53"/>
    </sheetView>
  </sheetViews>
  <sheetFormatPr defaultRowHeight="12.75" outlineLevelRow="1" outlineLevelCol="1" x14ac:dyDescent="0.2"/>
  <cols>
    <col min="1" max="1" width="6" style="49" customWidth="1"/>
    <col min="2" max="2" width="48.140625" style="49" customWidth="1"/>
    <col min="3" max="3" width="14" style="49" customWidth="1"/>
    <col min="4" max="4" width="14.85546875" style="49" customWidth="1"/>
    <col min="5" max="6" width="13.28515625" style="49" customWidth="1"/>
    <col min="7" max="7" width="14.5703125" style="49" customWidth="1"/>
    <col min="8" max="9" width="11.5703125" style="49" hidden="1" customWidth="1" outlineLevel="1"/>
    <col min="10" max="10" width="10.140625" style="49" hidden="1" customWidth="1" outlineLevel="1"/>
    <col min="11" max="11" width="10.42578125" style="49" customWidth="1" collapsed="1"/>
    <col min="12" max="12" width="9.140625" style="49"/>
    <col min="13" max="13" width="10" style="49" bestFit="1" customWidth="1"/>
    <col min="14" max="14" width="15.85546875" style="49" customWidth="1"/>
    <col min="15" max="16384" width="9.140625" style="49"/>
  </cols>
  <sheetData>
    <row r="1" spans="1:12" x14ac:dyDescent="0.2">
      <c r="A1" s="370" t="s">
        <v>0</v>
      </c>
      <c r="B1" s="370"/>
      <c r="C1" s="370"/>
      <c r="D1" s="370"/>
      <c r="E1" s="370"/>
      <c r="F1" s="370"/>
      <c r="G1" s="370"/>
      <c r="H1" s="370"/>
      <c r="I1" s="370"/>
      <c r="J1" s="370"/>
      <c r="K1" s="370"/>
    </row>
    <row r="2" spans="1:12" ht="12.75" customHeight="1" x14ac:dyDescent="0.2">
      <c r="A2" s="370" t="s">
        <v>152</v>
      </c>
      <c r="B2" s="370"/>
      <c r="C2" s="370"/>
      <c r="D2" s="370"/>
      <c r="E2" s="370"/>
      <c r="F2" s="370"/>
      <c r="G2" s="370"/>
      <c r="H2" s="370"/>
      <c r="I2" s="370"/>
      <c r="J2" s="370"/>
      <c r="K2" s="370"/>
      <c r="L2" s="370"/>
    </row>
    <row r="3" spans="1:12" ht="13.5" customHeight="1" x14ac:dyDescent="0.2">
      <c r="A3" s="370" t="s">
        <v>426</v>
      </c>
      <c r="B3" s="370"/>
      <c r="C3" s="370"/>
      <c r="D3" s="370"/>
      <c r="E3" s="370"/>
      <c r="F3" s="370"/>
      <c r="G3" s="370"/>
      <c r="H3" s="370"/>
      <c r="I3" s="370"/>
      <c r="J3" s="370"/>
      <c r="K3" s="370"/>
      <c r="L3" s="370"/>
    </row>
    <row r="4" spans="1:12" ht="9" customHeight="1" x14ac:dyDescent="0.2">
      <c r="A4" s="48"/>
      <c r="B4" s="48"/>
      <c r="C4" s="48"/>
      <c r="D4" s="48"/>
      <c r="E4" s="48"/>
      <c r="F4" s="48"/>
      <c r="G4" s="48"/>
      <c r="H4" s="48"/>
      <c r="I4" s="48"/>
      <c r="J4" s="48"/>
      <c r="K4" s="48"/>
    </row>
    <row r="5" spans="1:12" ht="16.5" customHeight="1" x14ac:dyDescent="0.2">
      <c r="A5" s="371" t="s">
        <v>1</v>
      </c>
      <c r="B5" s="370"/>
      <c r="C5" s="370"/>
      <c r="D5" s="370"/>
      <c r="E5" s="370"/>
      <c r="F5" s="370"/>
      <c r="G5" s="370"/>
      <c r="H5" s="370"/>
      <c r="I5" s="370"/>
      <c r="J5" s="370"/>
      <c r="K5" s="370"/>
    </row>
    <row r="7" spans="1:12" s="51" customFormat="1" ht="16.5" customHeight="1" x14ac:dyDescent="0.2">
      <c r="A7" s="51" t="s">
        <v>2</v>
      </c>
      <c r="F7" s="52" t="s">
        <v>402</v>
      </c>
      <c r="H7" s="52"/>
    </row>
    <row r="8" spans="1:12" s="51" customFormat="1" x14ac:dyDescent="0.2">
      <c r="A8" s="51" t="s">
        <v>3</v>
      </c>
      <c r="F8" s="242" t="s">
        <v>403</v>
      </c>
      <c r="H8" s="245">
        <v>0</v>
      </c>
      <c r="I8" s="214">
        <v>1311.9</v>
      </c>
      <c r="J8" s="304">
        <f>H8+I8</f>
        <v>1311.9</v>
      </c>
    </row>
    <row r="9" spans="1:12" s="51" customFormat="1" x14ac:dyDescent="0.2">
      <c r="F9" s="242"/>
      <c r="H9" s="312"/>
      <c r="I9" s="214"/>
      <c r="J9" s="304"/>
    </row>
    <row r="10" spans="1:12" s="51" customFormat="1" x14ac:dyDescent="0.2">
      <c r="A10" s="372" t="s">
        <v>8</v>
      </c>
      <c r="B10" s="372"/>
      <c r="C10" s="372"/>
      <c r="D10" s="372"/>
      <c r="E10" s="372"/>
      <c r="F10" s="372"/>
      <c r="G10" s="372"/>
      <c r="H10" s="372"/>
      <c r="I10" s="372"/>
      <c r="J10" s="372"/>
      <c r="K10" s="372"/>
    </row>
    <row r="11" spans="1:12" s="51" customFormat="1" x14ac:dyDescent="0.2">
      <c r="A11" s="372" t="s">
        <v>9</v>
      </c>
      <c r="B11" s="372"/>
      <c r="C11" s="372"/>
      <c r="D11" s="372"/>
      <c r="E11" s="372"/>
      <c r="F11" s="372"/>
      <c r="G11" s="372"/>
      <c r="H11" s="372"/>
      <c r="I11" s="372"/>
      <c r="J11" s="372"/>
      <c r="K11" s="372"/>
    </row>
    <row r="12" spans="1:12" s="51" customFormat="1" x14ac:dyDescent="0.2">
      <c r="A12" s="372" t="s">
        <v>10</v>
      </c>
      <c r="B12" s="372"/>
      <c r="C12" s="372"/>
      <c r="D12" s="372"/>
      <c r="E12" s="372"/>
      <c r="F12" s="372"/>
      <c r="G12" s="372"/>
      <c r="H12" s="372"/>
      <c r="I12" s="372"/>
      <c r="J12" s="372"/>
      <c r="K12" s="372"/>
    </row>
    <row r="13" spans="1:12" s="51" customFormat="1" ht="13.5" thickBot="1" x14ac:dyDescent="0.25">
      <c r="A13" s="54"/>
      <c r="B13" s="54"/>
      <c r="C13" s="54"/>
      <c r="D13" s="54"/>
      <c r="E13" s="54"/>
      <c r="F13" s="54"/>
      <c r="G13" s="54"/>
      <c r="H13" s="54"/>
      <c r="I13" s="54"/>
      <c r="J13" s="54"/>
      <c r="K13" s="54"/>
    </row>
    <row r="14" spans="1:12" s="59" customFormat="1" ht="15.75" thickBot="1" x14ac:dyDescent="0.3">
      <c r="A14" s="55" t="s">
        <v>580</v>
      </c>
      <c r="B14" s="56"/>
      <c r="C14" s="56"/>
      <c r="D14" s="61"/>
      <c r="E14" s="62"/>
      <c r="F14" s="62"/>
      <c r="G14" s="232">
        <f>'[1]Телевизионная 20'!$G$37</f>
        <v>-3809.0816999999988</v>
      </c>
      <c r="H14" s="54"/>
      <c r="I14" s="54"/>
    </row>
    <row r="15" spans="1:12" s="51" customFormat="1" ht="6.75" customHeight="1" x14ac:dyDescent="0.2"/>
    <row r="16" spans="1:12" s="66" customFormat="1" ht="38.25" x14ac:dyDescent="0.25">
      <c r="A16" s="64" t="s">
        <v>11</v>
      </c>
      <c r="B16" s="64" t="s">
        <v>12</v>
      </c>
      <c r="C16" s="64" t="s">
        <v>61</v>
      </c>
      <c r="D16" s="64" t="s">
        <v>432</v>
      </c>
      <c r="E16" s="64" t="s">
        <v>433</v>
      </c>
      <c r="F16" s="65" t="s">
        <v>434</v>
      </c>
      <c r="G16" s="64" t="s">
        <v>435</v>
      </c>
    </row>
    <row r="17" spans="1:14" s="51" customFormat="1" ht="14.25" x14ac:dyDescent="0.2">
      <c r="A17" s="67" t="s">
        <v>14</v>
      </c>
      <c r="B17" s="39" t="s">
        <v>379</v>
      </c>
      <c r="C17" s="87">
        <v>20.66</v>
      </c>
      <c r="D17" s="68">
        <v>123974.55</v>
      </c>
      <c r="E17" s="68">
        <v>120005.6</v>
      </c>
      <c r="F17" s="68">
        <f t="shared" ref="F17:F23" si="0">D17</f>
        <v>123974.55</v>
      </c>
      <c r="G17" s="69">
        <f>D17-E17</f>
        <v>3968.9499999999971</v>
      </c>
      <c r="H17" s="70">
        <f>C17</f>
        <v>20.66</v>
      </c>
      <c r="I17" s="71"/>
      <c r="J17" s="71"/>
      <c r="K17" s="71"/>
      <c r="M17" s="70"/>
      <c r="N17" s="72"/>
    </row>
    <row r="18" spans="1:14" s="51" customFormat="1" ht="15" hidden="1" outlineLevel="1" x14ac:dyDescent="0.25">
      <c r="A18" s="73" t="s">
        <v>16</v>
      </c>
      <c r="B18" s="34" t="s">
        <v>17</v>
      </c>
      <c r="C18" s="74">
        <v>3.46</v>
      </c>
      <c r="D18" s="75">
        <f>D17*I18</f>
        <v>20762.43673765731</v>
      </c>
      <c r="E18" s="75">
        <f>E17*I18</f>
        <v>20097.743272023235</v>
      </c>
      <c r="F18" s="75">
        <f t="shared" si="0"/>
        <v>20762.43673765731</v>
      </c>
      <c r="G18" s="76">
        <f>D18-E18</f>
        <v>664.69346563407453</v>
      </c>
      <c r="H18" s="70">
        <f>C18</f>
        <v>3.46</v>
      </c>
      <c r="I18" s="51">
        <f>H18/H17</f>
        <v>0.16747337850919652</v>
      </c>
    </row>
    <row r="19" spans="1:14" s="51" customFormat="1" ht="15" hidden="1" outlineLevel="1" x14ac:dyDescent="0.25">
      <c r="A19" s="73" t="s">
        <v>18</v>
      </c>
      <c r="B19" s="34" t="s">
        <v>19</v>
      </c>
      <c r="C19" s="74">
        <v>1.69</v>
      </c>
      <c r="D19" s="75">
        <f>D17*I19</f>
        <v>10141.190198451113</v>
      </c>
      <c r="E19" s="75">
        <f>E17*I19</f>
        <v>9816.527783155856</v>
      </c>
      <c r="F19" s="75">
        <f t="shared" si="0"/>
        <v>10141.190198451113</v>
      </c>
      <c r="G19" s="76">
        <f>D19-E19</f>
        <v>324.66241529525723</v>
      </c>
      <c r="H19" s="70">
        <f>C19</f>
        <v>1.69</v>
      </c>
      <c r="I19" s="51">
        <f>H19/H17</f>
        <v>8.1800580832526615E-2</v>
      </c>
    </row>
    <row r="20" spans="1:14" s="51" customFormat="1" ht="15" hidden="1" outlineLevel="1" x14ac:dyDescent="0.25">
      <c r="A20" s="73" t="s">
        <v>20</v>
      </c>
      <c r="B20" s="34" t="s">
        <v>21</v>
      </c>
      <c r="C20" s="74">
        <v>2.15</v>
      </c>
      <c r="D20" s="75">
        <f>D17*I20</f>
        <v>12901.514157792837</v>
      </c>
      <c r="E20" s="75">
        <f>E17*I20</f>
        <v>12488.482090997097</v>
      </c>
      <c r="F20" s="75">
        <f t="shared" si="0"/>
        <v>12901.514157792837</v>
      </c>
      <c r="G20" s="76">
        <f>D20-E20</f>
        <v>413.03206679574032</v>
      </c>
      <c r="H20" s="70">
        <f>C20</f>
        <v>2.15</v>
      </c>
      <c r="I20" s="51">
        <f>H20/H17</f>
        <v>0.10406582768635043</v>
      </c>
    </row>
    <row r="21" spans="1:14" s="51" customFormat="1" ht="15" hidden="1" outlineLevel="1" x14ac:dyDescent="0.25">
      <c r="A21" s="73" t="s">
        <v>22</v>
      </c>
      <c r="B21" s="34" t="s">
        <v>23</v>
      </c>
      <c r="C21" s="74">
        <v>3.04</v>
      </c>
      <c r="D21" s="75">
        <f>D17*I21</f>
        <v>18242.140948693126</v>
      </c>
      <c r="E21" s="75">
        <f>E17*I21</f>
        <v>17658.132817037756</v>
      </c>
      <c r="F21" s="75">
        <f t="shared" si="0"/>
        <v>18242.140948693126</v>
      </c>
      <c r="G21" s="76">
        <f>D21-E21</f>
        <v>584.00813165536965</v>
      </c>
      <c r="H21" s="70">
        <f>C21</f>
        <v>3.04</v>
      </c>
      <c r="I21" s="51">
        <f>H21/H17</f>
        <v>0.14714424007744434</v>
      </c>
    </row>
    <row r="22" spans="1:14" s="81" customFormat="1" ht="14.25" collapsed="1" x14ac:dyDescent="0.2">
      <c r="A22" s="78" t="s">
        <v>25</v>
      </c>
      <c r="B22" s="78" t="s">
        <v>118</v>
      </c>
      <c r="C22" s="43">
        <v>0</v>
      </c>
      <c r="D22" s="79">
        <v>0</v>
      </c>
      <c r="E22" s="79">
        <v>0</v>
      </c>
      <c r="F22" s="79">
        <f>D22</f>
        <v>0</v>
      </c>
      <c r="G22" s="69">
        <f t="shared" ref="G22:G32" si="1">D22-E22</f>
        <v>0</v>
      </c>
      <c r="H22" s="80"/>
      <c r="I22" s="80"/>
      <c r="J22" s="80"/>
      <c r="K22" s="80"/>
    </row>
    <row r="23" spans="1:14" s="81" customFormat="1" ht="14.25" x14ac:dyDescent="0.2">
      <c r="A23" s="78" t="s">
        <v>27</v>
      </c>
      <c r="B23" s="78" t="s">
        <v>138</v>
      </c>
      <c r="C23" s="43">
        <v>0</v>
      </c>
      <c r="D23" s="79">
        <v>0</v>
      </c>
      <c r="E23" s="79">
        <v>0</v>
      </c>
      <c r="F23" s="79">
        <f t="shared" si="0"/>
        <v>0</v>
      </c>
      <c r="G23" s="69">
        <f t="shared" si="1"/>
        <v>0</v>
      </c>
      <c r="H23" s="80"/>
      <c r="I23" s="80"/>
      <c r="J23" s="80"/>
      <c r="K23" s="80"/>
    </row>
    <row r="24" spans="1:14" s="81" customFormat="1" ht="14.25" x14ac:dyDescent="0.2">
      <c r="A24" s="78" t="s">
        <v>29</v>
      </c>
      <c r="B24" s="78" t="s">
        <v>26</v>
      </c>
      <c r="C24" s="43">
        <v>0</v>
      </c>
      <c r="D24" s="79">
        <v>0</v>
      </c>
      <c r="E24" s="79">
        <v>0</v>
      </c>
      <c r="F24" s="79">
        <f>D24</f>
        <v>0</v>
      </c>
      <c r="G24" s="69">
        <f t="shared" si="1"/>
        <v>0</v>
      </c>
      <c r="H24" s="80"/>
      <c r="I24" s="80"/>
      <c r="J24" s="80"/>
      <c r="K24" s="80"/>
    </row>
    <row r="25" spans="1:14" s="81" customFormat="1" ht="14.25" x14ac:dyDescent="0.2">
      <c r="A25" s="78" t="s">
        <v>31</v>
      </c>
      <c r="B25" s="78" t="s">
        <v>80</v>
      </c>
      <c r="C25" s="86">
        <v>2.04</v>
      </c>
      <c r="D25" s="79">
        <v>13381.25</v>
      </c>
      <c r="E25" s="79">
        <v>13017.53</v>
      </c>
      <c r="F25" s="79">
        <f>F41</f>
        <v>130.17530000000002</v>
      </c>
      <c r="G25" s="69">
        <f t="shared" si="1"/>
        <v>363.71999999999935</v>
      </c>
      <c r="H25" s="80"/>
      <c r="I25" s="80"/>
      <c r="J25" s="80"/>
      <c r="K25" s="80"/>
    </row>
    <row r="26" spans="1:14" ht="14.25" x14ac:dyDescent="0.2">
      <c r="A26" s="39" t="s">
        <v>33</v>
      </c>
      <c r="B26" s="39" t="s">
        <v>97</v>
      </c>
      <c r="C26" s="87">
        <v>0</v>
      </c>
      <c r="D26" s="69">
        <v>0</v>
      </c>
      <c r="E26" s="69">
        <v>0</v>
      </c>
      <c r="F26" s="79">
        <f>D26</f>
        <v>0</v>
      </c>
      <c r="G26" s="69">
        <f t="shared" si="1"/>
        <v>0</v>
      </c>
      <c r="H26" s="88"/>
      <c r="I26" s="88"/>
      <c r="J26" s="88"/>
      <c r="K26" s="88"/>
    </row>
    <row r="27" spans="1:14" ht="14.25" x14ac:dyDescent="0.2">
      <c r="A27" s="39" t="s">
        <v>35</v>
      </c>
      <c r="B27" s="39" t="s">
        <v>36</v>
      </c>
      <c r="C27" s="87"/>
      <c r="D27" s="69">
        <f>SUM(D28:D31)</f>
        <v>10589.300000000001</v>
      </c>
      <c r="E27" s="69">
        <f>SUM(E28:E31)</f>
        <v>10301.459999999999</v>
      </c>
      <c r="F27" s="69">
        <f>SUM(F28:F31)</f>
        <v>10589.300000000001</v>
      </c>
      <c r="G27" s="69">
        <f t="shared" si="1"/>
        <v>287.84000000000196</v>
      </c>
      <c r="H27" s="88"/>
      <c r="I27" s="88"/>
      <c r="J27" s="88"/>
      <c r="K27" s="88"/>
    </row>
    <row r="28" spans="1:14" ht="15" x14ac:dyDescent="0.25">
      <c r="A28" s="34" t="s">
        <v>37</v>
      </c>
      <c r="B28" s="34" t="s">
        <v>101</v>
      </c>
      <c r="C28" s="365">
        <v>6.54</v>
      </c>
      <c r="D28" s="76">
        <v>8933.9500000000007</v>
      </c>
      <c r="E28" s="76">
        <v>8691.08</v>
      </c>
      <c r="F28" s="76">
        <f>D28</f>
        <v>8933.9500000000007</v>
      </c>
      <c r="G28" s="76">
        <f t="shared" si="1"/>
        <v>242.8700000000008</v>
      </c>
    </row>
    <row r="29" spans="1:14" ht="15" x14ac:dyDescent="0.25">
      <c r="A29" s="34" t="s">
        <v>39</v>
      </c>
      <c r="B29" s="34" t="s">
        <v>84</v>
      </c>
      <c r="C29" s="89">
        <v>74.67</v>
      </c>
      <c r="D29" s="76">
        <v>1655.35</v>
      </c>
      <c r="E29" s="76">
        <v>1610.38</v>
      </c>
      <c r="F29" s="76">
        <f>D29</f>
        <v>1655.35</v>
      </c>
      <c r="G29" s="76">
        <f t="shared" si="1"/>
        <v>44.9699999999998</v>
      </c>
    </row>
    <row r="30" spans="1:14" ht="15" x14ac:dyDescent="0.25">
      <c r="A30" s="34" t="s">
        <v>42</v>
      </c>
      <c r="B30" s="45" t="s">
        <v>135</v>
      </c>
      <c r="C30" s="128">
        <v>0</v>
      </c>
      <c r="D30" s="76">
        <v>0</v>
      </c>
      <c r="E30" s="76">
        <v>0</v>
      </c>
      <c r="F30" s="76">
        <f>D30</f>
        <v>0</v>
      </c>
      <c r="G30" s="76">
        <f t="shared" si="1"/>
        <v>0</v>
      </c>
    </row>
    <row r="31" spans="1:14" s="230" customFormat="1" ht="15" x14ac:dyDescent="0.25">
      <c r="A31" s="228" t="s">
        <v>41</v>
      </c>
      <c r="B31" s="228" t="s">
        <v>43</v>
      </c>
      <c r="C31" s="89">
        <v>0</v>
      </c>
      <c r="D31" s="188">
        <v>0</v>
      </c>
      <c r="E31" s="188">
        <v>0</v>
      </c>
      <c r="F31" s="188">
        <f>D31</f>
        <v>0</v>
      </c>
      <c r="G31" s="76">
        <f t="shared" si="1"/>
        <v>0</v>
      </c>
    </row>
    <row r="32" spans="1:14" s="230" customFormat="1" ht="14.25" hidden="1" outlineLevel="1" x14ac:dyDescent="0.2">
      <c r="A32" s="39" t="s">
        <v>112</v>
      </c>
      <c r="B32" s="300" t="s">
        <v>140</v>
      </c>
      <c r="C32" s="298"/>
      <c r="D32" s="248">
        <v>1800</v>
      </c>
      <c r="E32" s="248">
        <v>1800</v>
      </c>
      <c r="F32" s="248">
        <v>0</v>
      </c>
      <c r="G32" s="248">
        <f t="shared" si="1"/>
        <v>0</v>
      </c>
    </row>
    <row r="33" spans="1:12" s="230" customFormat="1" ht="15" hidden="1" outlineLevel="1" x14ac:dyDescent="0.2">
      <c r="A33" s="90"/>
      <c r="B33" s="301"/>
      <c r="C33" s="376" t="s">
        <v>246</v>
      </c>
      <c r="D33" s="377"/>
      <c r="E33" s="377"/>
      <c r="F33" s="377"/>
      <c r="G33" s="82">
        <f>E32-(E32*15%)</f>
        <v>1530</v>
      </c>
    </row>
    <row r="34" spans="1:12" s="92" customFormat="1" ht="19.5" customHeight="1" collapsed="1" thickBot="1" x14ac:dyDescent="0.3">
      <c r="A34" s="373"/>
      <c r="B34" s="374"/>
      <c r="C34" s="374"/>
      <c r="D34" s="375"/>
      <c r="E34" s="375"/>
      <c r="F34" s="375"/>
      <c r="G34" s="91"/>
      <c r="H34" s="91"/>
      <c r="I34" s="91"/>
    </row>
    <row r="35" spans="1:12" s="59" customFormat="1" ht="15.75" thickBot="1" x14ac:dyDescent="0.3">
      <c r="A35" s="387" t="s">
        <v>427</v>
      </c>
      <c r="B35" s="388"/>
      <c r="C35" s="388"/>
      <c r="D35" s="63">
        <v>4620.51</v>
      </c>
      <c r="E35" s="58"/>
      <c r="F35" s="58"/>
      <c r="G35" s="58"/>
      <c r="H35" s="54"/>
      <c r="I35" s="54"/>
    </row>
    <row r="36" spans="1:12" s="59" customFormat="1" ht="6" customHeight="1" thickBot="1" x14ac:dyDescent="0.3">
      <c r="A36" s="60"/>
      <c r="B36" s="60"/>
      <c r="C36" s="60"/>
      <c r="D36" s="38"/>
      <c r="E36" s="58"/>
      <c r="F36" s="58"/>
      <c r="G36" s="58"/>
      <c r="H36" s="54"/>
      <c r="I36" s="54"/>
    </row>
    <row r="37" spans="1:12" s="59" customFormat="1" ht="15.75" thickBot="1" x14ac:dyDescent="0.3">
      <c r="A37" s="55" t="s">
        <v>428</v>
      </c>
      <c r="B37" s="56"/>
      <c r="C37" s="56"/>
      <c r="D37" s="61"/>
      <c r="E37" s="62"/>
      <c r="F37" s="62"/>
      <c r="G37" s="246">
        <f>G14+E25-F25</f>
        <v>9078.273000000001</v>
      </c>
      <c r="H37" s="54"/>
      <c r="I37" s="54"/>
    </row>
    <row r="38" spans="1:12" ht="31.5" customHeight="1" x14ac:dyDescent="0.25">
      <c r="A38" s="571" t="s">
        <v>106</v>
      </c>
      <c r="B38" s="572"/>
      <c r="C38" s="572"/>
      <c r="D38" s="572"/>
      <c r="E38" s="572"/>
      <c r="F38" s="572"/>
      <c r="G38" s="572"/>
      <c r="H38" s="50"/>
      <c r="I38" s="50"/>
      <c r="J38" s="50"/>
      <c r="K38" s="50"/>
    </row>
    <row r="40" spans="1:12" s="66" customFormat="1" ht="37.5" customHeight="1" x14ac:dyDescent="0.2">
      <c r="A40" s="94" t="s">
        <v>11</v>
      </c>
      <c r="B40" s="416" t="s">
        <v>45</v>
      </c>
      <c r="C40" s="425"/>
      <c r="D40" s="94" t="s">
        <v>99</v>
      </c>
      <c r="E40" s="94" t="s">
        <v>98</v>
      </c>
      <c r="F40" s="416" t="s">
        <v>46</v>
      </c>
      <c r="G40" s="425"/>
      <c r="H40" s="207"/>
      <c r="I40" s="208"/>
      <c r="L40" s="97"/>
    </row>
    <row r="41" spans="1:12" s="103" customFormat="1" ht="15" customHeight="1" x14ac:dyDescent="0.25">
      <c r="A41" s="98" t="s">
        <v>47</v>
      </c>
      <c r="B41" s="418" t="s">
        <v>75</v>
      </c>
      <c r="C41" s="430"/>
      <c r="D41" s="99"/>
      <c r="E41" s="99"/>
      <c r="F41" s="436">
        <f>SUM(F42:G44)</f>
        <v>130.17530000000002</v>
      </c>
      <c r="G41" s="424"/>
      <c r="H41" s="209"/>
      <c r="I41" s="210"/>
      <c r="L41" s="104"/>
    </row>
    <row r="42" spans="1:12" ht="15" x14ac:dyDescent="0.25">
      <c r="A42" s="34" t="s">
        <v>16</v>
      </c>
      <c r="B42" s="412"/>
      <c r="C42" s="413"/>
      <c r="D42" s="260"/>
      <c r="E42" s="260"/>
      <c r="F42" s="463"/>
      <c r="G42" s="463"/>
      <c r="H42" s="211"/>
      <c r="I42" s="212"/>
      <c r="L42" s="106"/>
    </row>
    <row r="43" spans="1:12" ht="15" x14ac:dyDescent="0.25">
      <c r="A43" s="34" t="s">
        <v>20</v>
      </c>
      <c r="B43" s="412"/>
      <c r="C43" s="413"/>
      <c r="D43" s="260"/>
      <c r="E43" s="260"/>
      <c r="F43" s="463"/>
      <c r="G43" s="463"/>
      <c r="H43" s="38"/>
      <c r="I43" s="38"/>
      <c r="L43" s="106"/>
    </row>
    <row r="44" spans="1:12" s="59" customFormat="1" ht="15" x14ac:dyDescent="0.25">
      <c r="A44" s="34" t="s">
        <v>22</v>
      </c>
      <c r="B44" s="458" t="s">
        <v>108</v>
      </c>
      <c r="C44" s="459"/>
      <c r="D44" s="108"/>
      <c r="E44" s="108"/>
      <c r="F44" s="435">
        <f>E25*1%</f>
        <v>130.17530000000002</v>
      </c>
      <c r="G44" s="435"/>
      <c r="H44" s="51"/>
      <c r="I44" s="51"/>
      <c r="J44" s="51"/>
      <c r="K44" s="51"/>
    </row>
    <row r="45" spans="1:12" s="51" customFormat="1" ht="9" customHeight="1" x14ac:dyDescent="0.2"/>
    <row r="46" spans="1:12" s="51" customFormat="1" ht="15" x14ac:dyDescent="0.25">
      <c r="A46" s="51" t="s">
        <v>372</v>
      </c>
      <c r="B46" s="59"/>
      <c r="C46" s="110" t="s">
        <v>49</v>
      </c>
      <c r="D46" s="59"/>
      <c r="E46" s="59"/>
      <c r="F46" s="59" t="s">
        <v>60</v>
      </c>
      <c r="G46" s="59"/>
      <c r="H46" s="59"/>
      <c r="I46" s="59"/>
      <c r="J46" s="59"/>
      <c r="K46" s="59"/>
    </row>
    <row r="47" spans="1:12" s="51" customFormat="1" ht="15" x14ac:dyDescent="0.25">
      <c r="A47" s="59"/>
      <c r="B47" s="59"/>
      <c r="C47" s="110"/>
      <c r="D47" s="59"/>
      <c r="E47" s="59"/>
      <c r="F47" s="111" t="s">
        <v>438</v>
      </c>
      <c r="G47" s="59"/>
    </row>
    <row r="48" spans="1:12" s="51" customFormat="1" ht="15" x14ac:dyDescent="0.25">
      <c r="A48" s="59" t="s">
        <v>50</v>
      </c>
      <c r="B48" s="59"/>
      <c r="C48" s="110"/>
      <c r="D48" s="59"/>
      <c r="E48" s="59"/>
      <c r="F48" s="59"/>
      <c r="G48" s="59"/>
      <c r="H48" s="141"/>
      <c r="I48" s="141"/>
      <c r="J48" s="141"/>
    </row>
    <row r="49" spans="1:11" ht="15" x14ac:dyDescent="0.25">
      <c r="A49" s="59"/>
      <c r="B49" s="59"/>
      <c r="C49" s="112" t="s">
        <v>51</v>
      </c>
      <c r="D49" s="59"/>
      <c r="E49" s="113"/>
      <c r="F49" s="113"/>
      <c r="G49" s="113"/>
      <c r="H49" s="51"/>
      <c r="I49" s="51"/>
      <c r="J49" s="51"/>
      <c r="K49" s="51"/>
    </row>
    <row r="50" spans="1:11" x14ac:dyDescent="0.2">
      <c r="A50" s="51"/>
      <c r="B50" s="51"/>
      <c r="C50" s="51"/>
      <c r="D50" s="51"/>
      <c r="E50" s="51"/>
      <c r="F50" s="51"/>
      <c r="G50" s="51"/>
      <c r="H50" s="51"/>
      <c r="I50" s="51"/>
      <c r="J50" s="51"/>
      <c r="K50" s="51"/>
    </row>
  </sheetData>
  <mergeCells count="21">
    <mergeCell ref="A1:K1"/>
    <mergeCell ref="A2:L2"/>
    <mergeCell ref="A5:K5"/>
    <mergeCell ref="A10:K10"/>
    <mergeCell ref="A11:K11"/>
    <mergeCell ref="A3:L3"/>
    <mergeCell ref="A12:K12"/>
    <mergeCell ref="C33:F33"/>
    <mergeCell ref="A34:F34"/>
    <mergeCell ref="A35:C35"/>
    <mergeCell ref="A38:G38"/>
    <mergeCell ref="B40:C40"/>
    <mergeCell ref="F40:G40"/>
    <mergeCell ref="B44:C44"/>
    <mergeCell ref="F44:G44"/>
    <mergeCell ref="B41:C41"/>
    <mergeCell ref="F41:G41"/>
    <mergeCell ref="B42:C42"/>
    <mergeCell ref="F42:G42"/>
    <mergeCell ref="B43:C43"/>
    <mergeCell ref="F43:G4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B412FE-433E-4E7B-BD47-A4DC0BFA5F90}">
  <sheetPr>
    <tabColor rgb="FF7030A0"/>
  </sheetPr>
  <dimension ref="A1:N50"/>
  <sheetViews>
    <sheetView topLeftCell="B37" workbookViewId="0">
      <selection activeCell="B53" sqref="A53:IV54"/>
    </sheetView>
  </sheetViews>
  <sheetFormatPr defaultRowHeight="12.75" outlineLevelRow="1" outlineLevelCol="1" x14ac:dyDescent="0.2"/>
  <cols>
    <col min="1" max="1" width="6" style="49" customWidth="1"/>
    <col min="2" max="2" width="48.140625" style="49" customWidth="1"/>
    <col min="3" max="3" width="14" style="49" customWidth="1"/>
    <col min="4" max="4" width="14.85546875" style="49" customWidth="1"/>
    <col min="5" max="6" width="13.28515625" style="49" customWidth="1"/>
    <col min="7" max="7" width="14.5703125" style="49" customWidth="1"/>
    <col min="8" max="9" width="11.5703125" style="49" hidden="1" customWidth="1" outlineLevel="1"/>
    <col min="10" max="10" width="10.140625" style="49" hidden="1" customWidth="1" outlineLevel="1"/>
    <col min="11" max="11" width="10.42578125" style="49" customWidth="1" collapsed="1"/>
    <col min="12" max="12" width="9.140625" style="49"/>
    <col min="13" max="13" width="10" style="49" bestFit="1" customWidth="1"/>
    <col min="14" max="14" width="15.85546875" style="49" customWidth="1"/>
    <col min="15" max="16384" width="9.140625" style="49"/>
  </cols>
  <sheetData>
    <row r="1" spans="1:12" x14ac:dyDescent="0.2">
      <c r="A1" s="370" t="s">
        <v>0</v>
      </c>
      <c r="B1" s="370"/>
      <c r="C1" s="370"/>
      <c r="D1" s="370"/>
      <c r="E1" s="370"/>
      <c r="F1" s="370"/>
      <c r="G1" s="370"/>
      <c r="H1" s="370"/>
      <c r="I1" s="370"/>
      <c r="J1" s="370"/>
      <c r="K1" s="370"/>
    </row>
    <row r="2" spans="1:12" ht="12.75" customHeight="1" x14ac:dyDescent="0.2">
      <c r="A2" s="370" t="s">
        <v>152</v>
      </c>
      <c r="B2" s="370"/>
      <c r="C2" s="370"/>
      <c r="D2" s="370"/>
      <c r="E2" s="370"/>
      <c r="F2" s="370"/>
      <c r="G2" s="370"/>
      <c r="H2" s="370"/>
      <c r="I2" s="370"/>
      <c r="J2" s="370"/>
      <c r="K2" s="370"/>
      <c r="L2" s="370"/>
    </row>
    <row r="3" spans="1:12" ht="13.5" customHeight="1" x14ac:dyDescent="0.2">
      <c r="A3" s="370" t="s">
        <v>426</v>
      </c>
      <c r="B3" s="370"/>
      <c r="C3" s="370"/>
      <c r="D3" s="370"/>
      <c r="E3" s="370"/>
      <c r="F3" s="370"/>
      <c r="G3" s="370"/>
      <c r="H3" s="370"/>
      <c r="I3" s="370"/>
      <c r="J3" s="370"/>
      <c r="K3" s="370"/>
      <c r="L3" s="370"/>
    </row>
    <row r="4" spans="1:12" ht="9" customHeight="1" x14ac:dyDescent="0.2">
      <c r="A4" s="48"/>
      <c r="B4" s="48"/>
      <c r="C4" s="48"/>
      <c r="D4" s="48"/>
      <c r="E4" s="48"/>
      <c r="F4" s="48"/>
      <c r="G4" s="48"/>
      <c r="H4" s="48"/>
      <c r="I4" s="48"/>
      <c r="J4" s="48"/>
      <c r="K4" s="48"/>
    </row>
    <row r="5" spans="1:12" ht="16.5" customHeight="1" x14ac:dyDescent="0.2">
      <c r="A5" s="371" t="s">
        <v>1</v>
      </c>
      <c r="B5" s="370"/>
      <c r="C5" s="370"/>
      <c r="D5" s="370"/>
      <c r="E5" s="370"/>
      <c r="F5" s="370"/>
      <c r="G5" s="370"/>
      <c r="H5" s="370"/>
      <c r="I5" s="370"/>
      <c r="J5" s="370"/>
      <c r="K5" s="370"/>
    </row>
    <row r="7" spans="1:12" s="51" customFormat="1" ht="16.5" customHeight="1" x14ac:dyDescent="0.2">
      <c r="A7" s="51" t="s">
        <v>2</v>
      </c>
      <c r="F7" s="52" t="s">
        <v>404</v>
      </c>
      <c r="H7" s="52"/>
    </row>
    <row r="8" spans="1:12" s="51" customFormat="1" x14ac:dyDescent="0.2">
      <c r="A8" s="51" t="s">
        <v>3</v>
      </c>
      <c r="F8" s="242" t="s">
        <v>405</v>
      </c>
      <c r="H8" s="245">
        <v>0</v>
      </c>
      <c r="I8" s="214">
        <v>1432.5</v>
      </c>
      <c r="J8" s="304">
        <f>H8+I8</f>
        <v>1432.5</v>
      </c>
    </row>
    <row r="9" spans="1:12" s="51" customFormat="1" x14ac:dyDescent="0.2">
      <c r="F9" s="242"/>
      <c r="H9" s="312"/>
      <c r="I9" s="214"/>
      <c r="J9" s="304"/>
    </row>
    <row r="10" spans="1:12" s="51" customFormat="1" x14ac:dyDescent="0.2">
      <c r="A10" s="372" t="s">
        <v>8</v>
      </c>
      <c r="B10" s="372"/>
      <c r="C10" s="372"/>
      <c r="D10" s="372"/>
      <c r="E10" s="372"/>
      <c r="F10" s="372"/>
      <c r="G10" s="372"/>
      <c r="H10" s="372"/>
      <c r="I10" s="372"/>
      <c r="J10" s="372"/>
      <c r="K10" s="372"/>
    </row>
    <row r="11" spans="1:12" s="51" customFormat="1" x14ac:dyDescent="0.2">
      <c r="A11" s="372" t="s">
        <v>9</v>
      </c>
      <c r="B11" s="372"/>
      <c r="C11" s="372"/>
      <c r="D11" s="372"/>
      <c r="E11" s="372"/>
      <c r="F11" s="372"/>
      <c r="G11" s="372"/>
      <c r="H11" s="372"/>
      <c r="I11" s="372"/>
      <c r="J11" s="372"/>
      <c r="K11" s="372"/>
    </row>
    <row r="12" spans="1:12" s="51" customFormat="1" x14ac:dyDescent="0.2">
      <c r="A12" s="372" t="s">
        <v>10</v>
      </c>
      <c r="B12" s="372"/>
      <c r="C12" s="372"/>
      <c r="D12" s="372"/>
      <c r="E12" s="372"/>
      <c r="F12" s="372"/>
      <c r="G12" s="372"/>
      <c r="H12" s="372"/>
      <c r="I12" s="372"/>
      <c r="J12" s="372"/>
      <c r="K12" s="372"/>
    </row>
    <row r="13" spans="1:12" s="51" customFormat="1" ht="13.5" thickBot="1" x14ac:dyDescent="0.25">
      <c r="A13" s="54"/>
      <c r="B13" s="54"/>
      <c r="C13" s="54"/>
      <c r="D13" s="54"/>
      <c r="E13" s="54"/>
      <c r="F13" s="54"/>
      <c r="G13" s="54"/>
      <c r="H13" s="54"/>
      <c r="I13" s="54"/>
      <c r="J13" s="54"/>
      <c r="K13" s="54"/>
    </row>
    <row r="14" spans="1:12" s="59" customFormat="1" ht="15.75" thickBot="1" x14ac:dyDescent="0.3">
      <c r="A14" s="55" t="s">
        <v>580</v>
      </c>
      <c r="B14" s="56"/>
      <c r="C14" s="56"/>
      <c r="D14" s="61"/>
      <c r="E14" s="62"/>
      <c r="F14" s="62"/>
      <c r="G14" s="232">
        <f>'[1]Телевизионная 22'!$G$37</f>
        <v>9562.1311999999998</v>
      </c>
      <c r="H14" s="54"/>
      <c r="I14" s="54"/>
    </row>
    <row r="15" spans="1:12" s="51" customFormat="1" ht="6.75" customHeight="1" x14ac:dyDescent="0.2"/>
    <row r="16" spans="1:12" s="66" customFormat="1" ht="38.25" x14ac:dyDescent="0.25">
      <c r="A16" s="64" t="s">
        <v>11</v>
      </c>
      <c r="B16" s="64" t="s">
        <v>12</v>
      </c>
      <c r="C16" s="64" t="s">
        <v>61</v>
      </c>
      <c r="D16" s="64" t="s">
        <v>432</v>
      </c>
      <c r="E16" s="64" t="s">
        <v>433</v>
      </c>
      <c r="F16" s="65" t="s">
        <v>434</v>
      </c>
      <c r="G16" s="64" t="s">
        <v>435</v>
      </c>
    </row>
    <row r="17" spans="1:14" s="51" customFormat="1" ht="14.25" x14ac:dyDescent="0.2">
      <c r="A17" s="67" t="s">
        <v>14</v>
      </c>
      <c r="B17" s="39" t="s">
        <v>379</v>
      </c>
      <c r="C17" s="87">
        <v>17.16</v>
      </c>
      <c r="D17" s="68">
        <v>122908.4</v>
      </c>
      <c r="E17" s="68">
        <v>105793.62</v>
      </c>
      <c r="F17" s="68">
        <f t="shared" ref="F17:F23" si="0">D17</f>
        <v>122908.4</v>
      </c>
      <c r="G17" s="69">
        <f>D17-E17</f>
        <v>17114.78</v>
      </c>
      <c r="H17" s="70">
        <f>C17</f>
        <v>17.16</v>
      </c>
      <c r="I17" s="71"/>
      <c r="J17" s="71"/>
      <c r="K17" s="71"/>
      <c r="M17" s="70"/>
      <c r="N17" s="72"/>
    </row>
    <row r="18" spans="1:14" s="51" customFormat="1" ht="15" hidden="1" outlineLevel="1" x14ac:dyDescent="0.25">
      <c r="A18" s="73" t="s">
        <v>16</v>
      </c>
      <c r="B18" s="34" t="s">
        <v>17</v>
      </c>
      <c r="C18" s="74">
        <v>3.46</v>
      </c>
      <c r="D18" s="75">
        <f>D17*I18</f>
        <v>24782.229836829836</v>
      </c>
      <c r="E18" s="75">
        <f>E17*I18</f>
        <v>21331.34762237762</v>
      </c>
      <c r="F18" s="75">
        <f t="shared" si="0"/>
        <v>24782.229836829836</v>
      </c>
      <c r="G18" s="76">
        <f>D18-E18</f>
        <v>3450.8822144522164</v>
      </c>
      <c r="H18" s="70">
        <f>C18</f>
        <v>3.46</v>
      </c>
      <c r="I18" s="51">
        <f>H18/H17</f>
        <v>0.20163170163170163</v>
      </c>
    </row>
    <row r="19" spans="1:14" s="51" customFormat="1" ht="15" hidden="1" outlineLevel="1" x14ac:dyDescent="0.25">
      <c r="A19" s="73" t="s">
        <v>18</v>
      </c>
      <c r="B19" s="34" t="s">
        <v>19</v>
      </c>
      <c r="C19" s="74">
        <v>1.69</v>
      </c>
      <c r="D19" s="75">
        <f>D17*I19</f>
        <v>12104.615151515151</v>
      </c>
      <c r="E19" s="75">
        <f>E17*I19</f>
        <v>10419.068636363636</v>
      </c>
      <c r="F19" s="75">
        <f t="shared" si="0"/>
        <v>12104.615151515151</v>
      </c>
      <c r="G19" s="76">
        <f>D19-E19</f>
        <v>1685.5465151515145</v>
      </c>
      <c r="H19" s="70">
        <f>C19</f>
        <v>1.69</v>
      </c>
      <c r="I19" s="51">
        <f>H19/H17</f>
        <v>9.8484848484848481E-2</v>
      </c>
    </row>
    <row r="20" spans="1:14" s="51" customFormat="1" ht="15" hidden="1" outlineLevel="1" x14ac:dyDescent="0.25">
      <c r="A20" s="73" t="s">
        <v>20</v>
      </c>
      <c r="B20" s="34" t="s">
        <v>21</v>
      </c>
      <c r="C20" s="74">
        <v>2.15</v>
      </c>
      <c r="D20" s="75">
        <f>D17*I20</f>
        <v>15399.36247086247</v>
      </c>
      <c r="E20" s="75">
        <f>E17*I20</f>
        <v>13255.028146853147</v>
      </c>
      <c r="F20" s="75">
        <f t="shared" si="0"/>
        <v>15399.36247086247</v>
      </c>
      <c r="G20" s="76">
        <f>D20-E20</f>
        <v>2144.3343240093236</v>
      </c>
      <c r="H20" s="70">
        <f>C20</f>
        <v>2.15</v>
      </c>
      <c r="I20" s="51">
        <f>H20/H17</f>
        <v>0.1252913752913753</v>
      </c>
    </row>
    <row r="21" spans="1:14" s="51" customFormat="1" ht="15" hidden="1" outlineLevel="1" x14ac:dyDescent="0.25">
      <c r="A21" s="73" t="s">
        <v>22</v>
      </c>
      <c r="B21" s="34" t="s">
        <v>23</v>
      </c>
      <c r="C21" s="74">
        <v>3.04</v>
      </c>
      <c r="D21" s="75">
        <f>D17*I21</f>
        <v>21773.982284382284</v>
      </c>
      <c r="E21" s="75">
        <f>E17*I21</f>
        <v>18741.993286713285</v>
      </c>
      <c r="F21" s="75">
        <f t="shared" si="0"/>
        <v>21773.982284382284</v>
      </c>
      <c r="G21" s="76">
        <f>D21-E21</f>
        <v>3031.9889976689992</v>
      </c>
      <c r="H21" s="70">
        <f>C21</f>
        <v>3.04</v>
      </c>
      <c r="I21" s="51">
        <f>H21/H17</f>
        <v>0.17715617715617715</v>
      </c>
    </row>
    <row r="22" spans="1:14" s="81" customFormat="1" ht="14.25" collapsed="1" x14ac:dyDescent="0.2">
      <c r="A22" s="78" t="s">
        <v>25</v>
      </c>
      <c r="B22" s="78" t="s">
        <v>118</v>
      </c>
      <c r="C22" s="43">
        <v>0</v>
      </c>
      <c r="D22" s="79">
        <v>0</v>
      </c>
      <c r="E22" s="79">
        <v>0</v>
      </c>
      <c r="F22" s="79">
        <f>D22</f>
        <v>0</v>
      </c>
      <c r="G22" s="69">
        <f t="shared" ref="G22:G32" si="1">D22-E22</f>
        <v>0</v>
      </c>
      <c r="H22" s="80"/>
      <c r="I22" s="80"/>
      <c r="J22" s="80"/>
      <c r="K22" s="80"/>
    </row>
    <row r="23" spans="1:14" s="81" customFormat="1" ht="14.25" x14ac:dyDescent="0.2">
      <c r="A23" s="78" t="s">
        <v>27</v>
      </c>
      <c r="B23" s="78" t="s">
        <v>138</v>
      </c>
      <c r="C23" s="43">
        <v>0</v>
      </c>
      <c r="D23" s="79">
        <v>0</v>
      </c>
      <c r="E23" s="79">
        <v>0</v>
      </c>
      <c r="F23" s="79">
        <f t="shared" si="0"/>
        <v>0</v>
      </c>
      <c r="G23" s="69">
        <f t="shared" si="1"/>
        <v>0</v>
      </c>
      <c r="H23" s="80"/>
      <c r="I23" s="80"/>
      <c r="J23" s="80"/>
      <c r="K23" s="80"/>
    </row>
    <row r="24" spans="1:14" s="81" customFormat="1" ht="14.25" x14ac:dyDescent="0.2">
      <c r="A24" s="78" t="s">
        <v>29</v>
      </c>
      <c r="B24" s="78" t="s">
        <v>26</v>
      </c>
      <c r="C24" s="43">
        <v>0</v>
      </c>
      <c r="D24" s="79">
        <v>0</v>
      </c>
      <c r="E24" s="79">
        <v>0</v>
      </c>
      <c r="F24" s="79">
        <f>D24</f>
        <v>0</v>
      </c>
      <c r="G24" s="69">
        <f t="shared" si="1"/>
        <v>0</v>
      </c>
      <c r="H24" s="80"/>
      <c r="I24" s="80"/>
      <c r="J24" s="80"/>
      <c r="K24" s="80"/>
    </row>
    <row r="25" spans="1:14" s="81" customFormat="1" ht="14.25" x14ac:dyDescent="0.2">
      <c r="A25" s="78" t="s">
        <v>31</v>
      </c>
      <c r="B25" s="78" t="s">
        <v>80</v>
      </c>
      <c r="C25" s="86">
        <v>2.04</v>
      </c>
      <c r="D25" s="79">
        <v>14611.6</v>
      </c>
      <c r="E25" s="79">
        <v>12576.94</v>
      </c>
      <c r="F25" s="79">
        <f>F41</f>
        <v>125.7694</v>
      </c>
      <c r="G25" s="69">
        <f t="shared" si="1"/>
        <v>2034.6599999999999</v>
      </c>
      <c r="H25" s="80"/>
      <c r="I25" s="80"/>
      <c r="J25" s="80"/>
      <c r="K25" s="80"/>
    </row>
    <row r="26" spans="1:14" ht="14.25" x14ac:dyDescent="0.2">
      <c r="A26" s="39" t="s">
        <v>33</v>
      </c>
      <c r="B26" s="39" t="s">
        <v>97</v>
      </c>
      <c r="C26" s="87">
        <v>0</v>
      </c>
      <c r="D26" s="69">
        <v>0</v>
      </c>
      <c r="E26" s="69">
        <v>0</v>
      </c>
      <c r="F26" s="79">
        <f>D26</f>
        <v>0</v>
      </c>
      <c r="G26" s="69">
        <f t="shared" si="1"/>
        <v>0</v>
      </c>
      <c r="H26" s="88"/>
      <c r="I26" s="88"/>
      <c r="J26" s="88"/>
      <c r="K26" s="88"/>
    </row>
    <row r="27" spans="1:14" ht="14.25" x14ac:dyDescent="0.2">
      <c r="A27" s="39" t="s">
        <v>35</v>
      </c>
      <c r="B27" s="39" t="s">
        <v>36</v>
      </c>
      <c r="C27" s="87"/>
      <c r="D27" s="69">
        <f>SUM(D28:D31)</f>
        <v>10241.549999999999</v>
      </c>
      <c r="E27" s="69">
        <f>SUM(E28:E31)</f>
        <v>8815.44</v>
      </c>
      <c r="F27" s="69">
        <f>SUM(F28:F31)</f>
        <v>10241.549999999999</v>
      </c>
      <c r="G27" s="69">
        <f t="shared" si="1"/>
        <v>1426.1099999999988</v>
      </c>
      <c r="H27" s="88"/>
      <c r="I27" s="88"/>
      <c r="J27" s="88"/>
      <c r="K27" s="88"/>
    </row>
    <row r="28" spans="1:14" ht="15" x14ac:dyDescent="0.25">
      <c r="A28" s="34" t="s">
        <v>37</v>
      </c>
      <c r="B28" s="34" t="s">
        <v>101</v>
      </c>
      <c r="C28" s="365">
        <v>6.54</v>
      </c>
      <c r="D28" s="76">
        <v>8731.0499999999993</v>
      </c>
      <c r="E28" s="76">
        <v>7515.27</v>
      </c>
      <c r="F28" s="76">
        <f>D28</f>
        <v>8731.0499999999993</v>
      </c>
      <c r="G28" s="76">
        <f t="shared" si="1"/>
        <v>1215.7799999999988</v>
      </c>
    </row>
    <row r="29" spans="1:14" ht="15" x14ac:dyDescent="0.25">
      <c r="A29" s="34" t="s">
        <v>39</v>
      </c>
      <c r="B29" s="34" t="s">
        <v>84</v>
      </c>
      <c r="C29" s="89">
        <v>74.67</v>
      </c>
      <c r="D29" s="76">
        <v>1510.5</v>
      </c>
      <c r="E29" s="76">
        <v>1300.17</v>
      </c>
      <c r="F29" s="76">
        <f>D29</f>
        <v>1510.5</v>
      </c>
      <c r="G29" s="76">
        <f t="shared" si="1"/>
        <v>210.32999999999993</v>
      </c>
    </row>
    <row r="30" spans="1:14" ht="15" x14ac:dyDescent="0.25">
      <c r="A30" s="34" t="s">
        <v>42</v>
      </c>
      <c r="B30" s="45" t="s">
        <v>135</v>
      </c>
      <c r="C30" s="128">
        <v>0</v>
      </c>
      <c r="D30" s="76">
        <v>0</v>
      </c>
      <c r="E30" s="76">
        <v>0</v>
      </c>
      <c r="F30" s="76">
        <f>D30</f>
        <v>0</v>
      </c>
      <c r="G30" s="76">
        <f t="shared" si="1"/>
        <v>0</v>
      </c>
    </row>
    <row r="31" spans="1:14" s="230" customFormat="1" ht="15" x14ac:dyDescent="0.25">
      <c r="A31" s="228" t="s">
        <v>41</v>
      </c>
      <c r="B31" s="228" t="s">
        <v>43</v>
      </c>
      <c r="C31" s="89">
        <v>0</v>
      </c>
      <c r="D31" s="188">
        <v>0</v>
      </c>
      <c r="E31" s="188">
        <v>0</v>
      </c>
      <c r="F31" s="188">
        <f>D31</f>
        <v>0</v>
      </c>
      <c r="G31" s="76">
        <f t="shared" si="1"/>
        <v>0</v>
      </c>
    </row>
    <row r="32" spans="1:14" s="230" customFormat="1" ht="14.25" hidden="1" outlineLevel="1" x14ac:dyDescent="0.2">
      <c r="A32" s="39" t="s">
        <v>112</v>
      </c>
      <c r="B32" s="300" t="s">
        <v>140</v>
      </c>
      <c r="C32" s="298"/>
      <c r="D32" s="248">
        <v>1800</v>
      </c>
      <c r="E32" s="248">
        <v>1800</v>
      </c>
      <c r="F32" s="248">
        <v>0</v>
      </c>
      <c r="G32" s="248">
        <f t="shared" si="1"/>
        <v>0</v>
      </c>
    </row>
    <row r="33" spans="1:12" s="230" customFormat="1" ht="15" hidden="1" outlineLevel="1" x14ac:dyDescent="0.2">
      <c r="A33" s="90"/>
      <c r="B33" s="301"/>
      <c r="C33" s="376" t="s">
        <v>246</v>
      </c>
      <c r="D33" s="377"/>
      <c r="E33" s="377"/>
      <c r="F33" s="377"/>
      <c r="G33" s="82">
        <f>E32-(E32*15%)</f>
        <v>1530</v>
      </c>
    </row>
    <row r="34" spans="1:12" s="92" customFormat="1" ht="19.5" customHeight="1" collapsed="1" thickBot="1" x14ac:dyDescent="0.3">
      <c r="A34" s="373"/>
      <c r="B34" s="374"/>
      <c r="C34" s="374"/>
      <c r="D34" s="375"/>
      <c r="E34" s="375"/>
      <c r="F34" s="375"/>
      <c r="G34" s="91"/>
      <c r="H34" s="91"/>
      <c r="I34" s="91"/>
    </row>
    <row r="35" spans="1:12" s="59" customFormat="1" ht="15.75" thickBot="1" x14ac:dyDescent="0.3">
      <c r="A35" s="387" t="s">
        <v>427</v>
      </c>
      <c r="B35" s="388"/>
      <c r="C35" s="388"/>
      <c r="D35" s="63">
        <v>20575.55</v>
      </c>
      <c r="E35" s="58"/>
      <c r="F35" s="58"/>
      <c r="G35" s="58"/>
      <c r="H35" s="54"/>
      <c r="I35" s="54"/>
    </row>
    <row r="36" spans="1:12" s="59" customFormat="1" ht="6" customHeight="1" thickBot="1" x14ac:dyDescent="0.3">
      <c r="A36" s="60"/>
      <c r="B36" s="60"/>
      <c r="C36" s="60"/>
      <c r="D36" s="38"/>
      <c r="E36" s="58"/>
      <c r="F36" s="58"/>
      <c r="G36" s="58"/>
      <c r="H36" s="54"/>
      <c r="I36" s="54"/>
    </row>
    <row r="37" spans="1:12" s="59" customFormat="1" ht="15.75" thickBot="1" x14ac:dyDescent="0.3">
      <c r="A37" s="55" t="s">
        <v>428</v>
      </c>
      <c r="B37" s="56"/>
      <c r="C37" s="56"/>
      <c r="D37" s="61"/>
      <c r="E37" s="62"/>
      <c r="F37" s="62"/>
      <c r="G37" s="246">
        <f>G14+E25-F25</f>
        <v>22013.301799999997</v>
      </c>
      <c r="H37" s="54"/>
      <c r="I37" s="54"/>
    </row>
    <row r="38" spans="1:12" ht="31.5" customHeight="1" x14ac:dyDescent="0.25">
      <c r="A38" s="571" t="s">
        <v>106</v>
      </c>
      <c r="B38" s="572"/>
      <c r="C38" s="572"/>
      <c r="D38" s="572"/>
      <c r="E38" s="572"/>
      <c r="F38" s="572"/>
      <c r="G38" s="572"/>
      <c r="H38" s="50"/>
      <c r="I38" s="50"/>
      <c r="J38" s="50"/>
      <c r="K38" s="50"/>
    </row>
    <row r="40" spans="1:12" s="66" customFormat="1" ht="37.5" customHeight="1" x14ac:dyDescent="0.2">
      <c r="A40" s="94" t="s">
        <v>11</v>
      </c>
      <c r="B40" s="416" t="s">
        <v>45</v>
      </c>
      <c r="C40" s="425"/>
      <c r="D40" s="94" t="s">
        <v>99</v>
      </c>
      <c r="E40" s="94" t="s">
        <v>98</v>
      </c>
      <c r="F40" s="416" t="s">
        <v>46</v>
      </c>
      <c r="G40" s="425"/>
      <c r="H40" s="207"/>
      <c r="I40" s="208"/>
      <c r="L40" s="97"/>
    </row>
    <row r="41" spans="1:12" s="103" customFormat="1" ht="15" customHeight="1" x14ac:dyDescent="0.25">
      <c r="A41" s="98" t="s">
        <v>47</v>
      </c>
      <c r="B41" s="418" t="s">
        <v>75</v>
      </c>
      <c r="C41" s="430"/>
      <c r="D41" s="99"/>
      <c r="E41" s="99"/>
      <c r="F41" s="436">
        <f>SUM(F42:G44)</f>
        <v>125.7694</v>
      </c>
      <c r="G41" s="424"/>
      <c r="H41" s="209"/>
      <c r="I41" s="210"/>
      <c r="L41" s="104"/>
    </row>
    <row r="42" spans="1:12" ht="15" x14ac:dyDescent="0.25">
      <c r="A42" s="34" t="s">
        <v>16</v>
      </c>
      <c r="B42" s="412"/>
      <c r="C42" s="413"/>
      <c r="D42" s="260"/>
      <c r="E42" s="260"/>
      <c r="F42" s="463"/>
      <c r="G42" s="463"/>
      <c r="H42" s="211"/>
      <c r="I42" s="212"/>
      <c r="L42" s="106"/>
    </row>
    <row r="43" spans="1:12" ht="15" x14ac:dyDescent="0.25">
      <c r="A43" s="34" t="s">
        <v>20</v>
      </c>
      <c r="B43" s="412"/>
      <c r="C43" s="413"/>
      <c r="D43" s="260"/>
      <c r="E43" s="260"/>
      <c r="F43" s="463"/>
      <c r="G43" s="463"/>
      <c r="H43" s="38"/>
      <c r="I43" s="38"/>
      <c r="L43" s="106"/>
    </row>
    <row r="44" spans="1:12" s="59" customFormat="1" ht="15" x14ac:dyDescent="0.25">
      <c r="A44" s="34" t="s">
        <v>22</v>
      </c>
      <c r="B44" s="458" t="s">
        <v>108</v>
      </c>
      <c r="C44" s="459"/>
      <c r="D44" s="108"/>
      <c r="E44" s="108"/>
      <c r="F44" s="435">
        <f>E25*1%</f>
        <v>125.7694</v>
      </c>
      <c r="G44" s="435"/>
      <c r="H44" s="51"/>
      <c r="I44" s="51"/>
      <c r="J44" s="51"/>
      <c r="K44" s="51"/>
    </row>
    <row r="45" spans="1:12" s="51" customFormat="1" ht="9" customHeight="1" x14ac:dyDescent="0.2"/>
    <row r="46" spans="1:12" s="51" customFormat="1" ht="15" x14ac:dyDescent="0.25">
      <c r="A46" s="51" t="s">
        <v>372</v>
      </c>
      <c r="B46" s="59"/>
      <c r="C46" s="110" t="s">
        <v>49</v>
      </c>
      <c r="D46" s="59"/>
      <c r="E46" s="59"/>
      <c r="F46" s="59" t="s">
        <v>60</v>
      </c>
      <c r="G46" s="59"/>
      <c r="H46" s="59"/>
      <c r="I46" s="59"/>
      <c r="J46" s="59"/>
      <c r="K46" s="59"/>
    </row>
    <row r="47" spans="1:12" s="51" customFormat="1" ht="15" x14ac:dyDescent="0.25">
      <c r="A47" s="59"/>
      <c r="B47" s="59"/>
      <c r="C47" s="110"/>
      <c r="D47" s="59"/>
      <c r="E47" s="59"/>
      <c r="F47" s="111" t="s">
        <v>438</v>
      </c>
      <c r="G47" s="59"/>
    </row>
    <row r="48" spans="1:12" s="51" customFormat="1" ht="15" x14ac:dyDescent="0.25">
      <c r="A48" s="59" t="s">
        <v>50</v>
      </c>
      <c r="B48" s="59"/>
      <c r="C48" s="110"/>
      <c r="D48" s="59"/>
      <c r="E48" s="59"/>
      <c r="F48" s="59"/>
      <c r="G48" s="59"/>
      <c r="H48" s="141"/>
      <c r="I48" s="141"/>
      <c r="J48" s="141"/>
    </row>
    <row r="49" spans="1:11" ht="15" x14ac:dyDescent="0.25">
      <c r="A49" s="59"/>
      <c r="B49" s="59"/>
      <c r="C49" s="112" t="s">
        <v>51</v>
      </c>
      <c r="D49" s="59"/>
      <c r="E49" s="113"/>
      <c r="F49" s="113"/>
      <c r="G49" s="113"/>
      <c r="H49" s="51"/>
      <c r="I49" s="51"/>
      <c r="J49" s="51"/>
      <c r="K49" s="51"/>
    </row>
    <row r="50" spans="1:11" x14ac:dyDescent="0.2">
      <c r="A50" s="51"/>
      <c r="B50" s="51"/>
      <c r="C50" s="51"/>
      <c r="D50" s="51"/>
      <c r="E50" s="51"/>
      <c r="F50" s="51"/>
      <c r="G50" s="51"/>
      <c r="H50" s="51"/>
      <c r="I50" s="51"/>
      <c r="J50" s="51"/>
      <c r="K50" s="51"/>
    </row>
  </sheetData>
  <mergeCells count="21">
    <mergeCell ref="A1:K1"/>
    <mergeCell ref="A2:L2"/>
    <mergeCell ref="A5:K5"/>
    <mergeCell ref="A10:K10"/>
    <mergeCell ref="A11:K11"/>
    <mergeCell ref="A3:L3"/>
    <mergeCell ref="A12:K12"/>
    <mergeCell ref="C33:F33"/>
    <mergeCell ref="A34:F34"/>
    <mergeCell ref="A35:C35"/>
    <mergeCell ref="A38:G38"/>
    <mergeCell ref="B40:C40"/>
    <mergeCell ref="F40:G40"/>
    <mergeCell ref="B44:C44"/>
    <mergeCell ref="F44:G44"/>
    <mergeCell ref="B41:C41"/>
    <mergeCell ref="F41:G41"/>
    <mergeCell ref="B42:C42"/>
    <mergeCell ref="F42:G42"/>
    <mergeCell ref="B43:C43"/>
    <mergeCell ref="F43:G4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54142E-CA67-4376-9E70-BF4179472C07}">
  <sheetPr>
    <tabColor rgb="FF7030A0"/>
  </sheetPr>
  <dimension ref="A1:N52"/>
  <sheetViews>
    <sheetView topLeftCell="B31" workbookViewId="0">
      <selection activeCell="B54" sqref="A54:IV55"/>
    </sheetView>
  </sheetViews>
  <sheetFormatPr defaultRowHeight="12.75" outlineLevelRow="1" outlineLevelCol="1" x14ac:dyDescent="0.2"/>
  <cols>
    <col min="1" max="1" width="6" style="49" customWidth="1"/>
    <col min="2" max="2" width="48.140625" style="49" customWidth="1"/>
    <col min="3" max="3" width="14" style="49" customWidth="1"/>
    <col min="4" max="4" width="14.85546875" style="49" customWidth="1"/>
    <col min="5" max="6" width="13.28515625" style="49" customWidth="1"/>
    <col min="7" max="7" width="14.5703125" style="49" customWidth="1"/>
    <col min="8" max="9" width="11.5703125" style="49" hidden="1" customWidth="1" outlineLevel="1"/>
    <col min="10" max="10" width="10.140625" style="49" hidden="1" customWidth="1" outlineLevel="1"/>
    <col min="11" max="11" width="10.42578125" style="49" customWidth="1" collapsed="1"/>
    <col min="12" max="12" width="9.140625" style="49"/>
    <col min="13" max="13" width="10" style="49" bestFit="1" customWidth="1"/>
    <col min="14" max="14" width="15.85546875" style="49" customWidth="1"/>
    <col min="15" max="16384" width="9.140625" style="49"/>
  </cols>
  <sheetData>
    <row r="1" spans="1:12" x14ac:dyDescent="0.2">
      <c r="A1" s="370" t="s">
        <v>0</v>
      </c>
      <c r="B1" s="370"/>
      <c r="C1" s="370"/>
      <c r="D1" s="370"/>
      <c r="E1" s="370"/>
      <c r="F1" s="370"/>
      <c r="G1" s="370"/>
      <c r="H1" s="370"/>
      <c r="I1" s="370"/>
      <c r="J1" s="370"/>
      <c r="K1" s="370"/>
    </row>
    <row r="2" spans="1:12" ht="12.75" customHeight="1" x14ac:dyDescent="0.2">
      <c r="A2" s="370" t="s">
        <v>152</v>
      </c>
      <c r="B2" s="370"/>
      <c r="C2" s="370"/>
      <c r="D2" s="370"/>
      <c r="E2" s="370"/>
      <c r="F2" s="370"/>
      <c r="G2" s="370"/>
      <c r="H2" s="370"/>
      <c r="I2" s="370"/>
      <c r="J2" s="370"/>
      <c r="K2" s="370"/>
      <c r="L2" s="370"/>
    </row>
    <row r="3" spans="1:12" ht="13.5" customHeight="1" x14ac:dyDescent="0.2">
      <c r="A3" s="370" t="s">
        <v>426</v>
      </c>
      <c r="B3" s="370"/>
      <c r="C3" s="370"/>
      <c r="D3" s="370"/>
      <c r="E3" s="370"/>
      <c r="F3" s="370"/>
      <c r="G3" s="370"/>
      <c r="H3" s="370"/>
      <c r="I3" s="370"/>
      <c r="J3" s="370"/>
      <c r="K3" s="370"/>
      <c r="L3" s="370"/>
    </row>
    <row r="4" spans="1:12" ht="9" customHeight="1" x14ac:dyDescent="0.2">
      <c r="A4" s="48"/>
      <c r="B4" s="48"/>
      <c r="C4" s="48"/>
      <c r="D4" s="48"/>
      <c r="E4" s="48"/>
      <c r="F4" s="48"/>
      <c r="G4" s="48"/>
      <c r="H4" s="48"/>
      <c r="I4" s="48"/>
      <c r="J4" s="48"/>
      <c r="K4" s="48"/>
    </row>
    <row r="5" spans="1:12" ht="16.5" customHeight="1" x14ac:dyDescent="0.2">
      <c r="A5" s="371" t="s">
        <v>1</v>
      </c>
      <c r="B5" s="370"/>
      <c r="C5" s="370"/>
      <c r="D5" s="370"/>
      <c r="E5" s="370"/>
      <c r="F5" s="370"/>
      <c r="G5" s="370"/>
      <c r="H5" s="370"/>
      <c r="I5" s="370"/>
      <c r="J5" s="370"/>
      <c r="K5" s="370"/>
    </row>
    <row r="7" spans="1:12" s="51" customFormat="1" ht="16.5" customHeight="1" x14ac:dyDescent="0.2">
      <c r="A7" s="51" t="s">
        <v>2</v>
      </c>
      <c r="F7" s="52" t="s">
        <v>406</v>
      </c>
      <c r="H7" s="52"/>
    </row>
    <row r="8" spans="1:12" s="51" customFormat="1" x14ac:dyDescent="0.2">
      <c r="A8" s="51" t="s">
        <v>3</v>
      </c>
      <c r="F8" s="242" t="s">
        <v>407</v>
      </c>
      <c r="H8" s="245">
        <v>0</v>
      </c>
      <c r="I8" s="214">
        <v>3497.8</v>
      </c>
      <c r="J8" s="304">
        <f>H8+I8</f>
        <v>3497.8</v>
      </c>
    </row>
    <row r="9" spans="1:12" s="51" customFormat="1" x14ac:dyDescent="0.2">
      <c r="F9" s="242"/>
      <c r="H9" s="312"/>
      <c r="I9" s="214"/>
      <c r="J9" s="304"/>
    </row>
    <row r="10" spans="1:12" s="51" customFormat="1" x14ac:dyDescent="0.2">
      <c r="A10" s="372" t="s">
        <v>8</v>
      </c>
      <c r="B10" s="372"/>
      <c r="C10" s="372"/>
      <c r="D10" s="372"/>
      <c r="E10" s="372"/>
      <c r="F10" s="372"/>
      <c r="G10" s="372"/>
      <c r="H10" s="372"/>
      <c r="I10" s="372"/>
      <c r="J10" s="372"/>
      <c r="K10" s="372"/>
    </row>
    <row r="11" spans="1:12" s="51" customFormat="1" x14ac:dyDescent="0.2">
      <c r="A11" s="372" t="s">
        <v>9</v>
      </c>
      <c r="B11" s="372"/>
      <c r="C11" s="372"/>
      <c r="D11" s="372"/>
      <c r="E11" s="372"/>
      <c r="F11" s="372"/>
      <c r="G11" s="372"/>
      <c r="H11" s="372"/>
      <c r="I11" s="372"/>
      <c r="J11" s="372"/>
      <c r="K11" s="372"/>
    </row>
    <row r="12" spans="1:12" s="51" customFormat="1" x14ac:dyDescent="0.2">
      <c r="A12" s="372" t="s">
        <v>10</v>
      </c>
      <c r="B12" s="372"/>
      <c r="C12" s="372"/>
      <c r="D12" s="372"/>
      <c r="E12" s="372"/>
      <c r="F12" s="372"/>
      <c r="G12" s="372"/>
      <c r="H12" s="372"/>
      <c r="I12" s="372"/>
      <c r="J12" s="372"/>
      <c r="K12" s="372"/>
    </row>
    <row r="13" spans="1:12" s="51" customFormat="1" ht="13.5" thickBot="1" x14ac:dyDescent="0.25">
      <c r="A13" s="54"/>
      <c r="B13" s="54"/>
      <c r="C13" s="54"/>
      <c r="D13" s="54"/>
      <c r="E13" s="54"/>
      <c r="F13" s="54"/>
      <c r="G13" s="54"/>
      <c r="H13" s="54"/>
      <c r="I13" s="54"/>
      <c r="J13" s="54"/>
      <c r="K13" s="54"/>
    </row>
    <row r="14" spans="1:12" s="59" customFormat="1" ht="15.75" thickBot="1" x14ac:dyDescent="0.3">
      <c r="A14" s="55" t="s">
        <v>580</v>
      </c>
      <c r="B14" s="56"/>
      <c r="C14" s="56"/>
      <c r="D14" s="61"/>
      <c r="E14" s="62"/>
      <c r="F14" s="62"/>
      <c r="G14" s="232">
        <f>'[1] М.Жукова 46'!$G$37</f>
        <v>-243354.35739999998</v>
      </c>
      <c r="H14" s="54"/>
      <c r="I14" s="54"/>
    </row>
    <row r="15" spans="1:12" s="51" customFormat="1" ht="6.75" customHeight="1" x14ac:dyDescent="0.2"/>
    <row r="16" spans="1:12" s="66" customFormat="1" ht="38.25" x14ac:dyDescent="0.25">
      <c r="A16" s="64" t="s">
        <v>11</v>
      </c>
      <c r="B16" s="64" t="s">
        <v>12</v>
      </c>
      <c r="C16" s="64" t="s">
        <v>61</v>
      </c>
      <c r="D16" s="64" t="s">
        <v>432</v>
      </c>
      <c r="E16" s="64" t="s">
        <v>433</v>
      </c>
      <c r="F16" s="65" t="s">
        <v>434</v>
      </c>
      <c r="G16" s="64" t="s">
        <v>435</v>
      </c>
    </row>
    <row r="17" spans="1:14" s="51" customFormat="1" ht="14.25" x14ac:dyDescent="0.2">
      <c r="A17" s="67" t="s">
        <v>14</v>
      </c>
      <c r="B17" s="39" t="s">
        <v>379</v>
      </c>
      <c r="C17" s="87">
        <v>23.01</v>
      </c>
      <c r="D17" s="68">
        <v>956831.75</v>
      </c>
      <c r="E17" s="68">
        <v>953045.04</v>
      </c>
      <c r="F17" s="68">
        <f t="shared" ref="F17:F23" si="0">D17</f>
        <v>956831.75</v>
      </c>
      <c r="G17" s="69">
        <f>D17-E17</f>
        <v>3786.7099999999627</v>
      </c>
      <c r="H17" s="70">
        <f>C17</f>
        <v>23.01</v>
      </c>
      <c r="I17" s="71"/>
      <c r="J17" s="71"/>
      <c r="K17" s="71"/>
      <c r="M17" s="70"/>
      <c r="N17" s="72"/>
    </row>
    <row r="18" spans="1:14" s="51" customFormat="1" ht="15" hidden="1" outlineLevel="1" x14ac:dyDescent="0.25">
      <c r="A18" s="73" t="s">
        <v>16</v>
      </c>
      <c r="B18" s="34" t="s">
        <v>17</v>
      </c>
      <c r="C18" s="74">
        <v>3.46</v>
      </c>
      <c r="D18" s="75">
        <f>D17*I18</f>
        <v>143878.22055627988</v>
      </c>
      <c r="E18" s="75">
        <f>E17*I18</f>
        <v>143308.81522816166</v>
      </c>
      <c r="F18" s="75">
        <f t="shared" si="0"/>
        <v>143878.22055627988</v>
      </c>
      <c r="G18" s="76">
        <f>D18-E18</f>
        <v>569.40532811821322</v>
      </c>
      <c r="H18" s="70">
        <f>C18</f>
        <v>3.46</v>
      </c>
      <c r="I18" s="51">
        <f>H18/H17</f>
        <v>0.15036940460669274</v>
      </c>
    </row>
    <row r="19" spans="1:14" s="51" customFormat="1" ht="15" hidden="1" outlineLevel="1" x14ac:dyDescent="0.25">
      <c r="A19" s="73" t="s">
        <v>18</v>
      </c>
      <c r="B19" s="34" t="s">
        <v>19</v>
      </c>
      <c r="C19" s="74">
        <v>1.69</v>
      </c>
      <c r="D19" s="75">
        <f>D17*I19</f>
        <v>70275.778248587565</v>
      </c>
      <c r="E19" s="75">
        <f>E17*I19</f>
        <v>69997.65830508474</v>
      </c>
      <c r="F19" s="75">
        <f t="shared" si="0"/>
        <v>70275.778248587565</v>
      </c>
      <c r="G19" s="76">
        <f>D19-E19</f>
        <v>278.11994350282475</v>
      </c>
      <c r="H19" s="70">
        <f>C19</f>
        <v>1.69</v>
      </c>
      <c r="I19" s="51">
        <f>H19/H17</f>
        <v>7.3446327683615809E-2</v>
      </c>
    </row>
    <row r="20" spans="1:14" s="51" customFormat="1" ht="15" hidden="1" outlineLevel="1" x14ac:dyDescent="0.25">
      <c r="A20" s="73" t="s">
        <v>20</v>
      </c>
      <c r="B20" s="34" t="s">
        <v>21</v>
      </c>
      <c r="C20" s="74">
        <v>2.15</v>
      </c>
      <c r="D20" s="75">
        <f>D17*I20</f>
        <v>89404.096588439803</v>
      </c>
      <c r="E20" s="75">
        <f>E17*I20</f>
        <v>89050.275358539759</v>
      </c>
      <c r="F20" s="75">
        <f t="shared" si="0"/>
        <v>89404.096588439803</v>
      </c>
      <c r="G20" s="76">
        <f>D20-E20</f>
        <v>353.82122990004427</v>
      </c>
      <c r="H20" s="70">
        <f>C20</f>
        <v>2.15</v>
      </c>
      <c r="I20" s="51">
        <f>H20/H17</f>
        <v>9.3437635810517158E-2</v>
      </c>
    </row>
    <row r="21" spans="1:14" s="51" customFormat="1" ht="15" hidden="1" outlineLevel="1" x14ac:dyDescent="0.25">
      <c r="A21" s="73" t="s">
        <v>22</v>
      </c>
      <c r="B21" s="34" t="s">
        <v>23</v>
      </c>
      <c r="C21" s="74">
        <v>3.04</v>
      </c>
      <c r="D21" s="75">
        <f>D17*I21</f>
        <v>126413.23424598</v>
      </c>
      <c r="E21" s="75">
        <f>E17*I21</f>
        <v>125912.94748370272</v>
      </c>
      <c r="F21" s="75">
        <f t="shared" si="0"/>
        <v>126413.23424598</v>
      </c>
      <c r="G21" s="76">
        <f>D21-E21</f>
        <v>500.28676227727556</v>
      </c>
      <c r="H21" s="70">
        <f>C21</f>
        <v>3.04</v>
      </c>
      <c r="I21" s="51">
        <f>H21/H17</f>
        <v>0.13211647109952193</v>
      </c>
    </row>
    <row r="22" spans="1:14" s="81" customFormat="1" ht="14.25" collapsed="1" x14ac:dyDescent="0.2">
      <c r="A22" s="78" t="s">
        <v>25</v>
      </c>
      <c r="B22" s="78" t="s">
        <v>118</v>
      </c>
      <c r="C22" s="43">
        <v>0</v>
      </c>
      <c r="D22" s="79">
        <v>0</v>
      </c>
      <c r="E22" s="79">
        <v>0</v>
      </c>
      <c r="F22" s="79">
        <f>D22</f>
        <v>0</v>
      </c>
      <c r="G22" s="69">
        <f t="shared" ref="G22:G32" si="1">D22-E22</f>
        <v>0</v>
      </c>
      <c r="H22" s="80"/>
      <c r="I22" s="80"/>
      <c r="J22" s="80"/>
      <c r="K22" s="80"/>
    </row>
    <row r="23" spans="1:14" s="81" customFormat="1" ht="14.25" x14ac:dyDescent="0.2">
      <c r="A23" s="78" t="s">
        <v>27</v>
      </c>
      <c r="B23" s="78" t="s">
        <v>138</v>
      </c>
      <c r="C23" s="43">
        <v>0</v>
      </c>
      <c r="D23" s="79">
        <v>0</v>
      </c>
      <c r="E23" s="79">
        <v>0</v>
      </c>
      <c r="F23" s="79">
        <f t="shared" si="0"/>
        <v>0</v>
      </c>
      <c r="G23" s="69">
        <f t="shared" si="1"/>
        <v>0</v>
      </c>
      <c r="H23" s="80"/>
      <c r="I23" s="80"/>
      <c r="J23" s="80"/>
      <c r="K23" s="80"/>
    </row>
    <row r="24" spans="1:14" s="81" customFormat="1" ht="14.25" x14ac:dyDescent="0.2">
      <c r="A24" s="78" t="s">
        <v>29</v>
      </c>
      <c r="B24" s="78" t="s">
        <v>26</v>
      </c>
      <c r="C24" s="43">
        <v>0</v>
      </c>
      <c r="D24" s="79">
        <v>0</v>
      </c>
      <c r="E24" s="79">
        <v>0</v>
      </c>
      <c r="F24" s="79">
        <f>D24</f>
        <v>0</v>
      </c>
      <c r="G24" s="69">
        <f t="shared" si="1"/>
        <v>0</v>
      </c>
      <c r="H24" s="80"/>
      <c r="I24" s="80"/>
      <c r="J24" s="80"/>
      <c r="K24" s="80"/>
    </row>
    <row r="25" spans="1:14" s="81" customFormat="1" ht="14.25" x14ac:dyDescent="0.2">
      <c r="A25" s="78" t="s">
        <v>31</v>
      </c>
      <c r="B25" s="78" t="s">
        <v>80</v>
      </c>
      <c r="C25" s="86">
        <v>2.2799999999999998</v>
      </c>
      <c r="D25" s="79">
        <v>95405.88</v>
      </c>
      <c r="E25" s="79">
        <v>94433.83</v>
      </c>
      <c r="F25" s="79">
        <f>F41</f>
        <v>16684.528300000002</v>
      </c>
      <c r="G25" s="69">
        <f t="shared" si="1"/>
        <v>972.05000000000291</v>
      </c>
      <c r="H25" s="80"/>
      <c r="I25" s="80"/>
      <c r="J25" s="80"/>
      <c r="K25" s="80"/>
    </row>
    <row r="26" spans="1:14" ht="14.25" x14ac:dyDescent="0.2">
      <c r="A26" s="39" t="s">
        <v>33</v>
      </c>
      <c r="B26" s="39" t="s">
        <v>97</v>
      </c>
      <c r="C26" s="46">
        <v>0</v>
      </c>
      <c r="D26" s="69">
        <v>0</v>
      </c>
      <c r="E26" s="69">
        <v>0</v>
      </c>
      <c r="F26" s="79">
        <f>D26</f>
        <v>0</v>
      </c>
      <c r="G26" s="69">
        <f t="shared" si="1"/>
        <v>0</v>
      </c>
      <c r="H26" s="88"/>
      <c r="I26" s="88"/>
      <c r="J26" s="88"/>
      <c r="K26" s="88"/>
    </row>
    <row r="27" spans="1:14" ht="14.25" x14ac:dyDescent="0.2">
      <c r="A27" s="39" t="s">
        <v>35</v>
      </c>
      <c r="B27" s="39" t="s">
        <v>36</v>
      </c>
      <c r="C27" s="87"/>
      <c r="D27" s="69">
        <f>SUM(D28:D31)</f>
        <v>63159.55</v>
      </c>
      <c r="E27" s="69">
        <f>SUM(E28:E31)</f>
        <v>60809.99</v>
      </c>
      <c r="F27" s="69">
        <f>SUM(F28:F31)</f>
        <v>63159.55</v>
      </c>
      <c r="G27" s="69">
        <f t="shared" si="1"/>
        <v>2349.5600000000049</v>
      </c>
      <c r="H27" s="88"/>
      <c r="I27" s="88"/>
      <c r="J27" s="88"/>
      <c r="K27" s="88"/>
    </row>
    <row r="28" spans="1:14" ht="15" x14ac:dyDescent="0.25">
      <c r="A28" s="34" t="s">
        <v>37</v>
      </c>
      <c r="B28" s="34" t="s">
        <v>101</v>
      </c>
      <c r="C28" s="89">
        <v>7.36</v>
      </c>
      <c r="D28" s="76">
        <v>54340.79</v>
      </c>
      <c r="E28" s="76">
        <v>52120.28</v>
      </c>
      <c r="F28" s="76">
        <f>D28</f>
        <v>54340.79</v>
      </c>
      <c r="G28" s="76">
        <f t="shared" si="1"/>
        <v>2220.510000000002</v>
      </c>
    </row>
    <row r="29" spans="1:14" ht="15" x14ac:dyDescent="0.25">
      <c r="A29" s="34" t="s">
        <v>39</v>
      </c>
      <c r="B29" s="34" t="s">
        <v>84</v>
      </c>
      <c r="C29" s="89">
        <v>88.38</v>
      </c>
      <c r="D29" s="76">
        <v>8818.76</v>
      </c>
      <c r="E29" s="76">
        <v>8689.7099999999991</v>
      </c>
      <c r="F29" s="76">
        <f>D29</f>
        <v>8818.76</v>
      </c>
      <c r="G29" s="76">
        <f t="shared" si="1"/>
        <v>129.05000000000109</v>
      </c>
    </row>
    <row r="30" spans="1:14" ht="15" x14ac:dyDescent="0.25">
      <c r="A30" s="34" t="s">
        <v>42</v>
      </c>
      <c r="B30" s="45" t="s">
        <v>135</v>
      </c>
      <c r="C30" s="128">
        <v>0</v>
      </c>
      <c r="D30" s="76">
        <v>0</v>
      </c>
      <c r="E30" s="76">
        <v>0</v>
      </c>
      <c r="F30" s="76">
        <f>D30</f>
        <v>0</v>
      </c>
      <c r="G30" s="76">
        <f t="shared" si="1"/>
        <v>0</v>
      </c>
    </row>
    <row r="31" spans="1:14" s="230" customFormat="1" ht="15" x14ac:dyDescent="0.25">
      <c r="A31" s="228" t="s">
        <v>41</v>
      </c>
      <c r="B31" s="228" t="s">
        <v>43</v>
      </c>
      <c r="C31" s="89">
        <v>0</v>
      </c>
      <c r="D31" s="188">
        <v>0</v>
      </c>
      <c r="E31" s="188">
        <v>0</v>
      </c>
      <c r="F31" s="188">
        <f>D31</f>
        <v>0</v>
      </c>
      <c r="G31" s="76">
        <f t="shared" si="1"/>
        <v>0</v>
      </c>
    </row>
    <row r="32" spans="1:14" s="230" customFormat="1" ht="14.25" hidden="1" outlineLevel="1" x14ac:dyDescent="0.2">
      <c r="A32" s="39" t="s">
        <v>112</v>
      </c>
      <c r="B32" s="300" t="s">
        <v>140</v>
      </c>
      <c r="C32" s="298"/>
      <c r="D32" s="248">
        <v>1800</v>
      </c>
      <c r="E32" s="248">
        <v>1800</v>
      </c>
      <c r="F32" s="248">
        <v>0</v>
      </c>
      <c r="G32" s="248">
        <f t="shared" si="1"/>
        <v>0</v>
      </c>
    </row>
    <row r="33" spans="1:12" s="230" customFormat="1" ht="15" hidden="1" outlineLevel="1" x14ac:dyDescent="0.2">
      <c r="A33" s="90"/>
      <c r="B33" s="301"/>
      <c r="C33" s="376" t="s">
        <v>246</v>
      </c>
      <c r="D33" s="377"/>
      <c r="E33" s="377"/>
      <c r="F33" s="377"/>
      <c r="G33" s="82">
        <f>E32-(E32*15%)</f>
        <v>1530</v>
      </c>
    </row>
    <row r="34" spans="1:12" s="92" customFormat="1" ht="19.5" customHeight="1" collapsed="1" thickBot="1" x14ac:dyDescent="0.3">
      <c r="A34" s="373"/>
      <c r="B34" s="374"/>
      <c r="C34" s="374"/>
      <c r="D34" s="375"/>
      <c r="E34" s="375"/>
      <c r="F34" s="375"/>
      <c r="G34" s="91"/>
      <c r="H34" s="91"/>
      <c r="I34" s="91"/>
    </row>
    <row r="35" spans="1:12" s="59" customFormat="1" ht="15.75" thickBot="1" x14ac:dyDescent="0.3">
      <c r="A35" s="387" t="s">
        <v>427</v>
      </c>
      <c r="B35" s="388"/>
      <c r="C35" s="388"/>
      <c r="D35" s="63">
        <v>7108.32</v>
      </c>
      <c r="E35" s="58"/>
      <c r="F35" s="58"/>
      <c r="G35" s="58"/>
      <c r="H35" s="54"/>
      <c r="I35" s="54"/>
    </row>
    <row r="36" spans="1:12" s="59" customFormat="1" ht="6" customHeight="1" thickBot="1" x14ac:dyDescent="0.3">
      <c r="A36" s="60"/>
      <c r="B36" s="60"/>
      <c r="C36" s="60"/>
      <c r="D36" s="38"/>
      <c r="E36" s="58"/>
      <c r="F36" s="58"/>
      <c r="G36" s="58"/>
      <c r="H36" s="54"/>
      <c r="I36" s="54"/>
    </row>
    <row r="37" spans="1:12" s="59" customFormat="1" ht="15.75" thickBot="1" x14ac:dyDescent="0.3">
      <c r="A37" s="55" t="s">
        <v>428</v>
      </c>
      <c r="B37" s="56"/>
      <c r="C37" s="56"/>
      <c r="D37" s="61"/>
      <c r="E37" s="62"/>
      <c r="F37" s="62"/>
      <c r="G37" s="246">
        <f>G14+E25-F25</f>
        <v>-165605.05569999997</v>
      </c>
      <c r="H37" s="54"/>
      <c r="I37" s="54"/>
    </row>
    <row r="38" spans="1:12" ht="31.5" customHeight="1" x14ac:dyDescent="0.25">
      <c r="A38" s="571" t="s">
        <v>106</v>
      </c>
      <c r="B38" s="572"/>
      <c r="C38" s="572"/>
      <c r="D38" s="572"/>
      <c r="E38" s="572"/>
      <c r="F38" s="572"/>
      <c r="G38" s="572"/>
      <c r="H38" s="50"/>
      <c r="I38" s="50"/>
      <c r="J38" s="50"/>
      <c r="K38" s="50"/>
    </row>
    <row r="40" spans="1:12" s="66" customFormat="1" ht="37.5" customHeight="1" x14ac:dyDescent="0.2">
      <c r="A40" s="94" t="s">
        <v>11</v>
      </c>
      <c r="B40" s="416" t="s">
        <v>45</v>
      </c>
      <c r="C40" s="425"/>
      <c r="D40" s="94" t="s">
        <v>99</v>
      </c>
      <c r="E40" s="94" t="s">
        <v>98</v>
      </c>
      <c r="F40" s="416" t="s">
        <v>46</v>
      </c>
      <c r="G40" s="425"/>
      <c r="H40" s="207"/>
      <c r="I40" s="208"/>
      <c r="L40" s="97"/>
    </row>
    <row r="41" spans="1:12" s="103" customFormat="1" ht="15" customHeight="1" x14ac:dyDescent="0.25">
      <c r="A41" s="98" t="s">
        <v>47</v>
      </c>
      <c r="B41" s="418" t="s">
        <v>75</v>
      </c>
      <c r="C41" s="430"/>
      <c r="D41" s="99"/>
      <c r="E41" s="99"/>
      <c r="F41" s="436">
        <f>SUM(F42:G46)</f>
        <v>16684.528300000002</v>
      </c>
      <c r="G41" s="424"/>
      <c r="H41" s="209"/>
      <c r="I41" s="210"/>
      <c r="L41" s="104"/>
    </row>
    <row r="42" spans="1:12" ht="15" x14ac:dyDescent="0.25">
      <c r="A42" s="34" t="s">
        <v>16</v>
      </c>
      <c r="B42" s="406" t="s">
        <v>614</v>
      </c>
      <c r="C42" s="407"/>
      <c r="D42" s="176" t="s">
        <v>100</v>
      </c>
      <c r="E42" s="176">
        <v>1</v>
      </c>
      <c r="F42" s="435">
        <v>3000</v>
      </c>
      <c r="G42" s="435"/>
      <c r="H42" s="211"/>
      <c r="I42" s="212"/>
      <c r="L42" s="106"/>
    </row>
    <row r="43" spans="1:12" ht="15" x14ac:dyDescent="0.25">
      <c r="A43" s="34" t="s">
        <v>18</v>
      </c>
      <c r="B43" s="406" t="s">
        <v>615</v>
      </c>
      <c r="C43" s="407"/>
      <c r="D43" s="176" t="s">
        <v>100</v>
      </c>
      <c r="E43" s="176">
        <v>13</v>
      </c>
      <c r="F43" s="435">
        <v>12740.19</v>
      </c>
      <c r="G43" s="435"/>
      <c r="H43" s="38"/>
      <c r="I43" s="38"/>
      <c r="L43" s="106"/>
    </row>
    <row r="44" spans="1:12" ht="15" x14ac:dyDescent="0.25">
      <c r="A44" s="34" t="s">
        <v>20</v>
      </c>
      <c r="B44" s="412"/>
      <c r="C44" s="413"/>
      <c r="D44" s="260"/>
      <c r="E44" s="260"/>
      <c r="F44" s="463"/>
      <c r="G44" s="463"/>
      <c r="H44" s="38"/>
      <c r="I44" s="38"/>
      <c r="L44" s="106"/>
    </row>
    <row r="45" spans="1:12" ht="15" x14ac:dyDescent="0.25">
      <c r="A45" s="34" t="s">
        <v>22</v>
      </c>
      <c r="B45" s="412"/>
      <c r="C45" s="413"/>
      <c r="D45" s="260"/>
      <c r="E45" s="260"/>
      <c r="F45" s="463"/>
      <c r="G45" s="463"/>
      <c r="H45" s="38"/>
      <c r="I45" s="38"/>
      <c r="L45" s="106"/>
    </row>
    <row r="46" spans="1:12" s="59" customFormat="1" ht="15" x14ac:dyDescent="0.25">
      <c r="A46" s="34" t="s">
        <v>24</v>
      </c>
      <c r="B46" s="458" t="s">
        <v>108</v>
      </c>
      <c r="C46" s="459"/>
      <c r="D46" s="108"/>
      <c r="E46" s="108"/>
      <c r="F46" s="435">
        <f>E25*1%</f>
        <v>944.3383</v>
      </c>
      <c r="G46" s="435"/>
      <c r="H46" s="51"/>
      <c r="I46" s="51"/>
      <c r="J46" s="51"/>
      <c r="K46" s="51"/>
    </row>
    <row r="47" spans="1:12" s="51" customFormat="1" ht="9" customHeight="1" x14ac:dyDescent="0.2"/>
    <row r="48" spans="1:12" s="51" customFormat="1" ht="15" x14ac:dyDescent="0.25">
      <c r="A48" s="51" t="s">
        <v>372</v>
      </c>
      <c r="B48" s="59"/>
      <c r="C48" s="110" t="s">
        <v>49</v>
      </c>
      <c r="D48" s="59"/>
      <c r="E48" s="59"/>
      <c r="F48" s="59" t="s">
        <v>60</v>
      </c>
      <c r="G48" s="59"/>
      <c r="H48" s="59"/>
      <c r="I48" s="59"/>
      <c r="J48" s="59"/>
      <c r="K48" s="59"/>
    </row>
    <row r="49" spans="1:11" s="51" customFormat="1" ht="15" x14ac:dyDescent="0.25">
      <c r="A49" s="59"/>
      <c r="B49" s="59"/>
      <c r="C49" s="110"/>
      <c r="D49" s="59"/>
      <c r="E49" s="59"/>
      <c r="F49" s="111" t="s">
        <v>438</v>
      </c>
      <c r="G49" s="59"/>
    </row>
    <row r="50" spans="1:11" s="51" customFormat="1" ht="15" x14ac:dyDescent="0.25">
      <c r="A50" s="59" t="s">
        <v>50</v>
      </c>
      <c r="B50" s="59"/>
      <c r="C50" s="110"/>
      <c r="D50" s="59"/>
      <c r="E50" s="59"/>
      <c r="F50" s="59"/>
      <c r="G50" s="59"/>
      <c r="H50" s="141"/>
      <c r="I50" s="141"/>
      <c r="J50" s="141"/>
    </row>
    <row r="51" spans="1:11" ht="15" x14ac:dyDescent="0.25">
      <c r="A51" s="59"/>
      <c r="B51" s="59"/>
      <c r="C51" s="112" t="s">
        <v>51</v>
      </c>
      <c r="D51" s="59"/>
      <c r="E51" s="113"/>
      <c r="F51" s="113"/>
      <c r="G51" s="113"/>
      <c r="H51" s="51"/>
      <c r="I51" s="51"/>
      <c r="J51" s="51"/>
      <c r="K51" s="51"/>
    </row>
    <row r="52" spans="1:11" x14ac:dyDescent="0.2">
      <c r="A52" s="51"/>
      <c r="B52" s="51"/>
      <c r="C52" s="51"/>
      <c r="D52" s="51"/>
      <c r="E52" s="51"/>
      <c r="F52" s="51"/>
      <c r="G52" s="51"/>
      <c r="H52" s="51"/>
      <c r="I52" s="51"/>
      <c r="J52" s="51"/>
      <c r="K52" s="51"/>
    </row>
  </sheetData>
  <mergeCells count="25">
    <mergeCell ref="A12:K12"/>
    <mergeCell ref="C33:F33"/>
    <mergeCell ref="A1:K1"/>
    <mergeCell ref="A2:L2"/>
    <mergeCell ref="A5:K5"/>
    <mergeCell ref="A10:K10"/>
    <mergeCell ref="A11:K11"/>
    <mergeCell ref="A3:L3"/>
    <mergeCell ref="B46:C46"/>
    <mergeCell ref="F46:G46"/>
    <mergeCell ref="B41:C41"/>
    <mergeCell ref="F41:G41"/>
    <mergeCell ref="B42:C42"/>
    <mergeCell ref="F44:G44"/>
    <mergeCell ref="F45:G45"/>
    <mergeCell ref="F42:G42"/>
    <mergeCell ref="B43:C43"/>
    <mergeCell ref="F43:G43"/>
    <mergeCell ref="B44:C44"/>
    <mergeCell ref="B45:C45"/>
    <mergeCell ref="A34:F34"/>
    <mergeCell ref="A35:C35"/>
    <mergeCell ref="A38:G38"/>
    <mergeCell ref="B40:C40"/>
    <mergeCell ref="F40:G40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96</vt:i4>
      </vt:variant>
      <vt:variant>
        <vt:lpstr>Именованные диапазоны</vt:lpstr>
      </vt:variant>
      <vt:variant>
        <vt:i4>7</vt:i4>
      </vt:variant>
    </vt:vector>
  </HeadingPairs>
  <TitlesOfParts>
    <vt:vector size="103" baseType="lpstr">
      <vt:lpstr>Баррикад 2</vt:lpstr>
      <vt:lpstr>В.Восстания 1</vt:lpstr>
      <vt:lpstr>Воронина 9</vt:lpstr>
      <vt:lpstr>Герцена 16а</vt:lpstr>
      <vt:lpstr>Герцена 17 </vt:lpstr>
      <vt:lpstr>Герцена 3</vt:lpstr>
      <vt:lpstr>Герцена 6</vt:lpstr>
      <vt:lpstr>Герцена 9а</vt:lpstr>
      <vt:lpstr>Интернациональный 10</vt:lpstr>
      <vt:lpstr>Огарева 3</vt:lpstr>
      <vt:lpstr>Огарева 34а</vt:lpstr>
      <vt:lpstr>Огарева 4</vt:lpstr>
      <vt:lpstr>Огарева 40 корп.1</vt:lpstr>
      <vt:lpstr>Огарева 40 корп.2</vt:lpstr>
      <vt:lpstr>Огарева 6</vt:lpstr>
      <vt:lpstr>Пролетарская 21</vt:lpstr>
      <vt:lpstr>Пролетарская 41</vt:lpstr>
      <vt:lpstr>Пролетарская 44</vt:lpstr>
      <vt:lpstr>Пролетарская 90</vt:lpstr>
      <vt:lpstr>Пухова 1</vt:lpstr>
      <vt:lpstr>Пухова 19</vt:lpstr>
      <vt:lpstr>Пухова 3</vt:lpstr>
      <vt:lpstr>Рылеева 1дробь 12</vt:lpstr>
      <vt:lpstr>Рылеева 18б</vt:lpstr>
      <vt:lpstr>Рылеева 19</vt:lpstr>
      <vt:lpstr>Рылеева 6</vt:lpstr>
      <vt:lpstr>Суворова 13</vt:lpstr>
      <vt:lpstr>Суворова 15</vt:lpstr>
      <vt:lpstr>Суворова 17</vt:lpstr>
      <vt:lpstr>Суворова 63 корп.1</vt:lpstr>
      <vt:lpstr>Суворова 69</vt:lpstr>
      <vt:lpstr>Суворова 9</vt:lpstr>
      <vt:lpstr>Суворова 93 дробь 26</vt:lpstr>
      <vt:lpstr>Суворова 95</vt:lpstr>
      <vt:lpstr>Суворова 44</vt:lpstr>
      <vt:lpstr>Суворова 38</vt:lpstr>
      <vt:lpstr>Лист1</vt:lpstr>
      <vt:lpstr>Лист2</vt:lpstr>
      <vt:lpstr>Большевиков 3</vt:lpstr>
      <vt:lpstr>Суворова 58</vt:lpstr>
      <vt:lpstr>Суворова 46</vt:lpstr>
      <vt:lpstr>пер Труда 4 корп.2</vt:lpstr>
      <vt:lpstr>Труда 16</vt:lpstr>
      <vt:lpstr>Труда 24</vt:lpstr>
      <vt:lpstr>Труда 26</vt:lpstr>
      <vt:lpstr>Труда 3а</vt:lpstr>
      <vt:lpstr>Труда 5а корп.1</vt:lpstr>
      <vt:lpstr>Труда 5а корп.2</vt:lpstr>
      <vt:lpstr>Общее</vt:lpstr>
      <vt:lpstr>Труда 6 дробь 1</vt:lpstr>
      <vt:lpstr>Труда 9</vt:lpstr>
      <vt:lpstr>Воронина 16</vt:lpstr>
      <vt:lpstr> Яченский пер д.2</vt:lpstr>
      <vt:lpstr>Рылеева 3</vt:lpstr>
      <vt:lpstr>Ломоносова 1</vt:lpstr>
      <vt:lpstr>Суворова 21</vt:lpstr>
      <vt:lpstr>Суворова 21а</vt:lpstr>
      <vt:lpstr>Суворова 67</vt:lpstr>
      <vt:lpstr>Труда 3</vt:lpstr>
      <vt:lpstr>Труда 30</vt:lpstr>
      <vt:lpstr>Труда 32</vt:lpstr>
      <vt:lpstr>Плеханова 3</vt:lpstr>
      <vt:lpstr>Труда 14 дробь 2</vt:lpstr>
      <vt:lpstr>Труда 28</vt:lpstr>
      <vt:lpstr>Труда 10</vt:lpstr>
      <vt:lpstr>Пролетарская 39</vt:lpstr>
      <vt:lpstr>Герцена 2 дробь 8</vt:lpstr>
      <vt:lpstr>Герцена 4</vt:lpstr>
      <vt:lpstr>Рылеева 4</vt:lpstr>
      <vt:lpstr>Плеханова 5дробь 1</vt:lpstr>
      <vt:lpstr>Огарева 9 дробь 7</vt:lpstr>
      <vt:lpstr>Труда пер 4 корп.5</vt:lpstr>
      <vt:lpstr>Чичерина 28</vt:lpstr>
      <vt:lpstr>Пухова 7</vt:lpstr>
      <vt:lpstr>Суворова 119 дробь 38</vt:lpstr>
      <vt:lpstr>Герцена 17 корп.1</vt:lpstr>
      <vt:lpstr>Огарева 44</vt:lpstr>
      <vt:lpstr>Плеханова 11</vt:lpstr>
      <vt:lpstr>Рылеева 16</vt:lpstr>
      <vt:lpstr>Суворова 11</vt:lpstr>
      <vt:lpstr>Суворова 19</vt:lpstr>
      <vt:lpstr>Воронина 23а</vt:lpstr>
      <vt:lpstr>Воронина 13 дробь 52</vt:lpstr>
      <vt:lpstr>Рылеева 14</vt:lpstr>
      <vt:lpstr>Воронина 23</vt:lpstr>
      <vt:lpstr>пер.Труда 4 корп.1</vt:lpstr>
      <vt:lpstr>Воронина 21</vt:lpstr>
      <vt:lpstr>Плеханова 12</vt:lpstr>
      <vt:lpstr>Труда 18 дробь 1</vt:lpstr>
      <vt:lpstr>Огарева 42</vt:lpstr>
      <vt:lpstr>Суворова 65</vt:lpstr>
      <vt:lpstr>Труда 22</vt:lpstr>
      <vt:lpstr>Кирова 44а</vt:lpstr>
      <vt:lpstr>Телевизионная 20</vt:lpstr>
      <vt:lpstr>Телевизионная 22</vt:lpstr>
      <vt:lpstr> М.Жукова 46</vt:lpstr>
      <vt:lpstr>'Баррикад 2'!Область_печати</vt:lpstr>
      <vt:lpstr>'В.Восстания 1'!Область_печати</vt:lpstr>
      <vt:lpstr>'Воронина 9'!Область_печати</vt:lpstr>
      <vt:lpstr>'Герцена 16а'!Область_печати</vt:lpstr>
      <vt:lpstr>'Герцена 17 '!Область_печати</vt:lpstr>
      <vt:lpstr>'Пролетарская 44'!Область_печати</vt:lpstr>
      <vt:lpstr>'Труда 9'!Область_печати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2026-03-31T18:18:23Z</dcterms:modified>
</cp:coreProperties>
</file>