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пер.2-ой Интернациональный д.10" sheetId="1" r:id="rId1"/>
    <sheet name="Баррикад2" sheetId="4" r:id="rId2"/>
    <sheet name="В.Воссиания 1" sheetId="5" r:id="rId3"/>
    <sheet name="Воронина  23" sheetId="6" r:id="rId4"/>
    <sheet name="Воронина 9" sheetId="7" r:id="rId5"/>
    <sheet name="Воронина 11" sheetId="8" r:id="rId6"/>
    <sheet name="Воронина 13" sheetId="9" r:id="rId7"/>
    <sheet name="Воронина 16" sheetId="10" r:id="rId8"/>
    <sheet name="Воронина 18" sheetId="11" r:id="rId9"/>
    <sheet name="Воронина 21" sheetId="12" r:id="rId10"/>
    <sheet name="Воронина 23а" sheetId="13" r:id="rId11"/>
    <sheet name="Герцена 2" sheetId="14" r:id="rId12"/>
    <sheet name="Герцена 3" sheetId="15" r:id="rId13"/>
    <sheet name="Герцена 4" sheetId="16" r:id="rId14"/>
    <sheet name="Герцена 6" sheetId="17" r:id="rId15"/>
    <sheet name="Герцена 9а" sheetId="18" r:id="rId16"/>
    <sheet name="Герцена 16а" sheetId="19" r:id="rId17"/>
    <sheet name="Герцена 17 корп.1" sheetId="20" r:id="rId18"/>
    <sheet name="Герцена 17" sheetId="21" r:id="rId19"/>
    <sheet name="Огарева 3" sheetId="22" r:id="rId20"/>
    <sheet name="Огарева 4" sheetId="23" r:id="rId21"/>
    <sheet name="Огарева 6" sheetId="24" r:id="rId22"/>
    <sheet name="Огарева 9" sheetId="25" r:id="rId23"/>
    <sheet name="Огарева 34а" sheetId="26" r:id="rId24"/>
    <sheet name="Огарева 40 кор.1" sheetId="27" r:id="rId25"/>
    <sheet name="Огарева 40 корп.2" sheetId="28" r:id="rId26"/>
    <sheet name="Огарева 42" sheetId="29" r:id="rId27"/>
    <sheet name="Огарева 44" sheetId="30" r:id="rId28"/>
    <sheet name="п.Труда 4 корп.1" sheetId="31" r:id="rId29"/>
    <sheet name="п.Труда 4 корп.2" sheetId="32" r:id="rId30"/>
    <sheet name="пер.Труда 4 корп.5" sheetId="33" r:id="rId31"/>
    <sheet name="пер.Яченский 2" sheetId="34" r:id="rId32"/>
    <sheet name="Плеханова 3" sheetId="35" r:id="rId33"/>
    <sheet name="Плеханова 5" sheetId="36" r:id="rId34"/>
    <sheet name="Плеханова 11" sheetId="37" r:id="rId35"/>
    <sheet name="Плеханова 12" sheetId="38" r:id="rId36"/>
    <sheet name="Пролетарская 21" sheetId="39" r:id="rId37"/>
    <sheet name="Пролетарская 39" sheetId="40" r:id="rId38"/>
    <sheet name="Пролетарская 41" sheetId="41" r:id="rId39"/>
    <sheet name="Пролетарская 44" sheetId="42" r:id="rId40"/>
    <sheet name="Пролетарская 90" sheetId="43" r:id="rId41"/>
    <sheet name="Пухова 1" sheetId="44" r:id="rId42"/>
    <sheet name="Пухова 3" sheetId="45" r:id="rId43"/>
    <sheet name="Пухова 7" sheetId="46" r:id="rId44"/>
    <sheet name="Пухова 19" sheetId="47" r:id="rId45"/>
    <sheet name="Рылеева 1" sheetId="48" r:id="rId46"/>
    <sheet name="Рылеева 3" sheetId="49" r:id="rId47"/>
    <sheet name="Рылеева 4" sheetId="50" r:id="rId48"/>
    <sheet name="Рылеева 6" sheetId="51" r:id="rId49"/>
    <sheet name="Рылеева 14" sheetId="52" r:id="rId50"/>
    <sheet name="Рылеева 16" sheetId="53" r:id="rId51"/>
    <sheet name="Рылеева 18б" sheetId="54" r:id="rId52"/>
    <sheet name="Рылеева 18в" sheetId="55" r:id="rId53"/>
    <sheet name="Рылеева 19" sheetId="56" r:id="rId54"/>
    <sheet name="Суворова 5" sheetId="57" r:id="rId55"/>
    <sheet name="Суворова 7 корп.1" sheetId="58" r:id="rId56"/>
    <sheet name="Суворова 9" sheetId="59" r:id="rId57"/>
    <sheet name="Суворова 11" sheetId="60" r:id="rId58"/>
    <sheet name="Суворова 13" sheetId="61" r:id="rId59"/>
    <sheet name="Суворова 15" sheetId="62" r:id="rId60"/>
    <sheet name="Суворова 17" sheetId="63" r:id="rId61"/>
    <sheet name="Суворова 19" sheetId="64" r:id="rId62"/>
    <sheet name="Суворова 21" sheetId="65" r:id="rId63"/>
    <sheet name="Суворова 21а" sheetId="66" r:id="rId64"/>
    <sheet name="Суворова 63 корп.1" sheetId="67" r:id="rId65"/>
    <sheet name="Суворова 65" sheetId="68" r:id="rId66"/>
    <sheet name="Суворова 67" sheetId="69" r:id="rId67"/>
    <sheet name="Суворова 69" sheetId="70" r:id="rId68"/>
    <sheet name="Суворова 93" sheetId="71" r:id="rId69"/>
    <sheet name="Суворова 95" sheetId="72" r:id="rId70"/>
    <sheet name="Суворова 119" sheetId="73" r:id="rId71"/>
    <sheet name="Суорова 15" sheetId="74" r:id="rId72"/>
    <sheet name="Труда 1" sheetId="75" r:id="rId73"/>
    <sheet name="Труда 3" sheetId="76" r:id="rId74"/>
    <sheet name="Труда 3а" sheetId="77" r:id="rId75"/>
    <sheet name="Труда 5а корп.1" sheetId="78" r:id="rId76"/>
    <sheet name="Труда 5а корп.2" sheetId="79" r:id="rId77"/>
    <sheet name="Труда 6" sheetId="80" r:id="rId78"/>
    <sheet name="Труда 9" sheetId="81" r:id="rId79"/>
    <sheet name="Труда 9а" sheetId="82" r:id="rId80"/>
    <sheet name="Труда 10" sheetId="83" r:id="rId81"/>
    <sheet name="Труда 11" sheetId="84" r:id="rId82"/>
    <sheet name="Труда 14" sheetId="85" r:id="rId83"/>
    <sheet name="Труда 16" sheetId="86" r:id="rId84"/>
    <sheet name="Труда 18" sheetId="87" r:id="rId85"/>
    <sheet name="Труда 22" sheetId="88" r:id="rId86"/>
    <sheet name="Труда 24" sheetId="89" r:id="rId87"/>
    <sheet name="Труда 26" sheetId="90" r:id="rId88"/>
    <sheet name="Труда 28" sheetId="91" r:id="rId89"/>
    <sheet name="Труда 30" sheetId="92" r:id="rId90"/>
    <sheet name="Труда 32" sheetId="93" r:id="rId91"/>
    <sheet name="Чичерина 28" sheetId="94" r:id="rId92"/>
  </sheets>
  <calcPr calcId="145621"/>
</workbook>
</file>

<file path=xl/calcChain.xml><?xml version="1.0" encoding="utf-8"?>
<calcChain xmlns="http://schemas.openxmlformats.org/spreadsheetml/2006/main">
  <c r="I43" i="94" l="1"/>
  <c r="G34" i="94"/>
  <c r="H34" i="94" s="1"/>
  <c r="I34" i="94" s="1"/>
  <c r="H32" i="94"/>
  <c r="I32" i="94" s="1"/>
  <c r="G32" i="94"/>
  <c r="G26" i="94"/>
  <c r="G25" i="94" s="1"/>
  <c r="H25" i="94" s="1"/>
  <c r="I25" i="94" s="1"/>
  <c r="F25" i="94"/>
  <c r="H24" i="94"/>
  <c r="I24" i="94" s="1"/>
  <c r="G24" i="94"/>
  <c r="G23" i="94"/>
  <c r="H23" i="94" s="1"/>
  <c r="I23" i="94" s="1"/>
  <c r="F22" i="94"/>
  <c r="E22" i="94"/>
  <c r="G22" i="94" s="1"/>
  <c r="G21" i="94"/>
  <c r="F21" i="94"/>
  <c r="E21" i="94"/>
  <c r="F20" i="94"/>
  <c r="E20" i="94"/>
  <c r="G20" i="94" s="1"/>
  <c r="F19" i="94"/>
  <c r="E19" i="94"/>
  <c r="G19" i="94" s="1"/>
  <c r="H18" i="94"/>
  <c r="I18" i="94" s="1"/>
  <c r="G18" i="94"/>
  <c r="I64" i="93" l="1"/>
  <c r="G45" i="93"/>
  <c r="H45" i="93" s="1"/>
  <c r="I45" i="93" s="1"/>
  <c r="H43" i="93"/>
  <c r="I43" i="93" s="1"/>
  <c r="G43" i="93"/>
  <c r="G41" i="93"/>
  <c r="H41" i="93" s="1"/>
  <c r="I41" i="93" s="1"/>
  <c r="F36" i="93"/>
  <c r="H36" i="93" s="1"/>
  <c r="E36" i="93"/>
  <c r="G27" i="93"/>
  <c r="F27" i="93"/>
  <c r="H27" i="93" s="1"/>
  <c r="H26" i="93"/>
  <c r="I26" i="93" s="1"/>
  <c r="G26" i="93"/>
  <c r="I25" i="93"/>
  <c r="H25" i="93"/>
  <c r="G25" i="93"/>
  <c r="H24" i="93"/>
  <c r="I24" i="93" s="1"/>
  <c r="G24" i="93"/>
  <c r="H23" i="93"/>
  <c r="G23" i="93"/>
  <c r="F22" i="93"/>
  <c r="E22" i="93"/>
  <c r="G22" i="93" s="1"/>
  <c r="F21" i="93"/>
  <c r="E21" i="93"/>
  <c r="G21" i="93" s="1"/>
  <c r="F20" i="93"/>
  <c r="E20" i="93"/>
  <c r="G20" i="93" s="1"/>
  <c r="F19" i="93"/>
  <c r="E19" i="93"/>
  <c r="G19" i="93" s="1"/>
  <c r="G18" i="93"/>
  <c r="H18" i="93" s="1"/>
  <c r="I18" i="93" s="1"/>
  <c r="I56" i="92" l="1"/>
  <c r="H43" i="92"/>
  <c r="I43" i="92" s="1"/>
  <c r="G43" i="92"/>
  <c r="G41" i="92"/>
  <c r="H41" i="92" s="1"/>
  <c r="I41" i="92" s="1"/>
  <c r="G39" i="92"/>
  <c r="H39" i="92" s="1"/>
  <c r="I39" i="92" s="1"/>
  <c r="H33" i="92"/>
  <c r="F33" i="92"/>
  <c r="E33" i="92"/>
  <c r="G28" i="92"/>
  <c r="H28" i="92" s="1"/>
  <c r="F28" i="92"/>
  <c r="G27" i="92"/>
  <c r="H27" i="92" s="1"/>
  <c r="I27" i="92" s="1"/>
  <c r="G26" i="92"/>
  <c r="H26" i="92" s="1"/>
  <c r="I26" i="92" s="1"/>
  <c r="I25" i="92"/>
  <c r="H25" i="92"/>
  <c r="G25" i="92"/>
  <c r="H24" i="92"/>
  <c r="I24" i="92" s="1"/>
  <c r="G24" i="92"/>
  <c r="H23" i="92"/>
  <c r="G23" i="92"/>
  <c r="G22" i="92"/>
  <c r="F22" i="92"/>
  <c r="E22" i="92"/>
  <c r="G21" i="92"/>
  <c r="F21" i="92"/>
  <c r="E21" i="92"/>
  <c r="F20" i="92"/>
  <c r="E20" i="92"/>
  <c r="G20" i="92" s="1"/>
  <c r="F19" i="92"/>
  <c r="E19" i="92"/>
  <c r="G19" i="92" s="1"/>
  <c r="I18" i="92"/>
  <c r="H18" i="92"/>
  <c r="G18" i="92"/>
  <c r="I63" i="91" l="1"/>
  <c r="G63" i="91"/>
  <c r="H50" i="91"/>
  <c r="I50" i="91" s="1"/>
  <c r="G50" i="91"/>
  <c r="G48" i="91"/>
  <c r="H48" i="91" s="1"/>
  <c r="I48" i="91" s="1"/>
  <c r="H46" i="91"/>
  <c r="I46" i="91" s="1"/>
  <c r="G46" i="91"/>
  <c r="E38" i="91"/>
  <c r="F38" i="91" s="1"/>
  <c r="H38" i="91" s="1"/>
  <c r="F33" i="91"/>
  <c r="G32" i="91"/>
  <c r="G31" i="91"/>
  <c r="E31" i="91"/>
  <c r="G28" i="91"/>
  <c r="G27" i="91"/>
  <c r="F27" i="91"/>
  <c r="H27" i="91" s="1"/>
  <c r="H26" i="91"/>
  <c r="I26" i="91" s="1"/>
  <c r="G26" i="91"/>
  <c r="I25" i="91"/>
  <c r="H25" i="91"/>
  <c r="G24" i="91"/>
  <c r="H24" i="91" s="1"/>
  <c r="I24" i="91" s="1"/>
  <c r="H23" i="91"/>
  <c r="I23" i="91" s="1"/>
  <c r="G23" i="91"/>
  <c r="I22" i="91"/>
  <c r="H22" i="91"/>
  <c r="G22" i="91"/>
  <c r="F21" i="91"/>
  <c r="E21" i="91"/>
  <c r="G21" i="91" s="1"/>
  <c r="G20" i="91"/>
  <c r="F20" i="91"/>
  <c r="E20" i="91"/>
  <c r="F19" i="91"/>
  <c r="E19" i="91"/>
  <c r="G19" i="91" s="1"/>
  <c r="F18" i="91"/>
  <c r="E18" i="91"/>
  <c r="G18" i="91" s="1"/>
  <c r="H17" i="91"/>
  <c r="I17" i="91" s="1"/>
  <c r="G17" i="91"/>
  <c r="I63" i="90" l="1"/>
  <c r="G46" i="90"/>
  <c r="H46" i="90" s="1"/>
  <c r="I46" i="90" s="1"/>
  <c r="H44" i="90"/>
  <c r="I44" i="90" s="1"/>
  <c r="G44" i="90"/>
  <c r="G42" i="90"/>
  <c r="H42" i="90" s="1"/>
  <c r="I42" i="90" s="1"/>
  <c r="F36" i="90"/>
  <c r="H36" i="90" s="1"/>
  <c r="E36" i="90"/>
  <c r="F31" i="90"/>
  <c r="G30" i="90"/>
  <c r="G29" i="90"/>
  <c r="G26" i="90"/>
  <c r="F26" i="90"/>
  <c r="H26" i="90" s="1"/>
  <c r="G25" i="90"/>
  <c r="H25" i="90" s="1"/>
  <c r="I25" i="90" s="1"/>
  <c r="H24" i="90"/>
  <c r="I24" i="90" s="1"/>
  <c r="G24" i="90"/>
  <c r="H23" i="90"/>
  <c r="I23" i="90" s="1"/>
  <c r="G23" i="90"/>
  <c r="F22" i="90"/>
  <c r="E22" i="90"/>
  <c r="G22" i="90" s="1"/>
  <c r="G21" i="90"/>
  <c r="F21" i="90"/>
  <c r="E21" i="90"/>
  <c r="G20" i="90"/>
  <c r="F20" i="90"/>
  <c r="E20" i="90"/>
  <c r="F19" i="90"/>
  <c r="E19" i="90"/>
  <c r="G19" i="90" s="1"/>
  <c r="G18" i="90"/>
  <c r="H18" i="90" s="1"/>
  <c r="I18" i="90" s="1"/>
  <c r="I63" i="89" l="1"/>
  <c r="G49" i="89"/>
  <c r="H49" i="89" s="1"/>
  <c r="I49" i="89" s="1"/>
  <c r="H47" i="89"/>
  <c r="I47" i="89" s="1"/>
  <c r="G47" i="89"/>
  <c r="G45" i="89"/>
  <c r="H45" i="89" s="1"/>
  <c r="I45" i="89" s="1"/>
  <c r="F37" i="89"/>
  <c r="H37" i="89" s="1"/>
  <c r="E37" i="89"/>
  <c r="G27" i="89"/>
  <c r="F27" i="89"/>
  <c r="H27" i="89" s="1"/>
  <c r="H26" i="89"/>
  <c r="I26" i="89" s="1"/>
  <c r="G26" i="89"/>
  <c r="I25" i="89"/>
  <c r="H25" i="89"/>
  <c r="G25" i="89"/>
  <c r="H24" i="89"/>
  <c r="I24" i="89" s="1"/>
  <c r="G24" i="89"/>
  <c r="F23" i="89"/>
  <c r="E23" i="89"/>
  <c r="G23" i="89" s="1"/>
  <c r="F22" i="89"/>
  <c r="E22" i="89"/>
  <c r="G22" i="89" s="1"/>
  <c r="G21" i="89"/>
  <c r="F21" i="89"/>
  <c r="E21" i="89"/>
  <c r="F20" i="89"/>
  <c r="E20" i="89"/>
  <c r="G20" i="89" s="1"/>
  <c r="H18" i="89"/>
  <c r="G18" i="89"/>
  <c r="I62" i="88" l="1"/>
  <c r="G46" i="88"/>
  <c r="H46" i="88" s="1"/>
  <c r="I46" i="88" s="1"/>
  <c r="H44" i="88"/>
  <c r="I44" i="88" s="1"/>
  <c r="G44" i="88"/>
  <c r="G42" i="88"/>
  <c r="H42" i="88" s="1"/>
  <c r="I42" i="88" s="1"/>
  <c r="F36" i="88"/>
  <c r="H36" i="88" s="1"/>
  <c r="E36" i="88"/>
  <c r="G31" i="88"/>
  <c r="G30" i="88" s="1"/>
  <c r="F30" i="88"/>
  <c r="E30" i="88"/>
  <c r="I29" i="88"/>
  <c r="G27" i="88"/>
  <c r="F27" i="88"/>
  <c r="H27" i="88" s="1"/>
  <c r="I27" i="88" s="1"/>
  <c r="H26" i="88"/>
  <c r="I26" i="88" s="1"/>
  <c r="G26" i="88"/>
  <c r="I25" i="88"/>
  <c r="H25" i="88"/>
  <c r="G25" i="88"/>
  <c r="H24" i="88"/>
  <c r="I24" i="88" s="1"/>
  <c r="G24" i="88"/>
  <c r="F23" i="88"/>
  <c r="E23" i="88"/>
  <c r="G23" i="88" s="1"/>
  <c r="F22" i="88"/>
  <c r="E22" i="88"/>
  <c r="G22" i="88" s="1"/>
  <c r="G21" i="88"/>
  <c r="F21" i="88"/>
  <c r="E21" i="88"/>
  <c r="F20" i="88"/>
  <c r="E20" i="88"/>
  <c r="G20" i="88" s="1"/>
  <c r="H19" i="88"/>
  <c r="G19" i="88"/>
  <c r="I63" i="87" l="1"/>
  <c r="G48" i="87"/>
  <c r="H48" i="87" s="1"/>
  <c r="I48" i="87" s="1"/>
  <c r="G45" i="87"/>
  <c r="H45" i="87" s="1"/>
  <c r="G43" i="87"/>
  <c r="H43" i="87" s="1"/>
  <c r="F36" i="87"/>
  <c r="H36" i="87" s="1"/>
  <c r="E36" i="87"/>
  <c r="F31" i="87"/>
  <c r="G30" i="87"/>
  <c r="E29" i="87"/>
  <c r="G26" i="87"/>
  <c r="G25" i="87" s="1"/>
  <c r="F25" i="87"/>
  <c r="H25" i="87" s="1"/>
  <c r="H24" i="87"/>
  <c r="I24" i="87" s="1"/>
  <c r="G24" i="87"/>
  <c r="I23" i="87"/>
  <c r="H23" i="87"/>
  <c r="G23" i="87"/>
  <c r="F22" i="87"/>
  <c r="E22" i="87"/>
  <c r="G22" i="87" s="1"/>
  <c r="F21" i="87"/>
  <c r="E21" i="87"/>
  <c r="G21" i="87" s="1"/>
  <c r="F20" i="87"/>
  <c r="E20" i="87"/>
  <c r="G20" i="87" s="1"/>
  <c r="G19" i="87"/>
  <c r="F19" i="87"/>
  <c r="E19" i="87"/>
  <c r="G18" i="87"/>
  <c r="H18" i="87" s="1"/>
  <c r="I55" i="86" l="1"/>
  <c r="G43" i="86"/>
  <c r="H43" i="86" s="1"/>
  <c r="I43" i="86" s="1"/>
  <c r="H41" i="86"/>
  <c r="I41" i="86" s="1"/>
  <c r="G41" i="86"/>
  <c r="G39" i="86"/>
  <c r="H39" i="86" s="1"/>
  <c r="I39" i="86" s="1"/>
  <c r="F33" i="86"/>
  <c r="H33" i="86" s="1"/>
  <c r="E33" i="86"/>
  <c r="H27" i="86"/>
  <c r="G27" i="86"/>
  <c r="F27" i="86"/>
  <c r="H26" i="86"/>
  <c r="I26" i="86" s="1"/>
  <c r="G26" i="86"/>
  <c r="I25" i="86"/>
  <c r="H25" i="86"/>
  <c r="H24" i="86"/>
  <c r="G24" i="86"/>
  <c r="F23" i="86"/>
  <c r="E23" i="86"/>
  <c r="G23" i="86" s="1"/>
  <c r="F22" i="86"/>
  <c r="E22" i="86"/>
  <c r="G22" i="86" s="1"/>
  <c r="G21" i="86"/>
  <c r="F21" i="86"/>
  <c r="E21" i="86"/>
  <c r="F20" i="86"/>
  <c r="E20" i="86"/>
  <c r="G20" i="86" s="1"/>
  <c r="G19" i="86"/>
  <c r="H19" i="86" s="1"/>
  <c r="I19" i="86" s="1"/>
  <c r="I63" i="85" l="1"/>
  <c r="G48" i="85"/>
  <c r="H48" i="85" s="1"/>
  <c r="I48" i="85" s="1"/>
  <c r="H45" i="85"/>
  <c r="I45" i="85" s="1"/>
  <c r="G45" i="85"/>
  <c r="G43" i="85"/>
  <c r="H43" i="85" s="1"/>
  <c r="I43" i="85" s="1"/>
  <c r="F38" i="85"/>
  <c r="H38" i="85" s="1"/>
  <c r="E38" i="85"/>
  <c r="F32" i="85"/>
  <c r="G26" i="85"/>
  <c r="F26" i="85"/>
  <c r="H26" i="85" s="1"/>
  <c r="G25" i="85"/>
  <c r="H25" i="85" s="1"/>
  <c r="I25" i="85" s="1"/>
  <c r="H24" i="85"/>
  <c r="I24" i="85" s="1"/>
  <c r="G24" i="85"/>
  <c r="F23" i="85"/>
  <c r="E23" i="85"/>
  <c r="G23" i="85" s="1"/>
  <c r="F22" i="85"/>
  <c r="E22" i="85"/>
  <c r="G22" i="85" s="1"/>
  <c r="G21" i="85"/>
  <c r="F21" i="85"/>
  <c r="E21" i="85"/>
  <c r="F20" i="85"/>
  <c r="E20" i="85"/>
  <c r="G20" i="85" s="1"/>
  <c r="G19" i="85"/>
  <c r="H19" i="85" s="1"/>
  <c r="I19" i="85" s="1"/>
  <c r="I52" i="84" l="1"/>
  <c r="H40" i="84"/>
  <c r="I40" i="84" s="1"/>
  <c r="G40" i="84"/>
  <c r="H31" i="84"/>
  <c r="G28" i="84"/>
  <c r="H28" i="84" s="1"/>
  <c r="F28" i="84"/>
  <c r="G27" i="84"/>
  <c r="H27" i="84" s="1"/>
  <c r="I27" i="84" s="1"/>
  <c r="H26" i="84"/>
  <c r="I26" i="84" s="1"/>
  <c r="G26" i="84"/>
  <c r="G25" i="84"/>
  <c r="F25" i="84"/>
  <c r="E25" i="84"/>
  <c r="G24" i="84"/>
  <c r="F24" i="84"/>
  <c r="E24" i="84"/>
  <c r="F23" i="84"/>
  <c r="E23" i="84"/>
  <c r="G23" i="84" s="1"/>
  <c r="F22" i="84"/>
  <c r="E22" i="84"/>
  <c r="G22" i="84" s="1"/>
  <c r="G20" i="84"/>
  <c r="H20" i="84" s="1"/>
  <c r="I20" i="84" s="1"/>
  <c r="I61" i="83" l="1"/>
  <c r="G49" i="83"/>
  <c r="H49" i="83" s="1"/>
  <c r="I49" i="83" s="1"/>
  <c r="H47" i="83"/>
  <c r="I47" i="83" s="1"/>
  <c r="G47" i="83"/>
  <c r="G45" i="83"/>
  <c r="H45" i="83" s="1"/>
  <c r="I45" i="83" s="1"/>
  <c r="F37" i="83"/>
  <c r="H37" i="83" s="1"/>
  <c r="E37" i="83"/>
  <c r="G29" i="83"/>
  <c r="G28" i="83"/>
  <c r="H28" i="83" s="1"/>
  <c r="F28" i="83"/>
  <c r="G27" i="83"/>
  <c r="H27" i="83" s="1"/>
  <c r="I27" i="83" s="1"/>
  <c r="H26" i="83"/>
  <c r="I26" i="83" s="1"/>
  <c r="G26" i="83"/>
  <c r="I25" i="83"/>
  <c r="H25" i="83"/>
  <c r="G25" i="83"/>
  <c r="G24" i="83"/>
  <c r="F24" i="83"/>
  <c r="E24" i="83"/>
  <c r="F23" i="83"/>
  <c r="E23" i="83"/>
  <c r="G23" i="83" s="1"/>
  <c r="F22" i="83"/>
  <c r="E22" i="83"/>
  <c r="G22" i="83" s="1"/>
  <c r="F21" i="83"/>
  <c r="E21" i="83"/>
  <c r="G21" i="83" s="1"/>
  <c r="H19" i="83"/>
  <c r="I19" i="83" s="1"/>
  <c r="G19" i="83"/>
  <c r="I57" i="82" l="1"/>
  <c r="G46" i="82"/>
  <c r="H46" i="82" s="1"/>
  <c r="I46" i="82" s="1"/>
  <c r="H44" i="82"/>
  <c r="I44" i="82" s="1"/>
  <c r="G44" i="82"/>
  <c r="E37" i="82"/>
  <c r="F37" i="82" s="1"/>
  <c r="H37" i="82" s="1"/>
  <c r="G31" i="82"/>
  <c r="G28" i="82"/>
  <c r="G27" i="82"/>
  <c r="F27" i="82"/>
  <c r="H27" i="82" s="1"/>
  <c r="I27" i="82" s="1"/>
  <c r="H26" i="82"/>
  <c r="I26" i="82" s="1"/>
  <c r="G26" i="82"/>
  <c r="G25" i="82"/>
  <c r="H25" i="82" s="1"/>
  <c r="I25" i="82" s="1"/>
  <c r="G24" i="82"/>
  <c r="F24" i="82"/>
  <c r="E24" i="82"/>
  <c r="F23" i="82"/>
  <c r="E23" i="82"/>
  <c r="G23" i="82" s="1"/>
  <c r="F22" i="82"/>
  <c r="E22" i="82"/>
  <c r="G22" i="82" s="1"/>
  <c r="F21" i="82"/>
  <c r="E21" i="82"/>
  <c r="G21" i="82" s="1"/>
  <c r="H20" i="82"/>
  <c r="I20" i="82" s="1"/>
  <c r="G20" i="82"/>
  <c r="H47" i="81" l="1"/>
  <c r="I47" i="81" s="1"/>
  <c r="G47" i="81"/>
  <c r="G45" i="81"/>
  <c r="H45" i="81" s="1"/>
  <c r="I45" i="81" s="1"/>
  <c r="F37" i="81"/>
  <c r="H37" i="81" s="1"/>
  <c r="E37" i="81"/>
  <c r="F32" i="81"/>
  <c r="G27" i="81"/>
  <c r="H27" i="81" s="1"/>
  <c r="F27" i="81"/>
  <c r="H26" i="81"/>
  <c r="G26" i="81"/>
  <c r="G25" i="81"/>
  <c r="H25" i="81" s="1"/>
  <c r="I25" i="81" s="1"/>
  <c r="F24" i="81"/>
  <c r="E24" i="81"/>
  <c r="G24" i="81" s="1"/>
  <c r="G23" i="81"/>
  <c r="F23" i="81"/>
  <c r="E23" i="81"/>
  <c r="F22" i="81"/>
  <c r="E22" i="81"/>
  <c r="G22" i="81" s="1"/>
  <c r="F21" i="81"/>
  <c r="E21" i="81"/>
  <c r="G21" i="81" s="1"/>
  <c r="H20" i="81"/>
  <c r="I20" i="81" s="1"/>
  <c r="G20" i="81"/>
  <c r="I61" i="80" l="1"/>
  <c r="G48" i="80"/>
  <c r="H48" i="80" s="1"/>
  <c r="I48" i="80" s="1"/>
  <c r="H45" i="80"/>
  <c r="I45" i="80" s="1"/>
  <c r="G45" i="80"/>
  <c r="G43" i="80"/>
  <c r="H43" i="80" s="1"/>
  <c r="I43" i="80" s="1"/>
  <c r="F37" i="80"/>
  <c r="H37" i="80" s="1"/>
  <c r="E37" i="80"/>
  <c r="H27" i="80"/>
  <c r="G27" i="80"/>
  <c r="F27" i="80"/>
  <c r="H26" i="80"/>
  <c r="I26" i="80" s="1"/>
  <c r="G26" i="80"/>
  <c r="G25" i="80"/>
  <c r="H25" i="80" s="1"/>
  <c r="I25" i="80" s="1"/>
  <c r="G24" i="80"/>
  <c r="H24" i="80" s="1"/>
  <c r="H23" i="80"/>
  <c r="I23" i="80" s="1"/>
  <c r="G23" i="80"/>
  <c r="H22" i="80"/>
  <c r="G22" i="80"/>
  <c r="G21" i="80"/>
  <c r="F21" i="80"/>
  <c r="E21" i="80"/>
  <c r="F20" i="80"/>
  <c r="E20" i="80"/>
  <c r="G20" i="80" s="1"/>
  <c r="F19" i="80"/>
  <c r="E19" i="80"/>
  <c r="G19" i="80" s="1"/>
  <c r="F18" i="80"/>
  <c r="E18" i="80"/>
  <c r="G18" i="80" s="1"/>
  <c r="G17" i="80"/>
  <c r="H17" i="80" s="1"/>
  <c r="I17" i="80" s="1"/>
  <c r="I47" i="79" l="1"/>
  <c r="H33" i="79"/>
  <c r="I33" i="79" s="1"/>
  <c r="G33" i="79"/>
  <c r="G31" i="79"/>
  <c r="H31" i="79" s="1"/>
  <c r="I31" i="79" s="1"/>
  <c r="G25" i="79"/>
  <c r="G24" i="79"/>
  <c r="H24" i="79" s="1"/>
  <c r="I24" i="79" s="1"/>
  <c r="F24" i="79"/>
  <c r="G23" i="79"/>
  <c r="H23" i="79" s="1"/>
  <c r="I23" i="79" s="1"/>
  <c r="G22" i="79"/>
  <c r="H22" i="79" s="1"/>
  <c r="I22" i="79" s="1"/>
  <c r="G21" i="79"/>
  <c r="F21" i="79"/>
  <c r="E21" i="79"/>
  <c r="G20" i="79"/>
  <c r="F20" i="79"/>
  <c r="E20" i="79"/>
  <c r="F19" i="79"/>
  <c r="E19" i="79"/>
  <c r="G19" i="79" s="1"/>
  <c r="F18" i="79"/>
  <c r="E18" i="79"/>
  <c r="G18" i="79" s="1"/>
  <c r="I17" i="79"/>
  <c r="H17" i="79"/>
  <c r="G17" i="79"/>
  <c r="I59" i="78" l="1"/>
  <c r="G47" i="78"/>
  <c r="H47" i="78" s="1"/>
  <c r="I47" i="78" s="1"/>
  <c r="H45" i="78"/>
  <c r="I45" i="78" s="1"/>
  <c r="G45" i="78"/>
  <c r="E36" i="78"/>
  <c r="F36" i="78" s="1"/>
  <c r="H36" i="78" s="1"/>
  <c r="F32" i="78"/>
  <c r="G30" i="78"/>
  <c r="H27" i="78"/>
  <c r="I27" i="78" s="1"/>
  <c r="G27" i="78"/>
  <c r="F27" i="78"/>
  <c r="H26" i="78"/>
  <c r="I26" i="78" s="1"/>
  <c r="G26" i="78"/>
  <c r="G25" i="78"/>
  <c r="H25" i="78" s="1"/>
  <c r="I25" i="78" s="1"/>
  <c r="G24" i="78"/>
  <c r="F24" i="78"/>
  <c r="E24" i="78"/>
  <c r="G23" i="78"/>
  <c r="F23" i="78"/>
  <c r="E23" i="78"/>
  <c r="F22" i="78"/>
  <c r="E22" i="78"/>
  <c r="G22" i="78" s="1"/>
  <c r="F21" i="78"/>
  <c r="E21" i="78"/>
  <c r="G21" i="78" s="1"/>
  <c r="H19" i="78"/>
  <c r="I19" i="78" s="1"/>
  <c r="G19" i="78"/>
  <c r="I56" i="77" l="1"/>
  <c r="G43" i="77"/>
  <c r="H43" i="77" s="1"/>
  <c r="I43" i="77" s="1"/>
  <c r="H41" i="77"/>
  <c r="I41" i="77" s="1"/>
  <c r="G41" i="77"/>
  <c r="H31" i="77"/>
  <c r="G28" i="77"/>
  <c r="F28" i="77"/>
  <c r="H28" i="77" s="1"/>
  <c r="G26" i="77"/>
  <c r="H26" i="77" s="1"/>
  <c r="I26" i="77" s="1"/>
  <c r="H25" i="77"/>
  <c r="I25" i="77" s="1"/>
  <c r="G25" i="77"/>
  <c r="F24" i="77"/>
  <c r="E24" i="77"/>
  <c r="G24" i="77" s="1"/>
  <c r="F23" i="77"/>
  <c r="E23" i="77"/>
  <c r="G23" i="77" s="1"/>
  <c r="F22" i="77"/>
  <c r="E22" i="77"/>
  <c r="G22" i="77" s="1"/>
  <c r="G21" i="77"/>
  <c r="F21" i="77"/>
  <c r="E21" i="77"/>
  <c r="H19" i="77"/>
  <c r="G19" i="77"/>
  <c r="I58" i="76" l="1"/>
  <c r="G47" i="76"/>
  <c r="H47" i="76" s="1"/>
  <c r="I47" i="76" s="1"/>
  <c r="H45" i="76"/>
  <c r="I45" i="76" s="1"/>
  <c r="G45" i="76"/>
  <c r="E36" i="76"/>
  <c r="F36" i="76" s="1"/>
  <c r="H36" i="76" s="1"/>
  <c r="F32" i="76"/>
  <c r="G31" i="76"/>
  <c r="G30" i="76" s="1"/>
  <c r="G27" i="76"/>
  <c r="G26" i="76"/>
  <c r="H26" i="76" s="1"/>
  <c r="F26" i="76"/>
  <c r="G25" i="76"/>
  <c r="H25" i="76" s="1"/>
  <c r="I25" i="76" s="1"/>
  <c r="H24" i="76"/>
  <c r="I24" i="76" s="1"/>
  <c r="G24" i="76"/>
  <c r="I23" i="76"/>
  <c r="H23" i="76"/>
  <c r="G23" i="76"/>
  <c r="F22" i="76"/>
  <c r="E22" i="76"/>
  <c r="G22" i="76" s="1"/>
  <c r="G21" i="76"/>
  <c r="F21" i="76"/>
  <c r="E21" i="76"/>
  <c r="F20" i="76"/>
  <c r="E20" i="76"/>
  <c r="G20" i="76" s="1"/>
  <c r="F19" i="76"/>
  <c r="E19" i="76"/>
  <c r="G19" i="76" s="1"/>
  <c r="H18" i="76"/>
  <c r="I18" i="76" s="1"/>
  <c r="G18" i="76"/>
  <c r="H40" i="75" l="1"/>
  <c r="I40" i="75" s="1"/>
  <c r="G40" i="75"/>
  <c r="H31" i="75"/>
  <c r="G26" i="75"/>
  <c r="F26" i="75"/>
  <c r="H26" i="75" s="1"/>
  <c r="G25" i="75"/>
  <c r="H25" i="75" s="1"/>
  <c r="I25" i="75" s="1"/>
  <c r="H24" i="75"/>
  <c r="I24" i="75" s="1"/>
  <c r="G24" i="75"/>
  <c r="F23" i="75"/>
  <c r="E23" i="75"/>
  <c r="G23" i="75" s="1"/>
  <c r="F22" i="75"/>
  <c r="E22" i="75"/>
  <c r="G22" i="75" s="1"/>
  <c r="G21" i="75"/>
  <c r="F21" i="75"/>
  <c r="E21" i="75"/>
  <c r="G20" i="75"/>
  <c r="F20" i="75"/>
  <c r="E20" i="75"/>
  <c r="G19" i="75"/>
  <c r="H19" i="75" s="1"/>
  <c r="I19" i="75" s="1"/>
  <c r="I56" i="74" l="1"/>
  <c r="G46" i="74"/>
  <c r="H46" i="74" s="1"/>
  <c r="I46" i="74" s="1"/>
  <c r="H44" i="74"/>
  <c r="I44" i="74" s="1"/>
  <c r="G44" i="74"/>
  <c r="E36" i="74"/>
  <c r="F36" i="74" s="1"/>
  <c r="H36" i="74" s="1"/>
  <c r="E29" i="74"/>
  <c r="G26" i="74"/>
  <c r="F26" i="74"/>
  <c r="H26" i="74" s="1"/>
  <c r="H25" i="74"/>
  <c r="I25" i="74" s="1"/>
  <c r="G25" i="74"/>
  <c r="I24" i="74"/>
  <c r="H24" i="74"/>
  <c r="G24" i="74"/>
  <c r="H23" i="74"/>
  <c r="I23" i="74" s="1"/>
  <c r="G23" i="74"/>
  <c r="F22" i="74"/>
  <c r="E22" i="74"/>
  <c r="G22" i="74" s="1"/>
  <c r="G21" i="74"/>
  <c r="F21" i="74"/>
  <c r="E21" i="74"/>
  <c r="F20" i="74"/>
  <c r="E20" i="74"/>
  <c r="G20" i="74" s="1"/>
  <c r="F19" i="74"/>
  <c r="E19" i="74"/>
  <c r="G19" i="74" s="1"/>
  <c r="H18" i="74"/>
  <c r="G18" i="74"/>
  <c r="I48" i="73" l="1"/>
  <c r="G39" i="73"/>
  <c r="H39" i="73" s="1"/>
  <c r="I39" i="73" s="1"/>
  <c r="H30" i="73"/>
  <c r="G26" i="73"/>
  <c r="F26" i="73"/>
  <c r="H26" i="73" s="1"/>
  <c r="H25" i="73"/>
  <c r="I25" i="73" s="1"/>
  <c r="G25" i="73"/>
  <c r="G24" i="73"/>
  <c r="H24" i="73" s="1"/>
  <c r="I24" i="73" s="1"/>
  <c r="F23" i="73"/>
  <c r="E23" i="73"/>
  <c r="G23" i="73" s="1"/>
  <c r="F22" i="73"/>
  <c r="E22" i="73"/>
  <c r="G22" i="73" s="1"/>
  <c r="F21" i="73"/>
  <c r="E21" i="73"/>
  <c r="G21" i="73" s="1"/>
  <c r="F20" i="73"/>
  <c r="E20" i="73"/>
  <c r="G20" i="73" s="1"/>
  <c r="H18" i="73"/>
  <c r="I18" i="73" s="1"/>
  <c r="G18" i="73"/>
  <c r="I60" i="72" l="1"/>
  <c r="G46" i="72"/>
  <c r="H46" i="72" s="1"/>
  <c r="I46" i="72" s="1"/>
  <c r="H44" i="72"/>
  <c r="I44" i="72" s="1"/>
  <c r="G44" i="72"/>
  <c r="E36" i="72"/>
  <c r="F36" i="72" s="1"/>
  <c r="H36" i="72" s="1"/>
  <c r="G27" i="72"/>
  <c r="G26" i="72" s="1"/>
  <c r="F26" i="72"/>
  <c r="H26" i="72" s="1"/>
  <c r="H25" i="72"/>
  <c r="I25" i="72" s="1"/>
  <c r="G25" i="72"/>
  <c r="I24" i="72"/>
  <c r="H24" i="72"/>
  <c r="G24" i="72"/>
  <c r="H23" i="72"/>
  <c r="G23" i="72"/>
  <c r="F22" i="72"/>
  <c r="E22" i="72"/>
  <c r="G22" i="72" s="1"/>
  <c r="G21" i="72"/>
  <c r="F21" i="72"/>
  <c r="E21" i="72"/>
  <c r="F20" i="72"/>
  <c r="E20" i="72"/>
  <c r="G20" i="72" s="1"/>
  <c r="F19" i="72"/>
  <c r="E19" i="72"/>
  <c r="G19" i="72" s="1"/>
  <c r="H18" i="72"/>
  <c r="I18" i="72" s="1"/>
  <c r="G18" i="72"/>
  <c r="H40" i="71" l="1"/>
  <c r="I40" i="71" s="1"/>
  <c r="G40" i="71"/>
  <c r="G30" i="71"/>
  <c r="G29" i="71" s="1"/>
  <c r="F29" i="71"/>
  <c r="G26" i="71"/>
  <c r="G25" i="71" s="1"/>
  <c r="F25" i="71"/>
  <c r="H25" i="71" s="1"/>
  <c r="G24" i="71"/>
  <c r="H24" i="71" s="1"/>
  <c r="I24" i="71" s="1"/>
  <c r="H23" i="71"/>
  <c r="I23" i="71" s="1"/>
  <c r="G23" i="71"/>
  <c r="F22" i="71"/>
  <c r="E22" i="71"/>
  <c r="G22" i="71" s="1"/>
  <c r="F21" i="71"/>
  <c r="E21" i="71"/>
  <c r="G21" i="71" s="1"/>
  <c r="G20" i="71"/>
  <c r="F20" i="71"/>
  <c r="E20" i="71"/>
  <c r="F19" i="71"/>
  <c r="E19" i="71"/>
  <c r="G19" i="71" s="1"/>
  <c r="G18" i="71"/>
  <c r="H18" i="71" s="1"/>
  <c r="I18" i="71" s="1"/>
  <c r="H29" i="71" l="1"/>
  <c r="I59" i="70"/>
  <c r="H48" i="70"/>
  <c r="I48" i="70" s="1"/>
  <c r="G48" i="70"/>
  <c r="G46" i="70"/>
  <c r="H46" i="70" s="1"/>
  <c r="I46" i="70" s="1"/>
  <c r="H44" i="70"/>
  <c r="I44" i="70" s="1"/>
  <c r="G44" i="70"/>
  <c r="E36" i="70"/>
  <c r="F36" i="70" s="1"/>
  <c r="H36" i="70" s="1"/>
  <c r="G31" i="70"/>
  <c r="H31" i="70" s="1"/>
  <c r="G27" i="70"/>
  <c r="F27" i="70"/>
  <c r="H27" i="70" s="1"/>
  <c r="G26" i="70"/>
  <c r="H26" i="70" s="1"/>
  <c r="I26" i="70" s="1"/>
  <c r="H25" i="70"/>
  <c r="I25" i="70" s="1"/>
  <c r="G25" i="70"/>
  <c r="G24" i="70"/>
  <c r="H24" i="70" s="1"/>
  <c r="I24" i="70" s="1"/>
  <c r="H23" i="70"/>
  <c r="I23" i="70" s="1"/>
  <c r="G23" i="70"/>
  <c r="I22" i="70"/>
  <c r="H22" i="70"/>
  <c r="G22" i="70"/>
  <c r="F21" i="70"/>
  <c r="E21" i="70"/>
  <c r="G21" i="70" s="1"/>
  <c r="G20" i="70"/>
  <c r="F20" i="70"/>
  <c r="E20" i="70"/>
  <c r="F19" i="70"/>
  <c r="E19" i="70"/>
  <c r="G19" i="70" s="1"/>
  <c r="F18" i="70"/>
  <c r="E18" i="70"/>
  <c r="G18" i="70" s="1"/>
  <c r="H17" i="70"/>
  <c r="I17" i="70" s="1"/>
  <c r="G17" i="70"/>
  <c r="I59" i="69" l="1"/>
  <c r="G47" i="69"/>
  <c r="H47" i="69" s="1"/>
  <c r="I47" i="69" s="1"/>
  <c r="H45" i="69"/>
  <c r="I45" i="69" s="1"/>
  <c r="G45" i="69"/>
  <c r="G43" i="69"/>
  <c r="H43" i="69" s="1"/>
  <c r="I43" i="69" s="1"/>
  <c r="F36" i="69"/>
  <c r="H36" i="69" s="1"/>
  <c r="E36" i="69"/>
  <c r="G28" i="69"/>
  <c r="F28" i="69"/>
  <c r="H28" i="69" s="1"/>
  <c r="H27" i="69"/>
  <c r="I27" i="69" s="1"/>
  <c r="G27" i="69"/>
  <c r="G26" i="69"/>
  <c r="H26" i="69" s="1"/>
  <c r="I26" i="69" s="1"/>
  <c r="H25" i="69"/>
  <c r="I25" i="69" s="1"/>
  <c r="G25" i="69"/>
  <c r="I24" i="69"/>
  <c r="H24" i="69"/>
  <c r="G24" i="69"/>
  <c r="H23" i="69"/>
  <c r="G23" i="69"/>
  <c r="H22" i="69"/>
  <c r="I22" i="69" s="1"/>
  <c r="G22" i="69"/>
  <c r="F21" i="69"/>
  <c r="E21" i="69"/>
  <c r="G21" i="69" s="1"/>
  <c r="F20" i="69"/>
  <c r="E20" i="69"/>
  <c r="G20" i="69" s="1"/>
  <c r="G19" i="69"/>
  <c r="F19" i="69"/>
  <c r="E19" i="69"/>
  <c r="F18" i="69"/>
  <c r="E18" i="69"/>
  <c r="G18" i="69" s="1"/>
  <c r="G17" i="69"/>
  <c r="H17" i="69" s="1"/>
  <c r="I17" i="69" s="1"/>
  <c r="I61" i="68" l="1"/>
  <c r="G61" i="68"/>
  <c r="H49" i="68"/>
  <c r="I49" i="68" s="1"/>
  <c r="G49" i="68"/>
  <c r="G47" i="68"/>
  <c r="H47" i="68" s="1"/>
  <c r="I47" i="68" s="1"/>
  <c r="H45" i="68"/>
  <c r="I45" i="68" s="1"/>
  <c r="G45" i="68"/>
  <c r="E37" i="68"/>
  <c r="F37" i="68" s="1"/>
  <c r="H37" i="68" s="1"/>
  <c r="G26" i="68"/>
  <c r="H26" i="68" s="1"/>
  <c r="F26" i="68"/>
  <c r="G25" i="68"/>
  <c r="H25" i="68" s="1"/>
  <c r="I25" i="68" s="1"/>
  <c r="H24" i="68"/>
  <c r="I24" i="68" s="1"/>
  <c r="G24" i="68"/>
  <c r="G23" i="68"/>
  <c r="H23" i="68" s="1"/>
  <c r="I23" i="68" s="1"/>
  <c r="H22" i="68"/>
  <c r="I22" i="68" s="1"/>
  <c r="G22" i="68"/>
  <c r="G21" i="68"/>
  <c r="F21" i="68"/>
  <c r="E21" i="68"/>
  <c r="F20" i="68"/>
  <c r="E20" i="68"/>
  <c r="G20" i="68" s="1"/>
  <c r="F19" i="68"/>
  <c r="E19" i="68"/>
  <c r="G19" i="68" s="1"/>
  <c r="F18" i="68"/>
  <c r="E18" i="68"/>
  <c r="G18" i="68" s="1"/>
  <c r="G17" i="68"/>
  <c r="H17" i="68" s="1"/>
  <c r="I17" i="68" s="1"/>
  <c r="I60" i="67" l="1"/>
  <c r="H47" i="67"/>
  <c r="I47" i="67" s="1"/>
  <c r="G47" i="67"/>
  <c r="G44" i="67"/>
  <c r="H44" i="67" s="1"/>
  <c r="I44" i="67" s="1"/>
  <c r="G42" i="67"/>
  <c r="H42" i="67" s="1"/>
  <c r="I42" i="67" s="1"/>
  <c r="H36" i="67"/>
  <c r="F36" i="67"/>
  <c r="E36" i="67"/>
  <c r="G30" i="67"/>
  <c r="G29" i="67"/>
  <c r="G26" i="67"/>
  <c r="F26" i="67"/>
  <c r="H26" i="67" s="1"/>
  <c r="I26" i="67" s="1"/>
  <c r="G25" i="67"/>
  <c r="H25" i="67" s="1"/>
  <c r="I25" i="67" s="1"/>
  <c r="I24" i="67"/>
  <c r="H24" i="67"/>
  <c r="G24" i="67"/>
  <c r="H23" i="67"/>
  <c r="I23" i="67" s="1"/>
  <c r="G23" i="67"/>
  <c r="F22" i="67"/>
  <c r="E22" i="67"/>
  <c r="G22" i="67" s="1"/>
  <c r="F21" i="67"/>
  <c r="E21" i="67"/>
  <c r="G21" i="67" s="1"/>
  <c r="G20" i="67"/>
  <c r="F20" i="67"/>
  <c r="E20" i="67"/>
  <c r="G19" i="67"/>
  <c r="F19" i="67"/>
  <c r="E19" i="67"/>
  <c r="G18" i="67"/>
  <c r="H18" i="67" s="1"/>
  <c r="I18" i="67" s="1"/>
  <c r="I59" i="66" l="1"/>
  <c r="I55" i="66"/>
  <c r="G26" i="66" s="1"/>
  <c r="G25" i="66" s="1"/>
  <c r="H25" i="66" s="1"/>
  <c r="H44" i="66"/>
  <c r="I44" i="66" s="1"/>
  <c r="G44" i="66"/>
  <c r="G42" i="66"/>
  <c r="H42" i="66" s="1"/>
  <c r="I42" i="66" s="1"/>
  <c r="H40" i="66"/>
  <c r="I40" i="66" s="1"/>
  <c r="G40" i="66"/>
  <c r="E33" i="66"/>
  <c r="F33" i="66" s="1"/>
  <c r="H33" i="66" s="1"/>
  <c r="G29" i="66"/>
  <c r="G28" i="66" s="1"/>
  <c r="H28" i="66" s="1"/>
  <c r="F28" i="66"/>
  <c r="F25" i="66"/>
  <c r="H24" i="66"/>
  <c r="I24" i="66" s="1"/>
  <c r="G24" i="66"/>
  <c r="G23" i="66"/>
  <c r="H23" i="66" s="1"/>
  <c r="I23" i="66" s="1"/>
  <c r="H22" i="66"/>
  <c r="I22" i="66" s="1"/>
  <c r="G22" i="66"/>
  <c r="G21" i="66"/>
  <c r="F21" i="66"/>
  <c r="E21" i="66"/>
  <c r="G20" i="66"/>
  <c r="F20" i="66"/>
  <c r="E20" i="66"/>
  <c r="F19" i="66"/>
  <c r="E19" i="66"/>
  <c r="G19" i="66" s="1"/>
  <c r="F18" i="66"/>
  <c r="E18" i="66"/>
  <c r="G18" i="66" s="1"/>
  <c r="G17" i="66"/>
  <c r="H17" i="66" s="1"/>
  <c r="I17" i="66" s="1"/>
  <c r="I53" i="65" l="1"/>
  <c r="G43" i="65"/>
  <c r="H43" i="65" s="1"/>
  <c r="I43" i="65" s="1"/>
  <c r="H41" i="65"/>
  <c r="I41" i="65" s="1"/>
  <c r="G41" i="65"/>
  <c r="G39" i="65"/>
  <c r="H39" i="65" s="1"/>
  <c r="I39" i="65" s="1"/>
  <c r="F33" i="65"/>
  <c r="H33" i="65" s="1"/>
  <c r="E33" i="65"/>
  <c r="G26" i="65"/>
  <c r="G25" i="65" s="1"/>
  <c r="F25" i="65"/>
  <c r="G24" i="65"/>
  <c r="H24" i="65" s="1"/>
  <c r="I24" i="65" s="1"/>
  <c r="H23" i="65"/>
  <c r="I23" i="65" s="1"/>
  <c r="G23" i="65"/>
  <c r="G22" i="65"/>
  <c r="H22" i="65" s="1"/>
  <c r="I22" i="65" s="1"/>
  <c r="F21" i="65"/>
  <c r="E21" i="65"/>
  <c r="G21" i="65" s="1"/>
  <c r="G20" i="65"/>
  <c r="F20" i="65"/>
  <c r="E20" i="65"/>
  <c r="F19" i="65"/>
  <c r="E19" i="65"/>
  <c r="G19" i="65" s="1"/>
  <c r="F18" i="65"/>
  <c r="E18" i="65"/>
  <c r="G18" i="65" s="1"/>
  <c r="H17" i="65"/>
  <c r="I17" i="65" s="1"/>
  <c r="G17" i="65"/>
  <c r="H25" i="65" l="1"/>
  <c r="I56" i="64"/>
  <c r="G26" i="64" s="1"/>
  <c r="H45" i="64"/>
  <c r="I45" i="64" s="1"/>
  <c r="G45" i="64"/>
  <c r="G43" i="64"/>
  <c r="H43" i="64" s="1"/>
  <c r="I43" i="64" s="1"/>
  <c r="F37" i="64"/>
  <c r="I37" i="64" s="1"/>
  <c r="E37" i="64"/>
  <c r="E31" i="64"/>
  <c r="F25" i="64"/>
  <c r="H24" i="64"/>
  <c r="I24" i="64" s="1"/>
  <c r="G24" i="64"/>
  <c r="G23" i="64"/>
  <c r="H23" i="64" s="1"/>
  <c r="I23" i="64" s="1"/>
  <c r="G22" i="64"/>
  <c r="H22" i="64" s="1"/>
  <c r="F21" i="64"/>
  <c r="E21" i="64"/>
  <c r="G21" i="64" s="1"/>
  <c r="G20" i="64"/>
  <c r="F20" i="64"/>
  <c r="E20" i="64"/>
  <c r="G19" i="64"/>
  <c r="F19" i="64"/>
  <c r="E19" i="64"/>
  <c r="F18" i="64"/>
  <c r="E18" i="64"/>
  <c r="G18" i="64" s="1"/>
  <c r="H17" i="64"/>
  <c r="I17" i="64" s="1"/>
  <c r="G17" i="64"/>
  <c r="G25" i="64" l="1"/>
  <c r="H25" i="64" s="1"/>
  <c r="I57" i="63"/>
  <c r="G26" i="63" s="1"/>
  <c r="G46" i="63"/>
  <c r="H46" i="63" s="1"/>
  <c r="I46" i="63" s="1"/>
  <c r="H44" i="63"/>
  <c r="I44" i="63" s="1"/>
  <c r="G44" i="63"/>
  <c r="E37" i="63"/>
  <c r="F37" i="63" s="1"/>
  <c r="H37" i="63" s="1"/>
  <c r="G25" i="63"/>
  <c r="F25" i="63"/>
  <c r="H25" i="63" s="1"/>
  <c r="H24" i="63"/>
  <c r="I24" i="63" s="1"/>
  <c r="G24" i="63"/>
  <c r="G23" i="63"/>
  <c r="H23" i="63" s="1"/>
  <c r="I23" i="63" s="1"/>
  <c r="G22" i="63"/>
  <c r="F22" i="63"/>
  <c r="E22" i="63"/>
  <c r="F21" i="63"/>
  <c r="E21" i="63"/>
  <c r="G21" i="63" s="1"/>
  <c r="F20" i="63"/>
  <c r="E20" i="63"/>
  <c r="G20" i="63" s="1"/>
  <c r="G19" i="63"/>
  <c r="F19" i="63"/>
  <c r="E19" i="63"/>
  <c r="H18" i="63"/>
  <c r="I18" i="63" s="1"/>
  <c r="G18" i="63"/>
  <c r="I56" i="62" l="1"/>
  <c r="G46" i="62"/>
  <c r="H46" i="62" s="1"/>
  <c r="I46" i="62" s="1"/>
  <c r="H44" i="62"/>
  <c r="I44" i="62" s="1"/>
  <c r="G44" i="62"/>
  <c r="E36" i="62"/>
  <c r="F36" i="62" s="1"/>
  <c r="H36" i="62" s="1"/>
  <c r="E29" i="62"/>
  <c r="G26" i="62"/>
  <c r="F26" i="62"/>
  <c r="H26" i="62" s="1"/>
  <c r="H25" i="62"/>
  <c r="I25" i="62" s="1"/>
  <c r="G25" i="62"/>
  <c r="I24" i="62"/>
  <c r="H24" i="62"/>
  <c r="G24" i="62"/>
  <c r="H23" i="62"/>
  <c r="I23" i="62" s="1"/>
  <c r="G23" i="62"/>
  <c r="F22" i="62"/>
  <c r="E22" i="62"/>
  <c r="G22" i="62" s="1"/>
  <c r="G21" i="62"/>
  <c r="F21" i="62"/>
  <c r="E21" i="62"/>
  <c r="G20" i="62"/>
  <c r="F20" i="62"/>
  <c r="E20" i="62"/>
  <c r="F19" i="62"/>
  <c r="E19" i="62"/>
  <c r="G19" i="62" s="1"/>
  <c r="H18" i="62"/>
  <c r="G18" i="62"/>
  <c r="I57" i="61" l="1"/>
  <c r="G47" i="61"/>
  <c r="H47" i="61" s="1"/>
  <c r="I47" i="61" s="1"/>
  <c r="H45" i="61"/>
  <c r="I45" i="61" s="1"/>
  <c r="G45" i="61"/>
  <c r="E37" i="61"/>
  <c r="F37" i="61" s="1"/>
  <c r="H37" i="61" s="1"/>
  <c r="G30" i="61"/>
  <c r="G26" i="61"/>
  <c r="F26" i="61"/>
  <c r="H26" i="61" s="1"/>
  <c r="H25" i="61"/>
  <c r="I25" i="61" s="1"/>
  <c r="G25" i="61"/>
  <c r="G24" i="61"/>
  <c r="H24" i="61" s="1"/>
  <c r="I24" i="61" s="1"/>
  <c r="F23" i="61"/>
  <c r="E23" i="61"/>
  <c r="G23" i="61" s="1"/>
  <c r="F22" i="61"/>
  <c r="E22" i="61"/>
  <c r="G22" i="61" s="1"/>
  <c r="G21" i="61"/>
  <c r="F21" i="61"/>
  <c r="E21" i="61"/>
  <c r="F20" i="61"/>
  <c r="E20" i="61"/>
  <c r="G20" i="61" s="1"/>
  <c r="H19" i="61"/>
  <c r="I19" i="61" s="1"/>
  <c r="G19" i="61"/>
  <c r="I56" i="60" l="1"/>
  <c r="G46" i="60"/>
  <c r="H46" i="60" s="1"/>
  <c r="I46" i="60" s="1"/>
  <c r="H44" i="60"/>
  <c r="I44" i="60" s="1"/>
  <c r="G44" i="60"/>
  <c r="E36" i="60"/>
  <c r="F36" i="60" s="1"/>
  <c r="H36" i="60" s="1"/>
  <c r="G29" i="60"/>
  <c r="G26" i="60"/>
  <c r="F26" i="60"/>
  <c r="H26" i="60" s="1"/>
  <c r="H25" i="60"/>
  <c r="I25" i="60" s="1"/>
  <c r="G25" i="60"/>
  <c r="G24" i="60"/>
  <c r="H24" i="60" s="1"/>
  <c r="I24" i="60" s="1"/>
  <c r="H23" i="60"/>
  <c r="I23" i="60" s="1"/>
  <c r="G23" i="60"/>
  <c r="F22" i="60"/>
  <c r="E22" i="60"/>
  <c r="G22" i="60" s="1"/>
  <c r="F21" i="60"/>
  <c r="E21" i="60"/>
  <c r="G21" i="60" s="1"/>
  <c r="G20" i="60"/>
  <c r="F20" i="60"/>
  <c r="E20" i="60"/>
  <c r="F19" i="60"/>
  <c r="E19" i="60"/>
  <c r="G19" i="60" s="1"/>
  <c r="G18" i="60"/>
  <c r="H18" i="60" s="1"/>
  <c r="I18" i="60" s="1"/>
  <c r="I58" i="59" l="1"/>
  <c r="G47" i="59"/>
  <c r="H47" i="59" s="1"/>
  <c r="I47" i="59" s="1"/>
  <c r="H45" i="59"/>
  <c r="I45" i="59" s="1"/>
  <c r="G45" i="59"/>
  <c r="E37" i="59"/>
  <c r="F37" i="59" s="1"/>
  <c r="H37" i="59" s="1"/>
  <c r="G31" i="59"/>
  <c r="H31" i="59" s="1"/>
  <c r="F31" i="59"/>
  <c r="E31" i="59"/>
  <c r="G27" i="59"/>
  <c r="H27" i="59" s="1"/>
  <c r="F27" i="59"/>
  <c r="G26" i="59"/>
  <c r="H26" i="59" s="1"/>
  <c r="I26" i="59" s="1"/>
  <c r="H25" i="59"/>
  <c r="I25" i="59" s="1"/>
  <c r="G25" i="59"/>
  <c r="H24" i="59"/>
  <c r="G24" i="59"/>
  <c r="F23" i="59"/>
  <c r="E23" i="59"/>
  <c r="G23" i="59" s="1"/>
  <c r="F22" i="59"/>
  <c r="E22" i="59"/>
  <c r="G22" i="59" s="1"/>
  <c r="F21" i="59"/>
  <c r="E21" i="59"/>
  <c r="G21" i="59" s="1"/>
  <c r="F20" i="59"/>
  <c r="E20" i="59"/>
  <c r="G20" i="59" s="1"/>
  <c r="G18" i="59"/>
  <c r="H18" i="59" s="1"/>
  <c r="I18" i="59" s="1"/>
  <c r="I60" i="58" l="1"/>
  <c r="H47" i="58"/>
  <c r="I47" i="58" s="1"/>
  <c r="G47" i="58"/>
  <c r="G44" i="58"/>
  <c r="H44" i="58" s="1"/>
  <c r="I44" i="58" s="1"/>
  <c r="G42" i="58"/>
  <c r="H42" i="58" s="1"/>
  <c r="I42" i="58" s="1"/>
  <c r="E35" i="58"/>
  <c r="F35" i="58" s="1"/>
  <c r="H35" i="58" s="1"/>
  <c r="G31" i="58"/>
  <c r="H30" i="58"/>
  <c r="F30" i="58"/>
  <c r="G27" i="58"/>
  <c r="G28" i="58" s="1"/>
  <c r="F27" i="58"/>
  <c r="G26" i="58"/>
  <c r="H26" i="58" s="1"/>
  <c r="I26" i="58" s="1"/>
  <c r="H25" i="58"/>
  <c r="I25" i="58" s="1"/>
  <c r="G25" i="58"/>
  <c r="H24" i="58"/>
  <c r="G24" i="58"/>
  <c r="F23" i="58"/>
  <c r="E23" i="58"/>
  <c r="G23" i="58" s="1"/>
  <c r="F22" i="58"/>
  <c r="E22" i="58"/>
  <c r="G22" i="58" s="1"/>
  <c r="G20" i="58"/>
  <c r="F20" i="58"/>
  <c r="E20" i="58"/>
  <c r="G19" i="58"/>
  <c r="F19" i="58"/>
  <c r="E19" i="58"/>
  <c r="G18" i="58"/>
  <c r="H18" i="58" s="1"/>
  <c r="I18" i="58" s="1"/>
  <c r="H27" i="58" l="1"/>
  <c r="I55" i="57"/>
  <c r="I42" i="57"/>
  <c r="H42" i="57"/>
  <c r="G42" i="57"/>
  <c r="H40" i="57"/>
  <c r="I40" i="57" s="1"/>
  <c r="G40" i="57"/>
  <c r="E33" i="57"/>
  <c r="F33" i="57" s="1"/>
  <c r="H33" i="57" s="1"/>
  <c r="G28" i="57"/>
  <c r="G29" i="57" s="1"/>
  <c r="F28" i="57"/>
  <c r="H28" i="57" s="1"/>
  <c r="G26" i="57"/>
  <c r="H26" i="57" s="1"/>
  <c r="I26" i="57" s="1"/>
  <c r="I25" i="57"/>
  <c r="H25" i="57"/>
  <c r="G25" i="57"/>
  <c r="H24" i="57"/>
  <c r="I24" i="57" s="1"/>
  <c r="G24" i="57"/>
  <c r="G23" i="57"/>
  <c r="H23" i="57" s="1"/>
  <c r="G22" i="57"/>
  <c r="F22" i="57"/>
  <c r="E22" i="57"/>
  <c r="G21" i="57"/>
  <c r="F21" i="57"/>
  <c r="E21" i="57"/>
  <c r="F20" i="57"/>
  <c r="E20" i="57"/>
  <c r="G20" i="57" s="1"/>
  <c r="F19" i="57"/>
  <c r="E19" i="57"/>
  <c r="G19" i="57" s="1"/>
  <c r="I18" i="57"/>
  <c r="H18" i="57"/>
  <c r="G18" i="57"/>
  <c r="I60" i="56" l="1"/>
  <c r="H44" i="56"/>
  <c r="I44" i="56" s="1"/>
  <c r="G44" i="56"/>
  <c r="G42" i="56"/>
  <c r="H42" i="56" s="1"/>
  <c r="I42" i="56" s="1"/>
  <c r="E36" i="56"/>
  <c r="F36" i="56" s="1"/>
  <c r="H36" i="56" s="1"/>
  <c r="F29" i="56"/>
  <c r="E29" i="56"/>
  <c r="G25" i="56"/>
  <c r="F25" i="56"/>
  <c r="H25" i="56" s="1"/>
  <c r="G24" i="56"/>
  <c r="H24" i="56" s="1"/>
  <c r="I24" i="56" s="1"/>
  <c r="I23" i="56"/>
  <c r="H23" i="56"/>
  <c r="G23" i="56"/>
  <c r="G22" i="56"/>
  <c r="F22" i="56"/>
  <c r="E22" i="56"/>
  <c r="F21" i="56"/>
  <c r="E21" i="56"/>
  <c r="G21" i="56" s="1"/>
  <c r="F20" i="56"/>
  <c r="E20" i="56"/>
  <c r="G20" i="56" s="1"/>
  <c r="G19" i="56"/>
  <c r="F19" i="56"/>
  <c r="E19" i="56"/>
  <c r="H18" i="56"/>
  <c r="I18" i="56" s="1"/>
  <c r="G18" i="56"/>
  <c r="I53" i="55" l="1"/>
  <c r="H42" i="55"/>
  <c r="I42" i="55" s="1"/>
  <c r="G42" i="55"/>
  <c r="H31" i="55"/>
  <c r="G28" i="55"/>
  <c r="H28" i="55" s="1"/>
  <c r="F28" i="55"/>
  <c r="G27" i="55"/>
  <c r="H27" i="55" s="1"/>
  <c r="I27" i="55" s="1"/>
  <c r="G26" i="55"/>
  <c r="H26" i="55" s="1"/>
  <c r="I26" i="55" s="1"/>
  <c r="G25" i="55"/>
  <c r="F25" i="55"/>
  <c r="E25" i="55"/>
  <c r="G24" i="55"/>
  <c r="F24" i="55"/>
  <c r="E24" i="55"/>
  <c r="F22" i="55"/>
  <c r="E22" i="55"/>
  <c r="G22" i="55" s="1"/>
  <c r="F21" i="55"/>
  <c r="E21" i="55"/>
  <c r="G21" i="55" s="1"/>
  <c r="I19" i="55"/>
  <c r="H19" i="55"/>
  <c r="G19" i="55"/>
  <c r="I54" i="54" l="1"/>
  <c r="G41" i="54"/>
  <c r="H41" i="54" s="1"/>
  <c r="I41" i="54" s="1"/>
  <c r="H31" i="54"/>
  <c r="H28" i="54"/>
  <c r="G28" i="54"/>
  <c r="F28" i="54"/>
  <c r="H27" i="54"/>
  <c r="I27" i="54" s="1"/>
  <c r="G27" i="54"/>
  <c r="I26" i="54"/>
  <c r="H26" i="54"/>
  <c r="G26" i="54"/>
  <c r="F25" i="54"/>
  <c r="E25" i="54"/>
  <c r="G25" i="54" s="1"/>
  <c r="G24" i="54"/>
  <c r="F24" i="54"/>
  <c r="E24" i="54"/>
  <c r="F22" i="54"/>
  <c r="E22" i="54"/>
  <c r="G22" i="54" s="1"/>
  <c r="F21" i="54"/>
  <c r="E21" i="54"/>
  <c r="G21" i="54" s="1"/>
  <c r="H19" i="54"/>
  <c r="I19" i="54" s="1"/>
  <c r="G19" i="54"/>
  <c r="I62" i="53" l="1"/>
  <c r="G44" i="53"/>
  <c r="H44" i="53" s="1"/>
  <c r="I44" i="53" s="1"/>
  <c r="H42" i="53"/>
  <c r="I42" i="53" s="1"/>
  <c r="G42" i="53"/>
  <c r="E36" i="53"/>
  <c r="F36" i="53" s="1"/>
  <c r="H36" i="53" s="1"/>
  <c r="G25" i="53"/>
  <c r="H25" i="53" s="1"/>
  <c r="F25" i="53"/>
  <c r="G24" i="53"/>
  <c r="H24" i="53" s="1"/>
  <c r="I24" i="53" s="1"/>
  <c r="H23" i="53"/>
  <c r="I23" i="53" s="1"/>
  <c r="G23" i="53"/>
  <c r="F22" i="53"/>
  <c r="E22" i="53"/>
  <c r="G22" i="53" s="1"/>
  <c r="F21" i="53"/>
  <c r="E21" i="53"/>
  <c r="G21" i="53" s="1"/>
  <c r="G20" i="53"/>
  <c r="F20" i="53"/>
  <c r="E20" i="53"/>
  <c r="F19" i="53"/>
  <c r="E19" i="53"/>
  <c r="G19" i="53" s="1"/>
  <c r="G18" i="53"/>
  <c r="H18" i="53" s="1"/>
  <c r="I18" i="53" s="1"/>
  <c r="I54" i="52" l="1"/>
  <c r="G44" i="52"/>
  <c r="H44" i="52" s="1"/>
  <c r="I44" i="52" s="1"/>
  <c r="H42" i="52"/>
  <c r="I42" i="52" s="1"/>
  <c r="G42" i="52"/>
  <c r="H31" i="52"/>
  <c r="G28" i="52"/>
  <c r="F28" i="52"/>
  <c r="H28" i="52" s="1"/>
  <c r="G27" i="52"/>
  <c r="H27" i="52" s="1"/>
  <c r="I27" i="52" s="1"/>
  <c r="H26" i="52"/>
  <c r="I26" i="52" s="1"/>
  <c r="G26" i="52"/>
  <c r="G25" i="52"/>
  <c r="F25" i="52"/>
  <c r="E25" i="52"/>
  <c r="F24" i="52"/>
  <c r="E24" i="52"/>
  <c r="G24" i="52" s="1"/>
  <c r="F23" i="52"/>
  <c r="E23" i="52"/>
  <c r="G23" i="52" s="1"/>
  <c r="G22" i="52"/>
  <c r="F22" i="52"/>
  <c r="E22" i="52"/>
  <c r="G20" i="52"/>
  <c r="H20" i="52" s="1"/>
  <c r="I20" i="52" s="1"/>
  <c r="G19" i="52"/>
  <c r="I59" i="51" l="1"/>
  <c r="G47" i="51"/>
  <c r="H47" i="51" s="1"/>
  <c r="I47" i="51" s="1"/>
  <c r="H45" i="51"/>
  <c r="I45" i="51" s="1"/>
  <c r="G45" i="51"/>
  <c r="I43" i="51"/>
  <c r="H43" i="51"/>
  <c r="G43" i="51"/>
  <c r="F36" i="51"/>
  <c r="H36" i="51" s="1"/>
  <c r="E36" i="51"/>
  <c r="H31" i="51"/>
  <c r="F31" i="51"/>
  <c r="G29" i="51"/>
  <c r="G28" i="51"/>
  <c r="F28" i="51"/>
  <c r="H28" i="51" s="1"/>
  <c r="H27" i="51"/>
  <c r="G27" i="51"/>
  <c r="G26" i="51"/>
  <c r="H26" i="51" s="1"/>
  <c r="I26" i="51" s="1"/>
  <c r="H25" i="51"/>
  <c r="I25" i="51" s="1"/>
  <c r="G25" i="51"/>
  <c r="I24" i="51"/>
  <c r="H24" i="51"/>
  <c r="G24" i="51"/>
  <c r="H23" i="51"/>
  <c r="G23" i="51"/>
  <c r="F22" i="51"/>
  <c r="E22" i="51"/>
  <c r="G22" i="51" s="1"/>
  <c r="F21" i="51"/>
  <c r="E21" i="51"/>
  <c r="G21" i="51" s="1"/>
  <c r="F20" i="51"/>
  <c r="E20" i="51"/>
  <c r="G20" i="51" s="1"/>
  <c r="G19" i="51"/>
  <c r="F19" i="51"/>
  <c r="E19" i="51"/>
  <c r="H18" i="51"/>
  <c r="I18" i="51" s="1"/>
  <c r="G18" i="51"/>
  <c r="I61" i="50" l="1"/>
  <c r="G26" i="50" s="1"/>
  <c r="G25" i="50" s="1"/>
  <c r="H25" i="50" s="1"/>
  <c r="G46" i="50"/>
  <c r="H46" i="50" s="1"/>
  <c r="I46" i="50" s="1"/>
  <c r="H44" i="50"/>
  <c r="I44" i="50" s="1"/>
  <c r="G44" i="50"/>
  <c r="G42" i="50"/>
  <c r="H42" i="50" s="1"/>
  <c r="I42" i="50" s="1"/>
  <c r="E36" i="50"/>
  <c r="F36" i="50" s="1"/>
  <c r="H36" i="50" s="1"/>
  <c r="H29" i="50"/>
  <c r="F29" i="50"/>
  <c r="F25" i="50"/>
  <c r="G24" i="50"/>
  <c r="H24" i="50" s="1"/>
  <c r="I24" i="50" s="1"/>
  <c r="H23" i="50"/>
  <c r="I23" i="50" s="1"/>
  <c r="G23" i="50"/>
  <c r="G22" i="50"/>
  <c r="F22" i="50"/>
  <c r="E22" i="50"/>
  <c r="G21" i="50"/>
  <c r="F21" i="50"/>
  <c r="E21" i="50"/>
  <c r="F20" i="50"/>
  <c r="E20" i="50"/>
  <c r="G20" i="50" s="1"/>
  <c r="F19" i="50"/>
  <c r="E19" i="50"/>
  <c r="G19" i="50" s="1"/>
  <c r="H18" i="50"/>
  <c r="G18" i="50"/>
  <c r="I56" i="49" l="1"/>
  <c r="G45" i="49"/>
  <c r="H45" i="49" s="1"/>
  <c r="I45" i="49" s="1"/>
  <c r="H42" i="49"/>
  <c r="I42" i="49" s="1"/>
  <c r="G42" i="49"/>
  <c r="G40" i="49"/>
  <c r="H40" i="49" s="1"/>
  <c r="I40" i="49" s="1"/>
  <c r="I39" i="49"/>
  <c r="E33" i="49"/>
  <c r="F33" i="49" s="1"/>
  <c r="H33" i="49" s="1"/>
  <c r="G28" i="49"/>
  <c r="H28" i="49" s="1"/>
  <c r="F28" i="49"/>
  <c r="H27" i="49"/>
  <c r="G27" i="49"/>
  <c r="G25" i="49"/>
  <c r="H25" i="49" s="1"/>
  <c r="I25" i="49" s="1"/>
  <c r="H24" i="49"/>
  <c r="I24" i="49" s="1"/>
  <c r="G24" i="49"/>
  <c r="F23" i="49"/>
  <c r="E23" i="49"/>
  <c r="G23" i="49" s="1"/>
  <c r="F22" i="49"/>
  <c r="E22" i="49"/>
  <c r="G22" i="49" s="1"/>
  <c r="F21" i="49"/>
  <c r="E21" i="49"/>
  <c r="G21" i="49" s="1"/>
  <c r="G20" i="49"/>
  <c r="F20" i="49"/>
  <c r="E20" i="49"/>
  <c r="H18" i="49"/>
  <c r="G18" i="49"/>
  <c r="I60" i="48" l="1"/>
  <c r="H49" i="48"/>
  <c r="I49" i="48" s="1"/>
  <c r="G49" i="48"/>
  <c r="G46" i="48"/>
  <c r="H46" i="48" s="1"/>
  <c r="I46" i="48" s="1"/>
  <c r="G44" i="48"/>
  <c r="H44" i="48" s="1"/>
  <c r="I44" i="48" s="1"/>
  <c r="H36" i="48"/>
  <c r="F36" i="48"/>
  <c r="E36" i="48"/>
  <c r="F31" i="48"/>
  <c r="G29" i="48"/>
  <c r="G25" i="48"/>
  <c r="F25" i="48"/>
  <c r="H25" i="48" s="1"/>
  <c r="I24" i="48"/>
  <c r="H24" i="48"/>
  <c r="G24" i="48"/>
  <c r="H23" i="48"/>
  <c r="I23" i="48" s="1"/>
  <c r="G23" i="48"/>
  <c r="F22" i="48"/>
  <c r="E22" i="48"/>
  <c r="G22" i="48" s="1"/>
  <c r="F21" i="48"/>
  <c r="E21" i="48"/>
  <c r="G21" i="48" s="1"/>
  <c r="G20" i="48"/>
  <c r="F20" i="48"/>
  <c r="E20" i="48"/>
  <c r="G19" i="48"/>
  <c r="F19" i="48"/>
  <c r="E19" i="48"/>
  <c r="G18" i="48"/>
  <c r="H18" i="48" s="1"/>
  <c r="I18" i="48" s="1"/>
  <c r="I58" i="47" l="1"/>
  <c r="H46" i="47"/>
  <c r="I46" i="47" s="1"/>
  <c r="G46" i="47"/>
  <c r="G44" i="47"/>
  <c r="H44" i="47" s="1"/>
  <c r="I44" i="47" s="1"/>
  <c r="E37" i="47"/>
  <c r="F37" i="47" s="1"/>
  <c r="H37" i="47" s="1"/>
  <c r="G31" i="47"/>
  <c r="G30" i="47" s="1"/>
  <c r="E30" i="47"/>
  <c r="G27" i="47"/>
  <c r="H27" i="47" s="1"/>
  <c r="F27" i="47"/>
  <c r="G26" i="47"/>
  <c r="H26" i="47" s="1"/>
  <c r="I26" i="47" s="1"/>
  <c r="G25" i="47"/>
  <c r="H25" i="47" s="1"/>
  <c r="I25" i="47" s="1"/>
  <c r="G24" i="47"/>
  <c r="H24" i="47" s="1"/>
  <c r="I24" i="47" s="1"/>
  <c r="G23" i="47"/>
  <c r="F23" i="47"/>
  <c r="E23" i="47"/>
  <c r="F22" i="47"/>
  <c r="E22" i="47"/>
  <c r="G22" i="47" s="1"/>
  <c r="F21" i="47"/>
  <c r="E21" i="47"/>
  <c r="G21" i="47" s="1"/>
  <c r="G20" i="47"/>
  <c r="F20" i="47"/>
  <c r="E20" i="47"/>
  <c r="H18" i="47"/>
  <c r="I18" i="47" s="1"/>
  <c r="G18" i="47"/>
  <c r="I58" i="46" l="1"/>
  <c r="G43" i="46"/>
  <c r="H43" i="46" s="1"/>
  <c r="I43" i="46" s="1"/>
  <c r="H41" i="46"/>
  <c r="I41" i="46" s="1"/>
  <c r="G41" i="46"/>
  <c r="E36" i="46"/>
  <c r="F36" i="46" s="1"/>
  <c r="H36" i="46" s="1"/>
  <c r="G31" i="46"/>
  <c r="G27" i="46"/>
  <c r="F27" i="46"/>
  <c r="H27" i="46" s="1"/>
  <c r="I27" i="46" s="1"/>
  <c r="G26" i="46"/>
  <c r="H26" i="46" s="1"/>
  <c r="I26" i="46" s="1"/>
  <c r="H25" i="46"/>
  <c r="I25" i="46" s="1"/>
  <c r="G25" i="46"/>
  <c r="H24" i="46"/>
  <c r="G24" i="46"/>
  <c r="F23" i="46"/>
  <c r="E23" i="46"/>
  <c r="G23" i="46" s="1"/>
  <c r="F22" i="46"/>
  <c r="E22" i="46"/>
  <c r="G22" i="46" s="1"/>
  <c r="G21" i="46"/>
  <c r="F21" i="46"/>
  <c r="E21" i="46"/>
  <c r="F20" i="46"/>
  <c r="E20" i="46"/>
  <c r="G20" i="46" s="1"/>
  <c r="G19" i="46"/>
  <c r="H19" i="46" s="1"/>
  <c r="I19" i="46" s="1"/>
  <c r="I60" i="45" l="1"/>
  <c r="G45" i="45"/>
  <c r="H45" i="45" s="1"/>
  <c r="I45" i="45" s="1"/>
  <c r="G43" i="45"/>
  <c r="H43" i="45" s="1"/>
  <c r="I43" i="45" s="1"/>
  <c r="E37" i="45"/>
  <c r="F37" i="45" s="1"/>
  <c r="H37" i="45" s="1"/>
  <c r="G30" i="45"/>
  <c r="G27" i="45"/>
  <c r="F27" i="45"/>
  <c r="H27" i="45" s="1"/>
  <c r="I27" i="45" s="1"/>
  <c r="I26" i="45"/>
  <c r="H26" i="45"/>
  <c r="G26" i="45"/>
  <c r="H25" i="45"/>
  <c r="I25" i="45" s="1"/>
  <c r="G25" i="45"/>
  <c r="G24" i="45"/>
  <c r="H24" i="45" s="1"/>
  <c r="G23" i="45"/>
  <c r="F23" i="45"/>
  <c r="E23" i="45"/>
  <c r="G22" i="45"/>
  <c r="F22" i="45"/>
  <c r="E22" i="45"/>
  <c r="F21" i="45"/>
  <c r="E21" i="45"/>
  <c r="G21" i="45" s="1"/>
  <c r="F20" i="45"/>
  <c r="E20" i="45"/>
  <c r="G20" i="45" s="1"/>
  <c r="I19" i="45"/>
  <c r="H19" i="45"/>
  <c r="G19" i="45"/>
  <c r="I59" i="44" l="1"/>
  <c r="G47" i="44"/>
  <c r="H47" i="44" s="1"/>
  <c r="I47" i="44" s="1"/>
  <c r="G45" i="44"/>
  <c r="H45" i="44" s="1"/>
  <c r="I45" i="44" s="1"/>
  <c r="E38" i="44"/>
  <c r="F38" i="44" s="1"/>
  <c r="H38" i="44" s="1"/>
  <c r="F31" i="44"/>
  <c r="H31" i="44" s="1"/>
  <c r="G27" i="44"/>
  <c r="F27" i="44"/>
  <c r="H27" i="44" s="1"/>
  <c r="G26" i="44"/>
  <c r="H26" i="44" s="1"/>
  <c r="I26" i="44" s="1"/>
  <c r="H25" i="44"/>
  <c r="I25" i="44" s="1"/>
  <c r="G25" i="44"/>
  <c r="H24" i="44"/>
  <c r="G24" i="44"/>
  <c r="G23" i="44"/>
  <c r="F23" i="44"/>
  <c r="E23" i="44"/>
  <c r="G22" i="44"/>
  <c r="F22" i="44"/>
  <c r="E22" i="44"/>
  <c r="F21" i="44"/>
  <c r="E21" i="44"/>
  <c r="G21" i="44" s="1"/>
  <c r="F20" i="44"/>
  <c r="E20" i="44"/>
  <c r="G20" i="44" s="1"/>
  <c r="G19" i="44"/>
  <c r="H19" i="44" s="1"/>
  <c r="I19" i="44" s="1"/>
  <c r="I64" i="43" l="1"/>
  <c r="G53" i="43"/>
  <c r="H53" i="43" s="1"/>
  <c r="I53" i="43" s="1"/>
  <c r="I51" i="43"/>
  <c r="G50" i="43"/>
  <c r="H50" i="43" s="1"/>
  <c r="I50" i="43" s="1"/>
  <c r="G48" i="43"/>
  <c r="H48" i="43" s="1"/>
  <c r="I48" i="43" s="1"/>
  <c r="H41" i="43"/>
  <c r="F41" i="43"/>
  <c r="E41" i="43"/>
  <c r="F35" i="43"/>
  <c r="H35" i="43" s="1"/>
  <c r="I34" i="43"/>
  <c r="G31" i="43"/>
  <c r="F31" i="43"/>
  <c r="H31" i="43" s="1"/>
  <c r="G30" i="43"/>
  <c r="H30" i="43" s="1"/>
  <c r="I30" i="43" s="1"/>
  <c r="I29" i="43"/>
  <c r="H29" i="43"/>
  <c r="G29" i="43"/>
  <c r="H28" i="43"/>
  <c r="I28" i="43" s="1"/>
  <c r="G28" i="43"/>
  <c r="F26" i="43"/>
  <c r="E26" i="43"/>
  <c r="G26" i="43" s="1"/>
  <c r="F25" i="43"/>
  <c r="E25" i="43"/>
  <c r="G25" i="43" s="1"/>
  <c r="G23" i="43"/>
  <c r="F23" i="43"/>
  <c r="E23" i="43"/>
  <c r="G22" i="43"/>
  <c r="F22" i="43"/>
  <c r="E22" i="43"/>
  <c r="G20" i="43"/>
  <c r="H20" i="43" s="1"/>
  <c r="I20" i="43" s="1"/>
  <c r="I58" i="41" l="1"/>
  <c r="I54" i="41"/>
  <c r="H40" i="41"/>
  <c r="I40" i="41" s="1"/>
  <c r="G40" i="41"/>
  <c r="G39" i="41"/>
  <c r="H39" i="41" s="1"/>
  <c r="I39" i="41" s="1"/>
  <c r="G38" i="41"/>
  <c r="H38" i="41" s="1"/>
  <c r="I38" i="41" s="1"/>
  <c r="E32" i="41"/>
  <c r="F32" i="41" s="1"/>
  <c r="H32" i="41" s="1"/>
  <c r="G28" i="41"/>
  <c r="G27" i="41" s="1"/>
  <c r="H27" i="41" s="1"/>
  <c r="F27" i="41"/>
  <c r="E27" i="41"/>
  <c r="H26" i="41"/>
  <c r="G26" i="41"/>
  <c r="G25" i="41"/>
  <c r="H25" i="41" s="1"/>
  <c r="I25" i="41" s="1"/>
  <c r="H24" i="41"/>
  <c r="I24" i="41" s="1"/>
  <c r="G24" i="41"/>
  <c r="G23" i="41"/>
  <c r="H23" i="41" s="1"/>
  <c r="I23" i="41" s="1"/>
  <c r="G22" i="41"/>
  <c r="F22" i="41"/>
  <c r="E22" i="41"/>
  <c r="F21" i="41"/>
  <c r="E21" i="41"/>
  <c r="G21" i="41" s="1"/>
  <c r="F20" i="41"/>
  <c r="E20" i="41"/>
  <c r="G20" i="41" s="1"/>
  <c r="G19" i="41"/>
  <c r="F19" i="41"/>
  <c r="E19" i="41"/>
  <c r="H18" i="41"/>
  <c r="I18" i="41" s="1"/>
  <c r="G18" i="41"/>
  <c r="I62" i="40" l="1"/>
  <c r="G46" i="40"/>
  <c r="H46" i="40" s="1"/>
  <c r="I46" i="40" s="1"/>
  <c r="I44" i="40"/>
  <c r="G43" i="40"/>
  <c r="H43" i="40" s="1"/>
  <c r="I43" i="40" s="1"/>
  <c r="G41" i="40"/>
  <c r="H41" i="40" s="1"/>
  <c r="I41" i="40" s="1"/>
  <c r="H36" i="40"/>
  <c r="F36" i="40"/>
  <c r="E36" i="40"/>
  <c r="G31" i="40"/>
  <c r="H31" i="40" s="1"/>
  <c r="F31" i="40"/>
  <c r="G27" i="40"/>
  <c r="H27" i="40" s="1"/>
  <c r="F27" i="40"/>
  <c r="G26" i="40"/>
  <c r="H26" i="40" s="1"/>
  <c r="I26" i="40" s="1"/>
  <c r="G25" i="40"/>
  <c r="H25" i="40" s="1"/>
  <c r="I25" i="40" s="1"/>
  <c r="H24" i="40"/>
  <c r="G24" i="40"/>
  <c r="F23" i="40"/>
  <c r="E23" i="40"/>
  <c r="G23" i="40" s="1"/>
  <c r="F22" i="40"/>
  <c r="E22" i="40"/>
  <c r="G22" i="40" s="1"/>
  <c r="G21" i="40"/>
  <c r="F21" i="40"/>
  <c r="E21" i="40"/>
  <c r="G20" i="40"/>
  <c r="F20" i="40"/>
  <c r="E20" i="40"/>
  <c r="G19" i="40"/>
  <c r="H19" i="40" s="1"/>
  <c r="I19" i="40" s="1"/>
  <c r="G28" i="40" l="1"/>
  <c r="I63" i="39"/>
  <c r="H47" i="39"/>
  <c r="I47" i="39" s="1"/>
  <c r="G47" i="39"/>
  <c r="G45" i="39"/>
  <c r="H45" i="39" s="1"/>
  <c r="I45" i="39" s="1"/>
  <c r="G43" i="39"/>
  <c r="H43" i="39" s="1"/>
  <c r="I43" i="39" s="1"/>
  <c r="H36" i="39"/>
  <c r="E36" i="39"/>
  <c r="F30" i="39"/>
  <c r="G27" i="39"/>
  <c r="G26" i="39" s="1"/>
  <c r="H26" i="39" s="1"/>
  <c r="F26" i="39"/>
  <c r="H25" i="39"/>
  <c r="I25" i="39" s="1"/>
  <c r="G25" i="39"/>
  <c r="G24" i="39"/>
  <c r="H24" i="39" s="1"/>
  <c r="I24" i="39" s="1"/>
  <c r="H23" i="39"/>
  <c r="I23" i="39" s="1"/>
  <c r="G23" i="39"/>
  <c r="H22" i="39"/>
  <c r="G22" i="39"/>
  <c r="F21" i="39"/>
  <c r="E21" i="39"/>
  <c r="G21" i="39" s="1"/>
  <c r="F20" i="39"/>
  <c r="E20" i="39"/>
  <c r="G20" i="39" s="1"/>
  <c r="G19" i="39"/>
  <c r="F19" i="39"/>
  <c r="E19" i="39"/>
  <c r="G18" i="39"/>
  <c r="F18" i="39"/>
  <c r="E18" i="39"/>
  <c r="G17" i="39"/>
  <c r="H17" i="39" s="1"/>
  <c r="I17" i="39" s="1"/>
  <c r="I65" i="38" l="1"/>
  <c r="G44" i="38"/>
  <c r="H44" i="38" s="1"/>
  <c r="I44" i="38" s="1"/>
  <c r="G42" i="38"/>
  <c r="H42" i="38" s="1"/>
  <c r="I42" i="38" s="1"/>
  <c r="G40" i="38"/>
  <c r="H40" i="38" s="1"/>
  <c r="I40" i="38" s="1"/>
  <c r="F36" i="38"/>
  <c r="H36" i="38" s="1"/>
  <c r="E36" i="38"/>
  <c r="G27" i="38"/>
  <c r="H27" i="38" s="1"/>
  <c r="I27" i="38" s="1"/>
  <c r="F27" i="38"/>
  <c r="G26" i="38"/>
  <c r="H26" i="38" s="1"/>
  <c r="I26" i="38" s="1"/>
  <c r="G25" i="38"/>
  <c r="H25" i="38" s="1"/>
  <c r="I25" i="38" s="1"/>
  <c r="G24" i="38"/>
  <c r="H24" i="38" s="1"/>
  <c r="I24" i="38" s="1"/>
  <c r="H23" i="38"/>
  <c r="I23" i="38" s="1"/>
  <c r="G23" i="38"/>
  <c r="F22" i="38"/>
  <c r="E22" i="38"/>
  <c r="G22" i="38" s="1"/>
  <c r="F21" i="38"/>
  <c r="E21" i="38"/>
  <c r="G21" i="38" s="1"/>
  <c r="G20" i="38"/>
  <c r="F20" i="38"/>
  <c r="E20" i="38"/>
  <c r="G19" i="38"/>
  <c r="F19" i="38"/>
  <c r="E19" i="38"/>
  <c r="G18" i="38"/>
  <c r="H18" i="38" s="1"/>
  <c r="I18" i="38" s="1"/>
  <c r="I62" i="37" l="1"/>
  <c r="G47" i="37"/>
  <c r="H47" i="37" s="1"/>
  <c r="I47" i="37" s="1"/>
  <c r="I45" i="37"/>
  <c r="G44" i="37"/>
  <c r="H44" i="37" s="1"/>
  <c r="I44" i="37" s="1"/>
  <c r="G42" i="37"/>
  <c r="H42" i="37" s="1"/>
  <c r="I42" i="37" s="1"/>
  <c r="H37" i="37"/>
  <c r="F37" i="37"/>
  <c r="E37" i="37"/>
  <c r="G32" i="37"/>
  <c r="H31" i="37"/>
  <c r="I30" i="37"/>
  <c r="G28" i="37"/>
  <c r="G27" i="37"/>
  <c r="H27" i="37" s="1"/>
  <c r="F27" i="37"/>
  <c r="G26" i="37"/>
  <c r="H26" i="37" s="1"/>
  <c r="I26" i="37" s="1"/>
  <c r="G25" i="37"/>
  <c r="H25" i="37" s="1"/>
  <c r="I25" i="37" s="1"/>
  <c r="I24" i="37"/>
  <c r="H24" i="37"/>
  <c r="G24" i="37"/>
  <c r="H23" i="37"/>
  <c r="I23" i="37" s="1"/>
  <c r="G23" i="37"/>
  <c r="F22" i="37"/>
  <c r="E22" i="37"/>
  <c r="G22" i="37" s="1"/>
  <c r="F21" i="37"/>
  <c r="E21" i="37"/>
  <c r="G21" i="37" s="1"/>
  <c r="G20" i="37"/>
  <c r="F20" i="37"/>
  <c r="E20" i="37"/>
  <c r="G19" i="37"/>
  <c r="F19" i="37"/>
  <c r="E19" i="37"/>
  <c r="G18" i="37"/>
  <c r="H18" i="37" s="1"/>
  <c r="I18" i="37" s="1"/>
  <c r="I60" i="36" l="1"/>
  <c r="G46" i="36"/>
  <c r="H46" i="36" s="1"/>
  <c r="I46" i="36" s="1"/>
  <c r="I44" i="36"/>
  <c r="G43" i="36"/>
  <c r="H43" i="36" s="1"/>
  <c r="I43" i="36" s="1"/>
  <c r="G41" i="36"/>
  <c r="H41" i="36" s="1"/>
  <c r="I41" i="36" s="1"/>
  <c r="H36" i="36"/>
  <c r="F36" i="36"/>
  <c r="E36" i="36"/>
  <c r="H31" i="36"/>
  <c r="I30" i="36"/>
  <c r="G28" i="36"/>
  <c r="G27" i="36"/>
  <c r="F27" i="36"/>
  <c r="H27" i="36" s="1"/>
  <c r="G25" i="36"/>
  <c r="H25" i="36" s="1"/>
  <c r="I25" i="36" s="1"/>
  <c r="I24" i="36"/>
  <c r="H24" i="36"/>
  <c r="G24" i="36"/>
  <c r="G23" i="36"/>
  <c r="F23" i="36"/>
  <c r="E23" i="36"/>
  <c r="F22" i="36"/>
  <c r="E22" i="36"/>
  <c r="G22" i="36" s="1"/>
  <c r="F21" i="36"/>
  <c r="E21" i="36"/>
  <c r="G21" i="36" s="1"/>
  <c r="G20" i="36"/>
  <c r="F20" i="36"/>
  <c r="E20" i="36"/>
  <c r="H19" i="36"/>
  <c r="I19" i="36" s="1"/>
  <c r="G19" i="36"/>
  <c r="I64" i="35" l="1"/>
  <c r="G49" i="35"/>
  <c r="H49" i="35" s="1"/>
  <c r="I49" i="35" s="1"/>
  <c r="I47" i="35"/>
  <c r="G46" i="35"/>
  <c r="H46" i="35" s="1"/>
  <c r="I46" i="35" s="1"/>
  <c r="G44" i="35"/>
  <c r="H44" i="35" s="1"/>
  <c r="I44" i="35" s="1"/>
  <c r="H37" i="35"/>
  <c r="F37" i="35"/>
  <c r="E37" i="35"/>
  <c r="F31" i="35"/>
  <c r="F30" i="35"/>
  <c r="F27" i="35" s="1"/>
  <c r="H27" i="35" s="1"/>
  <c r="G27" i="35"/>
  <c r="I26" i="35"/>
  <c r="H26" i="35"/>
  <c r="G26" i="35"/>
  <c r="H25" i="35"/>
  <c r="I25" i="35" s="1"/>
  <c r="G25" i="35"/>
  <c r="F24" i="35"/>
  <c r="E24" i="35"/>
  <c r="G24" i="35" s="1"/>
  <c r="F23" i="35"/>
  <c r="E23" i="35"/>
  <c r="G23" i="35" s="1"/>
  <c r="G22" i="35"/>
  <c r="F22" i="35"/>
  <c r="E22" i="35"/>
  <c r="G21" i="35"/>
  <c r="F21" i="35"/>
  <c r="E21" i="35"/>
  <c r="G19" i="35"/>
  <c r="H19" i="35" s="1"/>
  <c r="I19" i="35" s="1"/>
  <c r="I57" i="34" l="1"/>
  <c r="G47" i="34"/>
  <c r="H47" i="34" s="1"/>
  <c r="I47" i="34" s="1"/>
  <c r="G45" i="34"/>
  <c r="H45" i="34" s="1"/>
  <c r="I45" i="34" s="1"/>
  <c r="E37" i="34"/>
  <c r="F37" i="34" s="1"/>
  <c r="H37" i="34" s="1"/>
  <c r="H30" i="34"/>
  <c r="H27" i="34"/>
  <c r="G27" i="34"/>
  <c r="F27" i="34"/>
  <c r="H26" i="34"/>
  <c r="I26" i="34" s="1"/>
  <c r="G26" i="34"/>
  <c r="H25" i="34"/>
  <c r="I25" i="34" s="1"/>
  <c r="G25" i="34"/>
  <c r="H24" i="34"/>
  <c r="G24" i="34"/>
  <c r="G23" i="34"/>
  <c r="F23" i="34"/>
  <c r="E23" i="34"/>
  <c r="F22" i="34"/>
  <c r="E22" i="34"/>
  <c r="G22" i="34" s="1"/>
  <c r="F20" i="34"/>
  <c r="E20" i="34"/>
  <c r="G20" i="34" s="1"/>
  <c r="G19" i="34"/>
  <c r="F19" i="34"/>
  <c r="E19" i="34"/>
  <c r="H18" i="34"/>
  <c r="I18" i="34" s="1"/>
  <c r="G18" i="34"/>
  <c r="H46" i="33" l="1"/>
  <c r="I46" i="33" s="1"/>
  <c r="G46" i="33"/>
  <c r="G44" i="33"/>
  <c r="H44" i="33" s="1"/>
  <c r="I44" i="33" s="1"/>
  <c r="H32" i="33"/>
  <c r="H29" i="33"/>
  <c r="G29" i="33"/>
  <c r="F29" i="33"/>
  <c r="I28" i="33"/>
  <c r="G28" i="33"/>
  <c r="H27" i="33"/>
  <c r="I27" i="33" s="1"/>
  <c r="G27" i="33"/>
  <c r="G26" i="33"/>
  <c r="F26" i="33"/>
  <c r="E26" i="33"/>
  <c r="G25" i="33"/>
  <c r="F25" i="33"/>
  <c r="E25" i="33"/>
  <c r="F24" i="33"/>
  <c r="E24" i="33"/>
  <c r="G24" i="33" s="1"/>
  <c r="F23" i="33"/>
  <c r="E23" i="33"/>
  <c r="G23" i="33" s="1"/>
  <c r="G21" i="33"/>
  <c r="H21" i="33" s="1"/>
  <c r="I21" i="33" s="1"/>
  <c r="I54" i="32" l="1"/>
  <c r="G43" i="32"/>
  <c r="H43" i="32" s="1"/>
  <c r="I43" i="32" s="1"/>
  <c r="H41" i="32"/>
  <c r="I41" i="32" s="1"/>
  <c r="G41" i="32"/>
  <c r="G28" i="32"/>
  <c r="G27" i="32" s="1"/>
  <c r="F27" i="32"/>
  <c r="H27" i="32" s="1"/>
  <c r="G26" i="32"/>
  <c r="H26" i="32" s="1"/>
  <c r="I26" i="32" s="1"/>
  <c r="H25" i="32"/>
  <c r="I25" i="32" s="1"/>
  <c r="G25" i="32"/>
  <c r="F24" i="32"/>
  <c r="E24" i="32"/>
  <c r="G24" i="32" s="1"/>
  <c r="F23" i="32"/>
  <c r="E23" i="32"/>
  <c r="G23" i="32" s="1"/>
  <c r="G22" i="32"/>
  <c r="F22" i="32"/>
  <c r="E22" i="32"/>
  <c r="G20" i="32"/>
  <c r="F20" i="32"/>
  <c r="E20" i="32"/>
  <c r="G19" i="32"/>
  <c r="H19" i="32" s="1"/>
  <c r="I19" i="32" s="1"/>
  <c r="I52" i="31" l="1"/>
  <c r="G44" i="31"/>
  <c r="H44" i="31" s="1"/>
  <c r="I44" i="31" s="1"/>
  <c r="H42" i="31"/>
  <c r="I42" i="31" s="1"/>
  <c r="G42" i="31"/>
  <c r="H30" i="31"/>
  <c r="G28" i="31"/>
  <c r="G27" i="31"/>
  <c r="F27" i="31"/>
  <c r="H27" i="31" s="1"/>
  <c r="G26" i="31"/>
  <c r="H26" i="31" s="1"/>
  <c r="H25" i="31"/>
  <c r="I25" i="31" s="1"/>
  <c r="G25" i="31"/>
  <c r="F24" i="31"/>
  <c r="E24" i="31"/>
  <c r="G24" i="31" s="1"/>
  <c r="F23" i="31"/>
  <c r="E23" i="31"/>
  <c r="G23" i="31" s="1"/>
  <c r="G22" i="31"/>
  <c r="F22" i="31"/>
  <c r="E22" i="31"/>
  <c r="F21" i="31"/>
  <c r="E21" i="31"/>
  <c r="G21" i="31" s="1"/>
  <c r="H20" i="31"/>
  <c r="G20" i="31"/>
  <c r="I60" i="30" l="1"/>
  <c r="G48" i="30"/>
  <c r="H48" i="30" s="1"/>
  <c r="I48" i="30" s="1"/>
  <c r="I46" i="30"/>
  <c r="G45" i="30"/>
  <c r="H45" i="30" s="1"/>
  <c r="I45" i="30" s="1"/>
  <c r="G43" i="30"/>
  <c r="H43" i="30" s="1"/>
  <c r="I43" i="30" s="1"/>
  <c r="E36" i="30"/>
  <c r="F36" i="30" s="1"/>
  <c r="H36" i="30" s="1"/>
  <c r="H31" i="30"/>
  <c r="H28" i="30"/>
  <c r="G28" i="30"/>
  <c r="F28" i="30"/>
  <c r="H27" i="30"/>
  <c r="I27" i="30" s="1"/>
  <c r="G27" i="30"/>
  <c r="G26" i="30"/>
  <c r="H26" i="30" s="1"/>
  <c r="I26" i="30" s="1"/>
  <c r="G25" i="30"/>
  <c r="H25" i="30" s="1"/>
  <c r="I25" i="30" s="1"/>
  <c r="G24" i="30"/>
  <c r="H24" i="30" s="1"/>
  <c r="I24" i="30" s="1"/>
  <c r="G23" i="30"/>
  <c r="H23" i="30" s="1"/>
  <c r="H22" i="30"/>
  <c r="G22" i="30"/>
  <c r="G21" i="30"/>
  <c r="F21" i="30"/>
  <c r="E21" i="30"/>
  <c r="F20" i="30"/>
  <c r="E20" i="30"/>
  <c r="G20" i="30" s="1"/>
  <c r="F19" i="30"/>
  <c r="E19" i="30"/>
  <c r="G19" i="30" s="1"/>
  <c r="G18" i="30"/>
  <c r="F18" i="30"/>
  <c r="E18" i="30"/>
  <c r="H17" i="30"/>
  <c r="I17" i="30" s="1"/>
  <c r="G17" i="30"/>
  <c r="I65" i="29" l="1"/>
  <c r="G65" i="29"/>
  <c r="I61" i="29"/>
  <c r="G48" i="29"/>
  <c r="H48" i="29" s="1"/>
  <c r="I48" i="29" s="1"/>
  <c r="I46" i="29"/>
  <c r="G45" i="29"/>
  <c r="H45" i="29" s="1"/>
  <c r="I45" i="29" s="1"/>
  <c r="H43" i="29"/>
  <c r="I43" i="29" s="1"/>
  <c r="G43" i="29"/>
  <c r="E38" i="29"/>
  <c r="F38" i="29" s="1"/>
  <c r="H38" i="29" s="1"/>
  <c r="G33" i="29"/>
  <c r="G32" i="29"/>
  <c r="F32" i="29"/>
  <c r="H32" i="29" s="1"/>
  <c r="I31" i="29"/>
  <c r="G29" i="29"/>
  <c r="F29" i="29"/>
  <c r="H29" i="29" s="1"/>
  <c r="H28" i="29"/>
  <c r="I28" i="29" s="1"/>
  <c r="G28" i="29"/>
  <c r="H27" i="29"/>
  <c r="G27" i="29"/>
  <c r="G26" i="29"/>
  <c r="H26" i="29" s="1"/>
  <c r="I26" i="29" s="1"/>
  <c r="H25" i="29"/>
  <c r="I25" i="29" s="1"/>
  <c r="G25" i="29"/>
  <c r="H24" i="29"/>
  <c r="G24" i="29"/>
  <c r="F23" i="29"/>
  <c r="E23" i="29"/>
  <c r="G23" i="29" s="1"/>
  <c r="F22" i="29"/>
  <c r="E22" i="29"/>
  <c r="G22" i="29" s="1"/>
  <c r="F21" i="29"/>
  <c r="E21" i="29"/>
  <c r="G21" i="29" s="1"/>
  <c r="F20" i="29"/>
  <c r="E20" i="29"/>
  <c r="G20" i="29" s="1"/>
  <c r="G19" i="29"/>
  <c r="H19" i="29" s="1"/>
  <c r="I19" i="29" s="1"/>
  <c r="I62" i="28" l="1"/>
  <c r="G49" i="28"/>
  <c r="H49" i="28" s="1"/>
  <c r="I49" i="28" s="1"/>
  <c r="G47" i="28"/>
  <c r="H47" i="28" s="1"/>
  <c r="I47" i="28" s="1"/>
  <c r="G45" i="28"/>
  <c r="H45" i="28" s="1"/>
  <c r="I45" i="28" s="1"/>
  <c r="F37" i="28"/>
  <c r="H37" i="28" s="1"/>
  <c r="E37" i="28"/>
  <c r="G32" i="28"/>
  <c r="F31" i="28"/>
  <c r="H31" i="28" s="1"/>
  <c r="E31" i="28"/>
  <c r="G30" i="28"/>
  <c r="H30" i="28" s="1"/>
  <c r="G29" i="28"/>
  <c r="H29" i="28" s="1"/>
  <c r="I29" i="28" s="1"/>
  <c r="H28" i="28"/>
  <c r="I28" i="28" s="1"/>
  <c r="G28" i="28"/>
  <c r="H26" i="28"/>
  <c r="I26" i="28" s="1"/>
  <c r="G26" i="28"/>
  <c r="H25" i="28"/>
  <c r="G25" i="28"/>
  <c r="G24" i="28"/>
  <c r="F24" i="28"/>
  <c r="E24" i="28"/>
  <c r="F23" i="28"/>
  <c r="E23" i="28"/>
  <c r="G23" i="28" s="1"/>
  <c r="F22" i="28"/>
  <c r="E22" i="28"/>
  <c r="G22" i="28" s="1"/>
  <c r="G21" i="28"/>
  <c r="F21" i="28"/>
  <c r="E21" i="28"/>
  <c r="G20" i="28"/>
  <c r="H20" i="28" s="1"/>
  <c r="I58" i="27" l="1"/>
  <c r="G47" i="27"/>
  <c r="H47" i="27" s="1"/>
  <c r="I47" i="27" s="1"/>
  <c r="I45" i="27"/>
  <c r="H44" i="27"/>
  <c r="I44" i="27" s="1"/>
  <c r="G44" i="27"/>
  <c r="G42" i="27"/>
  <c r="H42" i="27" s="1"/>
  <c r="I42" i="27" s="1"/>
  <c r="H36" i="27"/>
  <c r="F36" i="27"/>
  <c r="E36" i="27"/>
  <c r="F32" i="27"/>
  <c r="G31" i="27"/>
  <c r="G30" i="27" s="1"/>
  <c r="G27" i="27"/>
  <c r="G26" i="27"/>
  <c r="H26" i="27" s="1"/>
  <c r="F26" i="27"/>
  <c r="G25" i="27"/>
  <c r="H25" i="27" s="1"/>
  <c r="I25" i="27" s="1"/>
  <c r="G24" i="27"/>
  <c r="H24" i="27" s="1"/>
  <c r="I24" i="27" s="1"/>
  <c r="I23" i="27"/>
  <c r="H23" i="27"/>
  <c r="H22" i="27"/>
  <c r="I22" i="27" s="1"/>
  <c r="G22" i="27"/>
  <c r="H21" i="27"/>
  <c r="G21" i="27"/>
  <c r="G20" i="27"/>
  <c r="F20" i="27"/>
  <c r="E20" i="27"/>
  <c r="F19" i="27"/>
  <c r="E19" i="27"/>
  <c r="G19" i="27" s="1"/>
  <c r="F18" i="27"/>
  <c r="E18" i="27"/>
  <c r="G18" i="27" s="1"/>
  <c r="G17" i="27"/>
  <c r="F17" i="27"/>
  <c r="E17" i="27"/>
  <c r="H16" i="27"/>
  <c r="I16" i="27" s="1"/>
  <c r="G16" i="27"/>
  <c r="I47" i="26" l="1"/>
  <c r="G38" i="26"/>
  <c r="H38" i="26" s="1"/>
  <c r="I38" i="26" s="1"/>
  <c r="F27" i="26"/>
  <c r="H27" i="26" s="1"/>
  <c r="F26" i="26"/>
  <c r="G24" i="26"/>
  <c r="F24" i="26"/>
  <c r="H24" i="26" s="1"/>
  <c r="I24" i="26" s="1"/>
  <c r="I23" i="26"/>
  <c r="H23" i="26"/>
  <c r="G23" i="26"/>
  <c r="H22" i="26"/>
  <c r="I22" i="26" s="1"/>
  <c r="G22" i="26"/>
  <c r="F21" i="26"/>
  <c r="E21" i="26"/>
  <c r="G21" i="26" s="1"/>
  <c r="F20" i="26"/>
  <c r="E20" i="26"/>
  <c r="G20" i="26" s="1"/>
  <c r="G19" i="26"/>
  <c r="F19" i="26"/>
  <c r="E19" i="26"/>
  <c r="G18" i="26"/>
  <c r="F18" i="26"/>
  <c r="E18" i="26"/>
  <c r="H17" i="26"/>
  <c r="I17" i="26" s="1"/>
  <c r="G17" i="26"/>
  <c r="I55" i="25" l="1"/>
  <c r="G44" i="25"/>
  <c r="H44" i="25" s="1"/>
  <c r="I44" i="25" s="1"/>
  <c r="I42" i="25"/>
  <c r="G41" i="25"/>
  <c r="H41" i="25" s="1"/>
  <c r="I41" i="25" s="1"/>
  <c r="G39" i="25"/>
  <c r="H39" i="25" s="1"/>
  <c r="I39" i="25" s="1"/>
  <c r="E33" i="25"/>
  <c r="F33" i="25" s="1"/>
  <c r="H33" i="25" s="1"/>
  <c r="F28" i="25"/>
  <c r="F27" i="25"/>
  <c r="F24" i="25" s="1"/>
  <c r="H24" i="25" s="1"/>
  <c r="G24" i="25"/>
  <c r="I23" i="25"/>
  <c r="H23" i="25"/>
  <c r="G23" i="25"/>
  <c r="H22" i="25"/>
  <c r="I22" i="25" s="1"/>
  <c r="G22" i="25"/>
  <c r="F21" i="25"/>
  <c r="E21" i="25"/>
  <c r="G21" i="25" s="1"/>
  <c r="F20" i="25"/>
  <c r="E20" i="25"/>
  <c r="G20" i="25" s="1"/>
  <c r="G19" i="25"/>
  <c r="F19" i="25"/>
  <c r="E19" i="25"/>
  <c r="G18" i="25"/>
  <c r="F18" i="25"/>
  <c r="E18" i="25"/>
  <c r="G17" i="25"/>
  <c r="H17" i="25" s="1"/>
  <c r="I17" i="25" s="1"/>
  <c r="I53" i="24" l="1"/>
  <c r="G42" i="24"/>
  <c r="H42" i="24" s="1"/>
  <c r="I42" i="24" s="1"/>
  <c r="G40" i="24"/>
  <c r="H40" i="24" s="1"/>
  <c r="I40" i="24" s="1"/>
  <c r="G38" i="24"/>
  <c r="H38" i="24" s="1"/>
  <c r="I38" i="24" s="1"/>
  <c r="E32" i="24"/>
  <c r="H32" i="24" s="1"/>
  <c r="G27" i="24"/>
  <c r="H27" i="24" s="1"/>
  <c r="H26" i="24"/>
  <c r="I26" i="24" s="1"/>
  <c r="G26" i="24"/>
  <c r="G25" i="24"/>
  <c r="H25" i="24" s="1"/>
  <c r="I25" i="24" s="1"/>
  <c r="G24" i="24"/>
  <c r="H24" i="24" s="1"/>
  <c r="I24" i="24" s="1"/>
  <c r="I23" i="24"/>
  <c r="H23" i="24"/>
  <c r="G23" i="24"/>
  <c r="H22" i="24"/>
  <c r="G22" i="24"/>
  <c r="F21" i="24"/>
  <c r="E21" i="24"/>
  <c r="G21" i="24" s="1"/>
  <c r="G20" i="24"/>
  <c r="F20" i="24"/>
  <c r="E20" i="24"/>
  <c r="G19" i="24"/>
  <c r="F19" i="24"/>
  <c r="E19" i="24"/>
  <c r="F18" i="24"/>
  <c r="E18" i="24"/>
  <c r="G18" i="24" s="1"/>
  <c r="G17" i="24"/>
  <c r="H17" i="24" s="1"/>
  <c r="I17" i="24" s="1"/>
  <c r="I55" i="23" l="1"/>
  <c r="G45" i="23"/>
  <c r="H45" i="23" s="1"/>
  <c r="I45" i="23" s="1"/>
  <c r="G43" i="23"/>
  <c r="H43" i="23" s="1"/>
  <c r="I43" i="23" s="1"/>
  <c r="E37" i="23"/>
  <c r="F37" i="23" s="1"/>
  <c r="H37" i="23" s="1"/>
  <c r="F30" i="23"/>
  <c r="H26" i="23"/>
  <c r="G26" i="23"/>
  <c r="F26" i="23"/>
  <c r="H25" i="23"/>
  <c r="I25" i="23" s="1"/>
  <c r="G25" i="23"/>
  <c r="G24" i="23"/>
  <c r="H24" i="23" s="1"/>
  <c r="I24" i="23" s="1"/>
  <c r="F23" i="23"/>
  <c r="E23" i="23"/>
  <c r="G23" i="23" s="1"/>
  <c r="G22" i="23"/>
  <c r="F22" i="23"/>
  <c r="E22" i="23"/>
  <c r="G21" i="23"/>
  <c r="F21" i="23"/>
  <c r="E21" i="23"/>
  <c r="F20" i="23"/>
  <c r="E20" i="23"/>
  <c r="G20" i="23" s="1"/>
  <c r="G18" i="23"/>
  <c r="H18" i="23" s="1"/>
  <c r="I18" i="23" s="1"/>
  <c r="I57" i="22" l="1"/>
  <c r="G47" i="22"/>
  <c r="H47" i="22" s="1"/>
  <c r="I47" i="22" s="1"/>
  <c r="I45" i="22"/>
  <c r="G44" i="22"/>
  <c r="H44" i="22" s="1"/>
  <c r="I44" i="22" s="1"/>
  <c r="G42" i="22"/>
  <c r="H42" i="22" s="1"/>
  <c r="I42" i="22" s="1"/>
  <c r="H36" i="22"/>
  <c r="F36" i="22"/>
  <c r="E36" i="22"/>
  <c r="G30" i="22"/>
  <c r="E30" i="22"/>
  <c r="G27" i="22"/>
  <c r="F27" i="22"/>
  <c r="H27" i="22" s="1"/>
  <c r="I26" i="22"/>
  <c r="H26" i="22"/>
  <c r="G26" i="22"/>
  <c r="H25" i="22"/>
  <c r="I25" i="22" s="1"/>
  <c r="G25" i="22"/>
  <c r="H24" i="22"/>
  <c r="I24" i="22" s="1"/>
  <c r="G24" i="22"/>
  <c r="F23" i="22"/>
  <c r="E23" i="22"/>
  <c r="G23" i="22" s="1"/>
  <c r="G22" i="22"/>
  <c r="F22" i="22"/>
  <c r="E22" i="22"/>
  <c r="G21" i="22"/>
  <c r="F21" i="22"/>
  <c r="E21" i="22"/>
  <c r="F20" i="22"/>
  <c r="E20" i="22"/>
  <c r="G20" i="22" s="1"/>
  <c r="G19" i="22"/>
  <c r="H19" i="22" s="1"/>
  <c r="I19" i="22" s="1"/>
  <c r="I64" i="21" l="1"/>
  <c r="G50" i="21"/>
  <c r="H50" i="21" s="1"/>
  <c r="I50" i="21" s="1"/>
  <c r="G48" i="21"/>
  <c r="H48" i="21" s="1"/>
  <c r="I48" i="21" s="1"/>
  <c r="G46" i="21"/>
  <c r="H46" i="21" s="1"/>
  <c r="I46" i="21" s="1"/>
  <c r="F39" i="21"/>
  <c r="H39" i="21" s="1"/>
  <c r="E39" i="21"/>
  <c r="H34" i="21"/>
  <c r="G30" i="21"/>
  <c r="H29" i="21"/>
  <c r="G29" i="21"/>
  <c r="F29" i="21"/>
  <c r="G28" i="21"/>
  <c r="H28" i="21" s="1"/>
  <c r="G27" i="21"/>
  <c r="H27" i="21" s="1"/>
  <c r="I27" i="21" s="1"/>
  <c r="G26" i="21"/>
  <c r="H26" i="21" s="1"/>
  <c r="I26" i="21" s="1"/>
  <c r="H25" i="21"/>
  <c r="I25" i="21" s="1"/>
  <c r="G25" i="21"/>
  <c r="H24" i="21"/>
  <c r="G24" i="21"/>
  <c r="G23" i="21"/>
  <c r="F23" i="21"/>
  <c r="E23" i="21"/>
  <c r="G22" i="21"/>
  <c r="F22" i="21"/>
  <c r="E22" i="21"/>
  <c r="F21" i="21"/>
  <c r="E21" i="21"/>
  <c r="G21" i="21" s="1"/>
  <c r="F20" i="21"/>
  <c r="E20" i="21"/>
  <c r="G20" i="21" s="1"/>
  <c r="G19" i="21"/>
  <c r="H19" i="21" s="1"/>
  <c r="I19" i="21" s="1"/>
  <c r="I60" i="20" l="1"/>
  <c r="G50" i="20"/>
  <c r="H50" i="20" s="1"/>
  <c r="I50" i="20" s="1"/>
  <c r="G48" i="20"/>
  <c r="H48" i="20" s="1"/>
  <c r="I48" i="20" s="1"/>
  <c r="G46" i="20"/>
  <c r="H46" i="20" s="1"/>
  <c r="I46" i="20" s="1"/>
  <c r="F39" i="20"/>
  <c r="H39" i="20" s="1"/>
  <c r="E39" i="20"/>
  <c r="F33" i="20"/>
  <c r="H33" i="20" s="1"/>
  <c r="H29" i="20"/>
  <c r="G29" i="20"/>
  <c r="F29" i="20"/>
  <c r="H27" i="20"/>
  <c r="I27" i="20" s="1"/>
  <c r="G27" i="20"/>
  <c r="G26" i="20"/>
  <c r="H26" i="20" s="1"/>
  <c r="I26" i="20" s="1"/>
  <c r="G25" i="20"/>
  <c r="H25" i="20" s="1"/>
  <c r="I25" i="20" s="1"/>
  <c r="H24" i="20"/>
  <c r="G24" i="20"/>
  <c r="F23" i="20"/>
  <c r="E23" i="20"/>
  <c r="G23" i="20" s="1"/>
  <c r="F22" i="20"/>
  <c r="E22" i="20"/>
  <c r="G22" i="20" s="1"/>
  <c r="G21" i="20"/>
  <c r="F21" i="20"/>
  <c r="E21" i="20"/>
  <c r="G20" i="20"/>
  <c r="F20" i="20"/>
  <c r="E20" i="20"/>
  <c r="G19" i="20"/>
  <c r="H19" i="20" s="1"/>
  <c r="I19" i="20" s="1"/>
  <c r="G41" i="19" l="1"/>
  <c r="H41" i="19" s="1"/>
  <c r="I41" i="19" s="1"/>
  <c r="G39" i="19"/>
  <c r="H39" i="19" s="1"/>
  <c r="I39" i="19" s="1"/>
  <c r="G30" i="19"/>
  <c r="H30" i="19" s="1"/>
  <c r="G28" i="19"/>
  <c r="H28" i="19" s="1"/>
  <c r="I28" i="19" s="1"/>
  <c r="I27" i="19"/>
  <c r="H27" i="19"/>
  <c r="G27" i="19"/>
  <c r="G26" i="19"/>
  <c r="F26" i="19"/>
  <c r="E26" i="19"/>
  <c r="F25" i="19"/>
  <c r="E25" i="19"/>
  <c r="G25" i="19" s="1"/>
  <c r="F23" i="19"/>
  <c r="E23" i="19"/>
  <c r="G23" i="19" s="1"/>
  <c r="G22" i="19"/>
  <c r="F22" i="19"/>
  <c r="E22" i="19"/>
  <c r="H21" i="19"/>
  <c r="I21" i="19" s="1"/>
  <c r="G21" i="19"/>
  <c r="I51" i="18" l="1"/>
  <c r="H40" i="18"/>
  <c r="I40" i="18" s="1"/>
  <c r="G40" i="18"/>
  <c r="F29" i="18"/>
  <c r="G27" i="18"/>
  <c r="F27" i="18"/>
  <c r="H27" i="18" s="1"/>
  <c r="G26" i="18"/>
  <c r="H26" i="18" s="1"/>
  <c r="I26" i="18" s="1"/>
  <c r="I25" i="18"/>
  <c r="H25" i="18"/>
  <c r="G25" i="18"/>
  <c r="G24" i="18"/>
  <c r="F24" i="18"/>
  <c r="E24" i="18"/>
  <c r="F23" i="18"/>
  <c r="E23" i="18"/>
  <c r="G23" i="18" s="1"/>
  <c r="F22" i="18"/>
  <c r="E22" i="18"/>
  <c r="G22" i="18" s="1"/>
  <c r="G21" i="18"/>
  <c r="F21" i="18"/>
  <c r="E21" i="18"/>
  <c r="H20" i="18"/>
  <c r="I20" i="18" s="1"/>
  <c r="G20" i="18"/>
  <c r="I62" i="17" l="1"/>
  <c r="G49" i="17"/>
  <c r="H49" i="17" s="1"/>
  <c r="I49" i="17" s="1"/>
  <c r="G47" i="17"/>
  <c r="I47" i="17" s="1"/>
  <c r="G45" i="17"/>
  <c r="H45" i="17" s="1"/>
  <c r="I45" i="17" s="1"/>
  <c r="E37" i="17"/>
  <c r="F37" i="17" s="1"/>
  <c r="H37" i="17" s="1"/>
  <c r="F33" i="17"/>
  <c r="G31" i="17"/>
  <c r="G28" i="17"/>
  <c r="F28" i="17"/>
  <c r="H28" i="17" s="1"/>
  <c r="G27" i="17"/>
  <c r="H27" i="17" s="1"/>
  <c r="I27" i="17" s="1"/>
  <c r="H26" i="17"/>
  <c r="I26" i="17" s="1"/>
  <c r="G26" i="17"/>
  <c r="G25" i="17"/>
  <c r="H25" i="17" s="1"/>
  <c r="I25" i="17" s="1"/>
  <c r="H24" i="17"/>
  <c r="I24" i="17" s="1"/>
  <c r="G24" i="17"/>
  <c r="H23" i="17"/>
  <c r="G23" i="17"/>
  <c r="F22" i="17"/>
  <c r="E22" i="17"/>
  <c r="G22" i="17" s="1"/>
  <c r="F21" i="17"/>
  <c r="E21" i="17"/>
  <c r="G21" i="17" s="1"/>
  <c r="G20" i="17"/>
  <c r="F20" i="17"/>
  <c r="E20" i="17"/>
  <c r="G19" i="17"/>
  <c r="F19" i="17"/>
  <c r="E19" i="17"/>
  <c r="G18" i="17"/>
  <c r="H18" i="17" s="1"/>
  <c r="I18" i="17" s="1"/>
  <c r="H47" i="17" l="1"/>
  <c r="I60" i="16"/>
  <c r="H48" i="16"/>
  <c r="I48" i="16" s="1"/>
  <c r="G48" i="16"/>
  <c r="G46" i="16"/>
  <c r="H46" i="16" s="1"/>
  <c r="I46" i="16" s="1"/>
  <c r="G44" i="16"/>
  <c r="H44" i="16" s="1"/>
  <c r="I44" i="16" s="1"/>
  <c r="E37" i="16"/>
  <c r="F37" i="16" s="1"/>
  <c r="H37" i="16" s="1"/>
  <c r="G31" i="16"/>
  <c r="G28" i="16"/>
  <c r="G27" i="16"/>
  <c r="F27" i="16"/>
  <c r="H27" i="16" s="1"/>
  <c r="I27" i="16" s="1"/>
  <c r="G26" i="16"/>
  <c r="H26" i="16" s="1"/>
  <c r="I26" i="16" s="1"/>
  <c r="I25" i="16"/>
  <c r="H25" i="16"/>
  <c r="G25" i="16"/>
  <c r="G24" i="16"/>
  <c r="F24" i="16"/>
  <c r="E24" i="16"/>
  <c r="F23" i="16"/>
  <c r="E23" i="16"/>
  <c r="G23" i="16" s="1"/>
  <c r="F22" i="16"/>
  <c r="E22" i="16"/>
  <c r="G22" i="16" s="1"/>
  <c r="G21" i="16"/>
  <c r="F21" i="16"/>
  <c r="E21" i="16"/>
  <c r="H20" i="16"/>
  <c r="I20" i="16" s="1"/>
  <c r="G20" i="16"/>
  <c r="I61" i="15" l="1"/>
  <c r="H45" i="15"/>
  <c r="I45" i="15" s="1"/>
  <c r="G45" i="15"/>
  <c r="H43" i="15"/>
  <c r="I43" i="15" s="1"/>
  <c r="G43" i="15"/>
  <c r="I41" i="15"/>
  <c r="H41" i="15"/>
  <c r="G41" i="15"/>
  <c r="F33" i="15"/>
  <c r="H33" i="15" s="1"/>
  <c r="E33" i="15"/>
  <c r="G28" i="15"/>
  <c r="G27" i="15" s="1"/>
  <c r="H27" i="15" s="1"/>
  <c r="I27" i="15" s="1"/>
  <c r="F27" i="15"/>
  <c r="G26" i="15"/>
  <c r="H26" i="15" s="1"/>
  <c r="G25" i="15"/>
  <c r="H25" i="15" s="1"/>
  <c r="I25" i="15" s="1"/>
  <c r="G24" i="15"/>
  <c r="H24" i="15" s="1"/>
  <c r="I24" i="15" s="1"/>
  <c r="H23" i="15"/>
  <c r="I23" i="15" s="1"/>
  <c r="G23" i="15"/>
  <c r="H22" i="15"/>
  <c r="G22" i="15"/>
  <c r="G21" i="15"/>
  <c r="F21" i="15"/>
  <c r="E21" i="15"/>
  <c r="G20" i="15"/>
  <c r="F20" i="15"/>
  <c r="E20" i="15"/>
  <c r="F19" i="15"/>
  <c r="E19" i="15"/>
  <c r="G19" i="15" s="1"/>
  <c r="F18" i="15"/>
  <c r="E18" i="15"/>
  <c r="G18" i="15" s="1"/>
  <c r="G17" i="15"/>
  <c r="H17" i="15" s="1"/>
  <c r="I17" i="15" s="1"/>
  <c r="I60" i="14" l="1"/>
  <c r="G50" i="14"/>
  <c r="H50" i="14" s="1"/>
  <c r="I50" i="14" s="1"/>
  <c r="G47" i="14"/>
  <c r="H47" i="14" s="1"/>
  <c r="I47" i="14" s="1"/>
  <c r="G45" i="14"/>
  <c r="H45" i="14" s="1"/>
  <c r="I45" i="14" s="1"/>
  <c r="F37" i="14"/>
  <c r="H37" i="14" s="1"/>
  <c r="E37" i="14"/>
  <c r="I30" i="14"/>
  <c r="G27" i="14"/>
  <c r="H27" i="14" s="1"/>
  <c r="F27" i="14"/>
  <c r="G26" i="14"/>
  <c r="H26" i="14" s="1"/>
  <c r="I26" i="14" s="1"/>
  <c r="H25" i="14"/>
  <c r="I25" i="14" s="1"/>
  <c r="G25" i="14"/>
  <c r="G24" i="14"/>
  <c r="F24" i="14"/>
  <c r="E24" i="14"/>
  <c r="G23" i="14"/>
  <c r="F23" i="14"/>
  <c r="E23" i="14"/>
  <c r="F21" i="14"/>
  <c r="E21" i="14"/>
  <c r="G21" i="14" s="1"/>
  <c r="F20" i="14"/>
  <c r="E20" i="14"/>
  <c r="G20" i="14" s="1"/>
  <c r="G19" i="14"/>
  <c r="H19" i="14" s="1"/>
  <c r="I19" i="14" s="1"/>
  <c r="I52" i="13" l="1"/>
  <c r="G40" i="13"/>
  <c r="H40" i="13" s="1"/>
  <c r="I40" i="13" s="1"/>
  <c r="H31" i="13"/>
  <c r="G27" i="13"/>
  <c r="H27" i="13" s="1"/>
  <c r="I27" i="13" s="1"/>
  <c r="F27" i="13"/>
  <c r="G26" i="13"/>
  <c r="H26" i="13" s="1"/>
  <c r="I26" i="13" s="1"/>
  <c r="G25" i="13"/>
  <c r="H25" i="13" s="1"/>
  <c r="I25" i="13" s="1"/>
  <c r="G24" i="13"/>
  <c r="F24" i="13"/>
  <c r="E24" i="13"/>
  <c r="G23" i="13"/>
  <c r="F23" i="13"/>
  <c r="E23" i="13"/>
  <c r="F22" i="13"/>
  <c r="E22" i="13"/>
  <c r="G22" i="13" s="1"/>
  <c r="F21" i="13"/>
  <c r="E21" i="13"/>
  <c r="G21" i="13" s="1"/>
  <c r="I20" i="13"/>
  <c r="H20" i="13"/>
  <c r="G20" i="13"/>
  <c r="G42" i="12" l="1"/>
  <c r="H42" i="12" s="1"/>
  <c r="I42" i="12" s="1"/>
  <c r="H31" i="12"/>
  <c r="G26" i="12"/>
  <c r="F26" i="12"/>
  <c r="H26" i="12" s="1"/>
  <c r="G25" i="12"/>
  <c r="H25" i="12" s="1"/>
  <c r="I25" i="12" s="1"/>
  <c r="H24" i="12"/>
  <c r="I24" i="12" s="1"/>
  <c r="G24" i="12"/>
  <c r="F23" i="12"/>
  <c r="E23" i="12"/>
  <c r="G23" i="12" s="1"/>
  <c r="F22" i="12"/>
  <c r="E22" i="12"/>
  <c r="G22" i="12" s="1"/>
  <c r="G21" i="12"/>
  <c r="F21" i="12"/>
  <c r="E21" i="12"/>
  <c r="G20" i="12"/>
  <c r="F20" i="12"/>
  <c r="E20" i="12"/>
  <c r="G19" i="12"/>
  <c r="H19" i="12" s="1"/>
  <c r="I19" i="12" s="1"/>
  <c r="I51" i="11" l="1"/>
  <c r="G41" i="11"/>
  <c r="H41" i="11" s="1"/>
  <c r="I41" i="11" s="1"/>
  <c r="H31" i="11"/>
  <c r="G28" i="11"/>
  <c r="F28" i="11"/>
  <c r="H28" i="11" s="1"/>
  <c r="G27" i="11"/>
  <c r="H27" i="11" s="1"/>
  <c r="I27" i="11" s="1"/>
  <c r="G26" i="11"/>
  <c r="H26" i="11" s="1"/>
  <c r="I26" i="11" s="1"/>
  <c r="H25" i="11"/>
  <c r="I25" i="11" s="1"/>
  <c r="F25" i="11"/>
  <c r="E25" i="11"/>
  <c r="G25" i="11" s="1"/>
  <c r="G24" i="11"/>
  <c r="F24" i="11"/>
  <c r="E24" i="11"/>
  <c r="G22" i="11"/>
  <c r="F22" i="11"/>
  <c r="E22" i="11"/>
  <c r="F21" i="11"/>
  <c r="E21" i="11"/>
  <c r="G21" i="11" s="1"/>
  <c r="G19" i="11"/>
  <c r="H19" i="11" s="1"/>
  <c r="I19" i="11" s="1"/>
  <c r="I51" i="10" l="1"/>
  <c r="G41" i="10"/>
  <c r="H41" i="10" s="1"/>
  <c r="I41" i="10" s="1"/>
  <c r="H31" i="10"/>
  <c r="G27" i="10"/>
  <c r="G26" i="10"/>
  <c r="H26" i="10" s="1"/>
  <c r="F26" i="10"/>
  <c r="G25" i="10"/>
  <c r="H25" i="10" s="1"/>
  <c r="I25" i="10" s="1"/>
  <c r="G24" i="10"/>
  <c r="H24" i="10" s="1"/>
  <c r="I24" i="10" s="1"/>
  <c r="G23" i="10"/>
  <c r="F23" i="10"/>
  <c r="E23" i="10"/>
  <c r="G22" i="10"/>
  <c r="F22" i="10"/>
  <c r="E22" i="10"/>
  <c r="F21" i="10"/>
  <c r="E21" i="10"/>
  <c r="G21" i="10" s="1"/>
  <c r="F20" i="10"/>
  <c r="E20" i="10"/>
  <c r="G20" i="10" s="1"/>
  <c r="I18" i="10"/>
  <c r="H18" i="10"/>
  <c r="G18" i="10"/>
  <c r="G40" i="9" l="1"/>
  <c r="H40" i="9" s="1"/>
  <c r="I40" i="9" s="1"/>
  <c r="G30" i="9"/>
  <c r="H30" i="9" s="1"/>
  <c r="I30" i="9" s="1"/>
  <c r="H28" i="9"/>
  <c r="I28" i="9" s="1"/>
  <c r="G28" i="9"/>
  <c r="H27" i="9"/>
  <c r="I27" i="9" s="1"/>
  <c r="G27" i="9"/>
  <c r="F26" i="9"/>
  <c r="E26" i="9"/>
  <c r="G26" i="9" s="1"/>
  <c r="G25" i="9"/>
  <c r="F25" i="9"/>
  <c r="E25" i="9"/>
  <c r="G23" i="9"/>
  <c r="F23" i="9"/>
  <c r="E23" i="9"/>
  <c r="F22" i="9"/>
  <c r="E22" i="9"/>
  <c r="G22" i="9" s="1"/>
  <c r="G20" i="9"/>
  <c r="H20" i="9" s="1"/>
  <c r="I20" i="9" s="1"/>
  <c r="I64" i="8" l="1"/>
  <c r="I60" i="8"/>
  <c r="H50" i="8"/>
  <c r="I50" i="8" s="1"/>
  <c r="G50" i="8"/>
  <c r="G47" i="8"/>
  <c r="H47" i="8" s="1"/>
  <c r="I47" i="8" s="1"/>
  <c r="G45" i="8"/>
  <c r="H45" i="8" s="1"/>
  <c r="I45" i="8" s="1"/>
  <c r="E39" i="8"/>
  <c r="G39" i="8" s="1"/>
  <c r="I39" i="8" s="1"/>
  <c r="G32" i="8"/>
  <c r="H32" i="8" s="1"/>
  <c r="F32" i="8"/>
  <c r="E32" i="8"/>
  <c r="G30" i="8"/>
  <c r="H29" i="8"/>
  <c r="G29" i="8"/>
  <c r="F29" i="8"/>
  <c r="H28" i="8"/>
  <c r="I28" i="8" s="1"/>
  <c r="G28" i="8"/>
  <c r="H27" i="8"/>
  <c r="I27" i="8" s="1"/>
  <c r="G27" i="8"/>
  <c r="G26" i="8"/>
  <c r="H26" i="8" s="1"/>
  <c r="G25" i="8"/>
  <c r="F25" i="8"/>
  <c r="E25" i="8"/>
  <c r="F24" i="8"/>
  <c r="E24" i="8"/>
  <c r="G24" i="8" s="1"/>
  <c r="F23" i="8"/>
  <c r="E23" i="8"/>
  <c r="G23" i="8" s="1"/>
  <c r="G22" i="8"/>
  <c r="F22" i="8"/>
  <c r="E22" i="8"/>
  <c r="H20" i="8"/>
  <c r="I20" i="8" s="1"/>
  <c r="G20" i="8"/>
  <c r="I52" i="7" l="1"/>
  <c r="G39" i="7"/>
  <c r="H39" i="7" s="1"/>
  <c r="I39" i="7" s="1"/>
  <c r="G27" i="7"/>
  <c r="F27" i="7"/>
  <c r="H27" i="7" s="1"/>
  <c r="I27" i="7" s="1"/>
  <c r="G25" i="7"/>
  <c r="H25" i="7" s="1"/>
  <c r="I25" i="7" s="1"/>
  <c r="I24" i="7"/>
  <c r="H24" i="7"/>
  <c r="G24" i="7"/>
  <c r="G23" i="7"/>
  <c r="F23" i="7"/>
  <c r="E23" i="7"/>
  <c r="F22" i="7"/>
  <c r="E22" i="7"/>
  <c r="G22" i="7" s="1"/>
  <c r="F21" i="7"/>
  <c r="E21" i="7"/>
  <c r="G21" i="7" s="1"/>
  <c r="G20" i="7"/>
  <c r="F20" i="7"/>
  <c r="E20" i="7"/>
  <c r="H19" i="7"/>
  <c r="I19" i="7" s="1"/>
  <c r="G19" i="7"/>
  <c r="I52" i="6" l="1"/>
  <c r="G42" i="6"/>
  <c r="H42" i="6" s="1"/>
  <c r="I42" i="6" s="1"/>
  <c r="G31" i="6"/>
  <c r="F31" i="6"/>
  <c r="H31" i="6" s="1"/>
  <c r="G29" i="6"/>
  <c r="H29" i="6" s="1"/>
  <c r="I29" i="6" s="1"/>
  <c r="H28" i="6"/>
  <c r="I28" i="6" s="1"/>
  <c r="G28" i="6"/>
  <c r="F27" i="6"/>
  <c r="E27" i="6"/>
  <c r="G27" i="6" s="1"/>
  <c r="F26" i="6"/>
  <c r="E26" i="6"/>
  <c r="G26" i="6" s="1"/>
  <c r="G24" i="6"/>
  <c r="F24" i="6"/>
  <c r="E24" i="6"/>
  <c r="G23" i="6"/>
  <c r="F23" i="6"/>
  <c r="E23" i="6"/>
  <c r="G21" i="6"/>
  <c r="H21" i="6" s="1"/>
  <c r="I21" i="6" s="1"/>
  <c r="I53" i="5" l="1"/>
  <c r="G44" i="5"/>
  <c r="H44" i="5" s="1"/>
  <c r="I44" i="5" s="1"/>
  <c r="H41" i="5"/>
  <c r="I41" i="5" s="1"/>
  <c r="G41" i="5"/>
  <c r="G39" i="5"/>
  <c r="H39" i="5" s="1"/>
  <c r="I39" i="5" s="1"/>
  <c r="F33" i="5"/>
  <c r="H33" i="5" s="1"/>
  <c r="E33" i="5"/>
  <c r="G28" i="5"/>
  <c r="H28" i="5" s="1"/>
  <c r="I28" i="5" s="1"/>
  <c r="H27" i="5"/>
  <c r="I27" i="5" s="1"/>
  <c r="H26" i="5"/>
  <c r="I26" i="5" s="1"/>
  <c r="G26" i="5"/>
  <c r="G25" i="5"/>
  <c r="H25" i="5" s="1"/>
  <c r="I25" i="5" s="1"/>
  <c r="G24" i="5"/>
  <c r="H24" i="5" s="1"/>
  <c r="I24" i="5" s="1"/>
  <c r="G23" i="5"/>
  <c r="H23" i="5" s="1"/>
  <c r="I23" i="5" s="1"/>
  <c r="G22" i="5"/>
  <c r="F22" i="5"/>
  <c r="E22" i="5"/>
  <c r="F21" i="5"/>
  <c r="E21" i="5"/>
  <c r="G21" i="5" s="1"/>
  <c r="F19" i="5"/>
  <c r="E19" i="5"/>
  <c r="G19" i="5" s="1"/>
  <c r="G18" i="5"/>
  <c r="F18" i="5"/>
  <c r="E18" i="5"/>
  <c r="H17" i="5"/>
  <c r="G17" i="5"/>
  <c r="G16" i="5"/>
  <c r="I17" i="5" l="1"/>
  <c r="I57" i="4"/>
  <c r="H44" i="4"/>
  <c r="I44" i="4" s="1"/>
  <c r="G44" i="4"/>
  <c r="G42" i="4"/>
  <c r="H42" i="4" s="1"/>
  <c r="I42" i="4" s="1"/>
  <c r="G40" i="4"/>
  <c r="H40" i="4" s="1"/>
  <c r="I40" i="4" s="1"/>
  <c r="G34" i="4"/>
  <c r="E34" i="4"/>
  <c r="G24" i="4"/>
  <c r="H24" i="4" s="1"/>
  <c r="I24" i="4" s="1"/>
  <c r="F24" i="4"/>
  <c r="G23" i="4"/>
  <c r="H23" i="4" s="1"/>
  <c r="I23" i="4" s="1"/>
  <c r="G22" i="4"/>
  <c r="H22" i="4" s="1"/>
  <c r="I22" i="4" s="1"/>
  <c r="I21" i="4"/>
  <c r="H21" i="4"/>
  <c r="G21" i="4"/>
  <c r="G20" i="4"/>
  <c r="H20" i="4" s="1"/>
  <c r="F19" i="4"/>
  <c r="E19" i="4"/>
  <c r="G19" i="4" s="1"/>
  <c r="G18" i="4"/>
  <c r="F18" i="4"/>
  <c r="E18" i="4"/>
  <c r="G17" i="4"/>
  <c r="F17" i="4"/>
  <c r="E17" i="4"/>
  <c r="F16" i="4"/>
  <c r="E16" i="4"/>
  <c r="G16" i="4" s="1"/>
  <c r="G15" i="4"/>
  <c r="H15" i="4" s="1"/>
  <c r="I15" i="4" s="1"/>
  <c r="E19" i="1" l="1"/>
  <c r="H46" i="1" l="1"/>
  <c r="I60" i="1"/>
  <c r="G26" i="1" s="1"/>
  <c r="H26" i="1" s="1"/>
  <c r="G49" i="1"/>
  <c r="I46" i="1"/>
  <c r="G46" i="1"/>
  <c r="G44" i="1"/>
  <c r="H44" i="1" s="1"/>
  <c r="E36" i="1"/>
  <c r="F36" i="1" s="1"/>
  <c r="H36" i="1" s="1"/>
  <c r="F26" i="1"/>
  <c r="H25" i="1"/>
  <c r="I25" i="1" s="1"/>
  <c r="G25" i="1"/>
  <c r="H24" i="1"/>
  <c r="I24" i="1" s="1"/>
  <c r="G24" i="1"/>
  <c r="G23" i="1"/>
  <c r="H23" i="1" s="1"/>
  <c r="F22" i="1"/>
  <c r="E22" i="1"/>
  <c r="G22" i="1" s="1"/>
  <c r="F21" i="1"/>
  <c r="E21" i="1"/>
  <c r="G21" i="1" s="1"/>
  <c r="F20" i="1"/>
  <c r="E20" i="1"/>
  <c r="G20" i="1" s="1"/>
  <c r="F19" i="1"/>
  <c r="G19" i="1"/>
  <c r="G18" i="1"/>
  <c r="H18" i="1" s="1"/>
  <c r="I18" i="1" s="1"/>
  <c r="I44" i="1" l="1"/>
  <c r="H49" i="1"/>
  <c r="I49" i="1" s="1"/>
  <c r="G37" i="17"/>
</calcChain>
</file>

<file path=xl/sharedStrings.xml><?xml version="1.0" encoding="utf-8"?>
<sst xmlns="http://schemas.openxmlformats.org/spreadsheetml/2006/main" count="12680" uniqueCount="1238">
  <si>
    <t xml:space="preserve">                                                                                                  ОТЧЕТ УПРАВЛЯЮЩЕЙ ОГРАНИЗАЦИИ</t>
  </si>
  <si>
    <t xml:space="preserve">                                                                                                                     ООО "ЖРЭУ-6"</t>
  </si>
  <si>
    <t xml:space="preserve">          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</si>
  <si>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             ДОГОВОРА УПРАВЛЕНИЯ МНОГОКВАРТИРНЫМ ДОМОМ ЗА 2018 год</t>
  </si>
  <si>
    <t xml:space="preserve">                                                                                                           1. Общие сведения о многоквартирном доме</t>
  </si>
  <si>
    <t>Адрес многоквартирного дома : г.Калуга пер.2-ой Интернациональный д.10</t>
  </si>
  <si>
    <t>Общая площадь начислений многоквартирного дома:3901,2кв.м</t>
  </si>
  <si>
    <t>а)жилых помещений: 3809 кв.м</t>
  </si>
  <si>
    <t>б) нежилых помещений:92,2 кв.м</t>
  </si>
  <si>
    <t xml:space="preserve">           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</si>
  <si>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             общего имущества в многоквартирном доме и коммунальные услуги</t>
  </si>
  <si>
    <t xml:space="preserve">                                                                                                                         за отчетный период  </t>
  </si>
  <si>
    <t>№№</t>
  </si>
  <si>
    <t>Виды услуг</t>
  </si>
  <si>
    <t>Стоимость</t>
  </si>
  <si>
    <t>Остаток</t>
  </si>
  <si>
    <t>Начислено</t>
  </si>
  <si>
    <t>Поступило</t>
  </si>
  <si>
    <t>Выполнены</t>
  </si>
  <si>
    <t>Задолженность(-)</t>
  </si>
  <si>
    <t>п/п</t>
  </si>
  <si>
    <t>(работ ) услуг</t>
  </si>
  <si>
    <t>средств на</t>
  </si>
  <si>
    <t>в 2018г.</t>
  </si>
  <si>
    <t>работы в</t>
  </si>
  <si>
    <t>средств</t>
  </si>
  <si>
    <t>собственников и нани-</t>
  </si>
  <si>
    <t>руб./кв.м</t>
  </si>
  <si>
    <t>01.01.2018г.</t>
  </si>
  <si>
    <t>2018г.</t>
  </si>
  <si>
    <t>на 01.01.2019г.</t>
  </si>
  <si>
    <t>мателей помещений</t>
  </si>
  <si>
    <t xml:space="preserve">общей площади </t>
  </si>
  <si>
    <t>руб.</t>
  </si>
  <si>
    <t xml:space="preserve"> на 01.01.2019г.</t>
  </si>
  <si>
    <t>Содержание общего имущества,в том числе:</t>
  </si>
  <si>
    <t>1.1.</t>
  </si>
  <si>
    <t>Управление многоквартирным домом</t>
  </si>
  <si>
    <t>1.2</t>
  </si>
  <si>
    <t>Содержание конструктивных элементов</t>
  </si>
  <si>
    <t>1.3</t>
  </si>
  <si>
    <t>Содержание инженерных сетей</t>
  </si>
  <si>
    <t>1.4</t>
  </si>
  <si>
    <t>Содержание придомовой территории</t>
  </si>
  <si>
    <t>1.5</t>
  </si>
  <si>
    <t>Обслуживание КПУ</t>
  </si>
  <si>
    <t>1.6</t>
  </si>
  <si>
    <t>Содержание ОИ-эл.эн.</t>
  </si>
  <si>
    <t>4,44/4,6</t>
  </si>
  <si>
    <t>2.</t>
  </si>
  <si>
    <t>Сбор ,вывоз ТБО(ЖБО)</t>
  </si>
  <si>
    <t>3.</t>
  </si>
  <si>
    <t>Текущий ремонт общего имущества в т.ч.:</t>
  </si>
  <si>
    <t>по жилым помещениям</t>
  </si>
  <si>
    <t>по нежилым помещениям</t>
  </si>
  <si>
    <t>перенос остатка  с капремонта</t>
  </si>
  <si>
    <t>4.</t>
  </si>
  <si>
    <t>Капитальный ремонт общего имущества</t>
  </si>
  <si>
    <t>перенос на текущий ремонт</t>
  </si>
  <si>
    <t>*) Капитальный ремонт общего имущества- без учета накоплений за муниципальное жилье</t>
  </si>
  <si>
    <t>5.</t>
  </si>
  <si>
    <t>Представление мест</t>
  </si>
  <si>
    <t xml:space="preserve">Остаток средств  </t>
  </si>
  <si>
    <t xml:space="preserve">Получено  </t>
  </si>
  <si>
    <t xml:space="preserve">Налог  </t>
  </si>
  <si>
    <t xml:space="preserve">Остаток  </t>
  </si>
  <si>
    <t xml:space="preserve">Остаток </t>
  </si>
  <si>
    <t>на 01.01.2018г.</t>
  </si>
  <si>
    <t>на доход 15%</t>
  </si>
  <si>
    <t>д/телеком.оборудования</t>
  </si>
  <si>
    <t xml:space="preserve">Оплата населения ,полученная за коммунальные услуги напрямую поступает предприятиям поставщикам этих услуг согласно Агентского </t>
  </si>
  <si>
    <t>договора , заключенного с ООО"ЕИРЦ №1" №2/1 от 14.08.2009г.</t>
  </si>
  <si>
    <t xml:space="preserve"> </t>
  </si>
  <si>
    <t>Коммунальные услуги в том</t>
  </si>
  <si>
    <t>Тариф</t>
  </si>
  <si>
    <t>Сальдо на</t>
  </si>
  <si>
    <t>Начислено в</t>
  </si>
  <si>
    <t xml:space="preserve">Оплачено  </t>
  </si>
  <si>
    <t>Выполнено</t>
  </si>
  <si>
    <t xml:space="preserve">Сальдо на </t>
  </si>
  <si>
    <t>числе:</t>
  </si>
  <si>
    <t>на ед.изм.</t>
  </si>
  <si>
    <t>01.01.2018г.руб.</t>
  </si>
  <si>
    <t>2018г.,руб.</t>
  </si>
  <si>
    <t>населением</t>
  </si>
  <si>
    <t>работ</t>
  </si>
  <si>
    <t>01.01.2019г.руб</t>
  </si>
  <si>
    <t>потребителей</t>
  </si>
  <si>
    <t>в 2018г.,руб.</t>
  </si>
  <si>
    <t>в 2018г.руб</t>
  </si>
  <si>
    <t>на 01.01.2019г. руб</t>
  </si>
  <si>
    <t>Холодное водоснабжение</t>
  </si>
  <si>
    <t>25,95/27,25</t>
  </si>
  <si>
    <t>в т.ч.водоотведение хол.воды</t>
  </si>
  <si>
    <t>17,79/18,67</t>
  </si>
  <si>
    <t>Горячее водоснабжение</t>
  </si>
  <si>
    <t>157,5519/164,38</t>
  </si>
  <si>
    <t>централизованное</t>
  </si>
  <si>
    <t>в т.ч.водоотведениегор..воды</t>
  </si>
  <si>
    <t>Центральное отопление</t>
  </si>
  <si>
    <t>1952,55/2034,54</t>
  </si>
  <si>
    <t xml:space="preserve">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</si>
  <si>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на основании принятого решения собственниками помещений</t>
  </si>
  <si>
    <t>Дата выполнения</t>
  </si>
  <si>
    <t>Виды услуг (работ)</t>
  </si>
  <si>
    <t>Ед.изм.</t>
  </si>
  <si>
    <t>Объем работ</t>
  </si>
  <si>
    <t>Стоимость работ</t>
  </si>
  <si>
    <t xml:space="preserve"> п/п</t>
  </si>
  <si>
    <t>всего, руб.</t>
  </si>
  <si>
    <t>Текущий ремонт жилищного фонда,</t>
  </si>
  <si>
    <t>1</t>
  </si>
  <si>
    <t>гидропромывка системы канализации</t>
  </si>
  <si>
    <t>п.м</t>
  </si>
  <si>
    <t>2</t>
  </si>
  <si>
    <t>замена участка канализационного стояка кв.26</t>
  </si>
  <si>
    <t>м</t>
  </si>
  <si>
    <t>Итого</t>
  </si>
  <si>
    <t>Директор ООО "ЖРЭУ-6"              О.И.Мамаева</t>
  </si>
  <si>
    <t>Инженер</t>
  </si>
  <si>
    <t>Н.И.Ефремова</t>
  </si>
  <si>
    <t>Гл.бухгалтер</t>
  </si>
  <si>
    <t xml:space="preserve">   Н.И.Храмцова</t>
  </si>
  <si>
    <t>ОТЧЕТ УПРАВЛЯЮЩЕЙ ОРГАНИЗАЦИИ ООО "ЖРЭУ-6" ПЕРЕД СОБСТВЕННИКАМИ ПОМЕЩЕНИЙ О ВЫПОЛНЕНИИ</t>
  </si>
  <si>
    <t xml:space="preserve"> ДОГОВОРА УПРАВЛЕНИЯ МНОГОКВАРТИРНЫМ ДОМОМ ЗА 2018 год ПО АДРЕСУ :г.КАЛУГА,ул.БАРРИКАД ,дом 2</t>
  </si>
  <si>
    <t>Общая площадь начислений многоквартирного дома:  4832,15 кв.м</t>
  </si>
  <si>
    <t>в том числе:</t>
  </si>
  <si>
    <t>а)  жилых помещений :            4759,95кв.м</t>
  </si>
  <si>
    <t>б) нежилых помещений:              72,2 кв.м</t>
  </si>
  <si>
    <t xml:space="preserve">                                                                                                                         за отчетный период период</t>
  </si>
  <si>
    <t>(работ )услуг</t>
  </si>
  <si>
    <t>работы в 2018г.</t>
  </si>
  <si>
    <t>собственников и на-</t>
  </si>
  <si>
    <t>на 01.012019г.</t>
  </si>
  <si>
    <t>нимателей помещений</t>
  </si>
  <si>
    <t xml:space="preserve">общей площади  </t>
  </si>
  <si>
    <t>на 01.01.2019год.</t>
  </si>
  <si>
    <t>Содержание общего имущества итого:</t>
  </si>
  <si>
    <t>1.1</t>
  </si>
  <si>
    <t>Управление  многоквартирным домом</t>
  </si>
  <si>
    <t>Содержание лифтов</t>
  </si>
  <si>
    <t>Текущий ремонт общего имущества итого:</t>
  </si>
  <si>
    <t>в т.ч. по жилым помещениям</t>
  </si>
  <si>
    <t>перенос с капитального ремонта</t>
  </si>
  <si>
    <t>Капитальный ремонт общего</t>
  </si>
  <si>
    <t xml:space="preserve">   </t>
  </si>
  <si>
    <t>имущества  итого:</t>
  </si>
  <si>
    <t>Доход от предоставления мест</t>
  </si>
  <si>
    <t>Остаток на</t>
  </si>
  <si>
    <t xml:space="preserve">Поступило   </t>
  </si>
  <si>
    <t xml:space="preserve">Налог 15% </t>
  </si>
  <si>
    <t>Расход</t>
  </si>
  <si>
    <t>с дохода</t>
  </si>
  <si>
    <t>в 2018 г.</t>
  </si>
  <si>
    <t>на 01.01.2019г</t>
  </si>
  <si>
    <t>Оплата населения за коммунальные услуги напрямую поступает поставщикам этих услуг согласно Агентского договора с ООО "ЕИРЦ №1" №2/1 от 14.08.2009г.</t>
  </si>
  <si>
    <t>Начислено за</t>
  </si>
  <si>
    <t xml:space="preserve"> 2018г.,руб.</t>
  </si>
  <si>
    <t xml:space="preserve"> 2018г.руб</t>
  </si>
  <si>
    <t>в т.ч.Водоотведение хол.воды</t>
  </si>
  <si>
    <t>Горячее водоснабжение централизованное</t>
  </si>
  <si>
    <t>в т.ч.Водоотведение гор.воды</t>
  </si>
  <si>
    <t xml:space="preserve">                       3.Отчет о фактически выполненных работах по ремнту общего имущества в многоквартирном доме</t>
  </si>
  <si>
    <t xml:space="preserve">                                                                     на основании принятого решения собственниками помещений</t>
  </si>
  <si>
    <t>Виды работ</t>
  </si>
  <si>
    <t>Объем</t>
  </si>
  <si>
    <t>в том числе</t>
  </si>
  <si>
    <t>гидродинамическая промывка канализационных труб и выпусков</t>
  </si>
  <si>
    <t>ремонт кровли</t>
  </si>
  <si>
    <t>м2</t>
  </si>
  <si>
    <t>3</t>
  </si>
  <si>
    <t>поверка приборов учета на системе отопления</t>
  </si>
  <si>
    <t>услуга</t>
  </si>
  <si>
    <t>4</t>
  </si>
  <si>
    <t>30.11.2018</t>
  </si>
  <si>
    <t xml:space="preserve">замена задвижек(4 шт.,кран шаровый2 шт.) и труб на гвс-1,33м </t>
  </si>
  <si>
    <t>к-т</t>
  </si>
  <si>
    <t xml:space="preserve">Директор ООО "ЖРЭУ-6"                        Мамаева О.И.                                    </t>
  </si>
  <si>
    <t>Инженер            Н.И.Ефремова</t>
  </si>
  <si>
    <t>Гл.бухгалтер                    Н.И.Храмцова</t>
  </si>
  <si>
    <t xml:space="preserve">  ОТЧЕТ УПРАВЛЯЮЩЕЙ ОГРАНИЗАЦИИ ООО"ЖРЭУ-6" ПЕРЕД СОБСТВЕННИКАМИ ПОМЕЩЕНИЙ О ВЫПОЛНЕНИИ</t>
  </si>
  <si>
    <t xml:space="preserve">  ДОГОВОРА УПРАВЛЕНИЯ МНОГОКВАРТИРНЫМ ДОМОМ ЗА 2018год</t>
  </si>
  <si>
    <t>по адресу многоквартирного дома : г.Калуга ул.В.Восстания д.1</t>
  </si>
  <si>
    <t>Общая площадь многоквартирного дома:2298,8 кв.м</t>
  </si>
  <si>
    <t>а)жилых помещений:2298,8 кв.м</t>
  </si>
  <si>
    <t>б) нежилых помещений:0 кв.м</t>
  </si>
  <si>
    <t>Содержание общего</t>
  </si>
  <si>
    <t>имущества,в том числе:</t>
  </si>
  <si>
    <t>Содержание конструктивных</t>
  </si>
  <si>
    <t>элементов</t>
  </si>
  <si>
    <t xml:space="preserve"> Обслуживание КПУ</t>
  </si>
  <si>
    <t>Содержание мусоропровода</t>
  </si>
  <si>
    <t>Текущий ремонт общего имущества:</t>
  </si>
  <si>
    <t>7.</t>
  </si>
  <si>
    <t xml:space="preserve">Налог с дохода  </t>
  </si>
  <si>
    <t>Остаток средств на 01.01.2019г.</t>
  </si>
  <si>
    <t>Задолженность (-)</t>
  </si>
  <si>
    <t xml:space="preserve">потребителей  </t>
  </si>
  <si>
    <t>в т.ч.водоотведение гор..воды</t>
  </si>
  <si>
    <t>Ед.</t>
  </si>
  <si>
    <t>Количество</t>
  </si>
  <si>
    <t>изм.</t>
  </si>
  <si>
    <t xml:space="preserve"> гидродинамическая промывка канализационных труб и выпусков</t>
  </si>
  <si>
    <t>п.м.</t>
  </si>
  <si>
    <t>замена ж/б козырька на металлический</t>
  </si>
  <si>
    <t>шт</t>
  </si>
  <si>
    <t>Директор ООО "ЖРЭУ-6"                                        О.И.Мамаева</t>
  </si>
  <si>
    <t>О.И.Мамаева</t>
  </si>
  <si>
    <t xml:space="preserve">     Н.И.Ефремова </t>
  </si>
  <si>
    <t xml:space="preserve">                                                                                                   </t>
  </si>
  <si>
    <t>Адрес многоквартирного дома : г.Калуга ул.Воронина д.23</t>
  </si>
  <si>
    <t>Общая площадь многоквартирного дома:364,7 кв.м</t>
  </si>
  <si>
    <t>а)жилых помещений (общая площадь квартир):263,7кв.м</t>
  </si>
  <si>
    <t>б) нежилых помещений:101,0кв.м</t>
  </si>
  <si>
    <t>(работ)услуг</t>
  </si>
  <si>
    <t>нимателей помеще-</t>
  </si>
  <si>
    <t>ний на 01.01.2019г.руб.</t>
  </si>
  <si>
    <t>Управление</t>
  </si>
  <si>
    <t>многоквартирным домом</t>
  </si>
  <si>
    <t>Текущий ремонт общего</t>
  </si>
  <si>
    <t>имущества в т.ч.:</t>
  </si>
  <si>
    <t>на 01.01.2019г.руб.</t>
  </si>
  <si>
    <t xml:space="preserve">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</si>
  <si>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на основании принятого решения собственниками помещений</t>
  </si>
  <si>
    <t>Директор ООО "ЖРЭУ-6"                 О.И.Мамаева</t>
  </si>
  <si>
    <t>Адрес многоквартирного дома : г.Калуга ул.Воронина д.9</t>
  </si>
  <si>
    <t>Общая площадь  начислений многоквартирного дома:840,6кв.м</t>
  </si>
  <si>
    <t>а)жилых помещений:840,6кв.м</t>
  </si>
  <si>
    <t>б) нежилых помещений:60,2 кв.м</t>
  </si>
  <si>
    <t>собственникови нани-</t>
  </si>
  <si>
    <t xml:space="preserve">01.01.2018г. </t>
  </si>
  <si>
    <t>имущества</t>
  </si>
  <si>
    <t xml:space="preserve">по жилым помещениям  </t>
  </si>
  <si>
    <t xml:space="preserve">по нежилым помещениям  </t>
  </si>
  <si>
    <t>Ед.изм</t>
  </si>
  <si>
    <t>Текущий ремонт жилищного фонда:</t>
  </si>
  <si>
    <t>ремонт газоходов и вентканалов</t>
  </si>
  <si>
    <t>гидродинамическая промывка системы канализации</t>
  </si>
  <si>
    <t>Гл.Бухгалтер                     Н.И.Храмцова</t>
  </si>
  <si>
    <t>Адрес многоквартирного дома : г.Калуга ул.Воронина д.11</t>
  </si>
  <si>
    <t>Общая площадь начислений многоквартирного дома:3947,5 кв.м</t>
  </si>
  <si>
    <t>а)жилых помещений (общая площадь квартир): 3903,2кв.м</t>
  </si>
  <si>
    <t>б) нежилых помещений: 44,3 кв.м</t>
  </si>
  <si>
    <t>2.Отчет по затратам на содержание, ремонт</t>
  </si>
  <si>
    <t>Содержание общего имущества,в т . ч.:</t>
  </si>
  <si>
    <t>Техобслуживание КПУ</t>
  </si>
  <si>
    <t>Капитальный ремонт общего имущества  в т.ч.:</t>
  </si>
  <si>
    <t>Доход от представления мест</t>
  </si>
  <si>
    <t>Оплата населения за коммунальные услуги напрямую поступает поставщикам этих услуг соглсно Агентского договора с ООО "ЕИРЦ №1" №2/1 от 14.08.2009г.</t>
  </si>
  <si>
    <t xml:space="preserve">Выполнено  </t>
  </si>
  <si>
    <t>в т.ч.водоотведениегор.воды</t>
  </si>
  <si>
    <t xml:space="preserve">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</si>
  <si>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на основании принятого решения собственниками помещений</t>
  </si>
  <si>
    <t>ремонт ступеней</t>
  </si>
  <si>
    <t>услуги автовышки</t>
  </si>
  <si>
    <t>час</t>
  </si>
  <si>
    <t>утепление наружных стен кв.26,46</t>
  </si>
  <si>
    <t>5</t>
  </si>
  <si>
    <t xml:space="preserve">                                                          </t>
  </si>
  <si>
    <t>Капитальный ремонт</t>
  </si>
  <si>
    <t xml:space="preserve">  </t>
  </si>
  <si>
    <t>ремонт отмостки</t>
  </si>
  <si>
    <t>м3</t>
  </si>
  <si>
    <t xml:space="preserve">Директор ООО "ЖРЭУ-6"                О.И Мамаева                         </t>
  </si>
  <si>
    <t>Гл.Бухгалтер</t>
  </si>
  <si>
    <t>Н.И.Храмцова</t>
  </si>
  <si>
    <t>Адрес многоквартирного дома : г.Калуга ул.Воронина д13/52</t>
  </si>
  <si>
    <t>Общая площадь начислений многоквартирного дома:259,9 кв.м</t>
  </si>
  <si>
    <t>а)жилых помещений (общая площадь квартир): 259,9кв.м</t>
  </si>
  <si>
    <t>б) нежилых помещений: 0 кв.м</t>
  </si>
  <si>
    <t xml:space="preserve">                                                                                                                         за отчетный период </t>
  </si>
  <si>
    <t xml:space="preserve">общей  </t>
  </si>
  <si>
    <t>Адрес многоквартирного дома : г.Калуга ул.Воронина д16</t>
  </si>
  <si>
    <t>Общая площадь начислений многоквартирного дома:592 кв.м</t>
  </si>
  <si>
    <t>а)жилых помещений: 441,3кв.м</t>
  </si>
  <si>
    <t>б) нежилых помещений: 150,7 кв.м</t>
  </si>
  <si>
    <t>Содержание ОИ-эл.эн</t>
  </si>
  <si>
    <t xml:space="preserve">имущества  </t>
  </si>
  <si>
    <t>руб .</t>
  </si>
  <si>
    <t>в т.ч. Водоотведение хол.воды</t>
  </si>
  <si>
    <t>Директор ООО "ЖРЭУ-6"           О.И.Мамаева</t>
  </si>
  <si>
    <t xml:space="preserve">                  Н.И.Храмцова</t>
  </si>
  <si>
    <t>Адрес многоквартирного дома : г.Калуга ул.Воронина д18</t>
  </si>
  <si>
    <t>Общая площадь начислений многоквартирного дома:271,6 кв.м</t>
  </si>
  <si>
    <t>а)жилых помещений :271,6кв.м</t>
  </si>
  <si>
    <t xml:space="preserve">в т.ч.водоотведение хол.воды </t>
  </si>
  <si>
    <t xml:space="preserve">                                                                                      ДОГОВОРА УПРАВЛЕНИЯ МНОГОКВАРТИРНЫМ ДОМОМ ЗА 2018год</t>
  </si>
  <si>
    <t>Адрес многоквартирного дома : г.Калуга ул.Воронина д.21</t>
  </si>
  <si>
    <t>Общая площадь многоквартирного дома:341,2кв.м</t>
  </si>
  <si>
    <t>а)жилых помещений :280,9 кв.м</t>
  </si>
  <si>
    <t>б) нежилых помещений:60,3 кв.м</t>
  </si>
  <si>
    <t xml:space="preserve">                 Н.И.Храмцова</t>
  </si>
  <si>
    <t>Адрес многоквартирного дома : г.Калуга ул.Воронина д.23а</t>
  </si>
  <si>
    <t>Общая площадь многоквартирного дома:600,7кв.м</t>
  </si>
  <si>
    <t>а)жилых помещений (общая площадь квартир):417,7 кв.м</t>
  </si>
  <si>
    <t>б) нежилых помещений:183 кв.м</t>
  </si>
  <si>
    <t>перенос с капремонта</t>
  </si>
  <si>
    <t xml:space="preserve">перенос на текущий ремонт </t>
  </si>
  <si>
    <t>апрель 2018г.</t>
  </si>
  <si>
    <t>софинансирование благоустройства дворовой территории</t>
  </si>
  <si>
    <t>%</t>
  </si>
  <si>
    <t>услуги автовышки при ремонте кровли</t>
  </si>
  <si>
    <t>Директор ООО "ЖРЭУ-6"            О.И.Мамаева</t>
  </si>
  <si>
    <t xml:space="preserve">                                                                                                            ОТЧЕТ УПРАВЛЯЮЩЕЙ КОМПАНИИ</t>
  </si>
  <si>
    <t>Адрес многоквартирного дома : г.Калуга ул.Герцена д.2/8</t>
  </si>
  <si>
    <t>Общая площадь начислений многоквартирного дома:1746,80кв.м</t>
  </si>
  <si>
    <t>а)жилых помещений (общая площадь квартир):1746,8кв.м</t>
  </si>
  <si>
    <t>2017г.</t>
  </si>
  <si>
    <t>общей площади</t>
  </si>
  <si>
    <t xml:space="preserve"> на 01.01.2018г. руб.</t>
  </si>
  <si>
    <t>Текущий ремонт общего имущества</t>
  </si>
  <si>
    <t xml:space="preserve">Капитальный ремонт общего имущества </t>
  </si>
  <si>
    <t>с дохода 15%</t>
  </si>
  <si>
    <t>в т.ч.водоотведение гор.воды</t>
  </si>
  <si>
    <t>замена вентилей на стояке гвс кв.31</t>
  </si>
  <si>
    <t>Директор ООО "ЖРЭУ-6"             О.И.Мамаева</t>
  </si>
  <si>
    <t xml:space="preserve">                                                                                             ОТЧЕТ УПРАВЛЯЮЩЕЙ ОГРАНИЗАЦИИ  ООО "ЖРЭУ-6"</t>
  </si>
  <si>
    <t xml:space="preserve">                                                                                      ДОГОВРА УПРАВЛЕНИЯ МНОГОКВАРТИРНЫМ ДОМОМ ЗА 2018 год</t>
  </si>
  <si>
    <t>Адрес многоквартирного дома : г.Калуга ул.Герцена д.3</t>
  </si>
  <si>
    <t>Общая площадь начислений  многоквартирного дома 5977,2 кв.м</t>
  </si>
  <si>
    <t>а)жилых помещений : 5686,6кв.м</t>
  </si>
  <si>
    <t>б) нежилых помещений:290,6 кв.м</t>
  </si>
  <si>
    <t xml:space="preserve">общей плащади </t>
  </si>
  <si>
    <t>Содержание общего имущества,в т.ч.:</t>
  </si>
  <si>
    <t>по  нежилым помещениям</t>
  </si>
  <si>
    <t>на 01.01.2019г. Руб.</t>
  </si>
  <si>
    <t xml:space="preserve">                      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</si>
  <si>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                      на основании принятого решения собственниками помещений</t>
  </si>
  <si>
    <t>замена канализационных труб в подвале</t>
  </si>
  <si>
    <t>гидродпромывкасистемы  канализации</t>
  </si>
  <si>
    <t xml:space="preserve">ремонт всего: </t>
  </si>
  <si>
    <t>в т.ч. кровли над входом в подъезд</t>
  </si>
  <si>
    <t>ремонт порога в подвале</t>
  </si>
  <si>
    <t xml:space="preserve">замена металлической двери </t>
  </si>
  <si>
    <t>Директор ООО"ЖРЭУ-6"                     О.И.Мамаева                  Инженер                         Н.И.Ефремова                                       Гл.бухгалтер                           Н.И.Храмцрва</t>
  </si>
  <si>
    <t>Адрес многоквартирного дома : г.Калуга ул.Герцена д.4</t>
  </si>
  <si>
    <t>Общая площадь начислений многоквартирного дома:3361,6кв.м</t>
  </si>
  <si>
    <t>а)жилых помещений :3255,2 кв.м</t>
  </si>
  <si>
    <t>б) нежилых помещений:106,40 кв.м</t>
  </si>
  <si>
    <t>на 01.01. 2019г. Руб.</t>
  </si>
  <si>
    <t xml:space="preserve">Холодное водоснабжение </t>
  </si>
  <si>
    <t xml:space="preserve">в т.ч.водоотведение </t>
  </si>
  <si>
    <t>3.Отчет о фактически выполненных работах по ремонту общего имущества в многоквартирном доме</t>
  </si>
  <si>
    <t xml:space="preserve">                                                                                   на основании принятого решения собственниками помещений</t>
  </si>
  <si>
    <t>1.</t>
  </si>
  <si>
    <t>ремонт совмещенной кровли кв.17,20,35,48,65</t>
  </si>
  <si>
    <t>утепление наружных стен кв.68</t>
  </si>
  <si>
    <t>Директор ООО "ЖРЭУ-6"                         О.И.Мамаева</t>
  </si>
  <si>
    <t>Инженер                                     Н.И.Ефремова                              Гл.Бухгалтер            Н.И.Храмцова</t>
  </si>
  <si>
    <t>Адрес многоквартирного дома : г.Калуга ул.Герцена д.6</t>
  </si>
  <si>
    <t>Общая площадь многоквартирного дома:3903,6 кв.м</t>
  </si>
  <si>
    <t>а)жилых помещений: 3903,6кв.м</t>
  </si>
  <si>
    <t>Управлениетмногоквартирным домом</t>
  </si>
  <si>
    <t xml:space="preserve">Содержание конструктивных элементов </t>
  </si>
  <si>
    <t>в т.ч..по жилым помещениям</t>
  </si>
  <si>
    <t>6.</t>
  </si>
  <si>
    <t xml:space="preserve">Остаток средств </t>
  </si>
  <si>
    <t>средств в 2018г.</t>
  </si>
  <si>
    <t xml:space="preserve">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</si>
  <si>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поверка прибора учета на системе отопления</t>
  </si>
  <si>
    <t>окраска газовой трубы</t>
  </si>
  <si>
    <t>ремонт системы цо в кв.51,(в т.ч.смена полотенцесушителей 1 шт)</t>
  </si>
  <si>
    <t>установка козырьков на приямки</t>
  </si>
  <si>
    <t>Инженер                                Н.И.Ефремова                                   Гл.Бухгалтер                      Н.И.Храмцова</t>
  </si>
  <si>
    <t>Адрес многоквартирного дома : г.Калуга ул.Герцена д.9а</t>
  </si>
  <si>
    <t>Общая площадь начислений  многоквартирного дома:486,3кв.м</t>
  </si>
  <si>
    <t>а)жилых помещений :486,3 кв.м</t>
  </si>
  <si>
    <t>перенос на текущий ремонт с капремонта</t>
  </si>
  <si>
    <t xml:space="preserve">                                                                                      ДОГОВРА УПРАВЛЕНИЯ МНОГОКВАРТИРНЫМ ДОМОМ ЗА 2018год</t>
  </si>
  <si>
    <t>Адрес многоквартирного дома : г.Калуга ул.Герцена д.16а</t>
  </si>
  <si>
    <t>Общая площадь многоквартирного дома:299,2кв.м</t>
  </si>
  <si>
    <t>а)жилых помещений (общая площадь квартир):299,2 кв.м</t>
  </si>
  <si>
    <t>на 01.01. 2019г.руб.</t>
  </si>
  <si>
    <t xml:space="preserve">                                                           3.Отчет о фактически выполненных работах по ремонту общего имущества в многоквартирном доме  </t>
  </si>
  <si>
    <t xml:space="preserve">Объем </t>
  </si>
  <si>
    <t>Директор ООО "ЖРЭУ-6"          О.И.Мамаева</t>
  </si>
  <si>
    <t>Н.И.Ефремова                       Гл.Бухгалтер              Н.И.Храмцова</t>
  </si>
  <si>
    <t>Адрес многоквартирного дома : г.Калуга ул.Герцена д.17 корп.1</t>
  </si>
  <si>
    <t>Общая площадь начислений многоквартирного дома:2871,6кв.м</t>
  </si>
  <si>
    <t>а)жилых помещений : 2871,6кв.м</t>
  </si>
  <si>
    <t>2018 г.</t>
  </si>
  <si>
    <t xml:space="preserve">Содержание конструктивны элементов </t>
  </si>
  <si>
    <t>перенос с капитального  ремонта</t>
  </si>
  <si>
    <t xml:space="preserve">имущества итого:  </t>
  </si>
  <si>
    <t>Получено</t>
  </si>
  <si>
    <t xml:space="preserve">Выполнено </t>
  </si>
  <si>
    <t>руб. на 01.01. 2019г.</t>
  </si>
  <si>
    <t>в т.ч.Водоотведение</t>
  </si>
  <si>
    <t xml:space="preserve">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</si>
  <si>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на основании принятого решения собственниками помещений</t>
  </si>
  <si>
    <t>пог.м</t>
  </si>
  <si>
    <t>поверка прибора учета  на системе отопления</t>
  </si>
  <si>
    <t>уборка мест общего пользования</t>
  </si>
  <si>
    <t>Инженер                              Н.И.Ефремова                        Гл.Бухгалтер                  Н.И.Храмцова</t>
  </si>
  <si>
    <t xml:space="preserve">Адрес многоквартирного дома : г.Калуга ул.Герцена д.17 </t>
  </si>
  <si>
    <t>Общая площадь многоквартирного дома:12527,8кв.м</t>
  </si>
  <si>
    <t>а)жилых помещений :12507,20 кв.м</t>
  </si>
  <si>
    <t>б) нежилых помещений:20,60 кв.м</t>
  </si>
  <si>
    <t>в т.ч.по жилым помещениям</t>
  </si>
  <si>
    <t>Капитальный ремонт общего имущества итого:</t>
  </si>
  <si>
    <t xml:space="preserve">   работ</t>
  </si>
  <si>
    <t xml:space="preserve">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</si>
  <si>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на основании принятого решения собственниками помещений</t>
  </si>
  <si>
    <t>замена запорной арматуры на стояках ЦО под.№1,№6</t>
  </si>
  <si>
    <t>замена контакторов станции управления лифтом подъезд №1</t>
  </si>
  <si>
    <t>ремонт порога в подъезде №5</t>
  </si>
  <si>
    <t>6</t>
  </si>
  <si>
    <t>замена запорной арматуры на стояках ЦО под.№4,,№5</t>
  </si>
  <si>
    <t>7</t>
  </si>
  <si>
    <t>ершение и промывка канализационного коллектора</t>
  </si>
  <si>
    <t>Инженер                                       Н.И.Ефремова                                                 Гл.Бухгалтер               Храмцова Н.И.</t>
  </si>
  <si>
    <t xml:space="preserve">                                           ОТЧЕТ УПРАВЛЯЮЩЕЙ ОРГАНИЗАЦИИ</t>
  </si>
  <si>
    <t xml:space="preserve">                                                                                  ООО "ЖРЭУ-6"</t>
  </si>
  <si>
    <t xml:space="preserve">                                                     ПЕРЕД СОБСТВЕННИКАМИ ПОМЕЩЕНИЙ О ВЫПОЛНЕНИИ</t>
  </si>
  <si>
    <t xml:space="preserve">                                              ДОГОВОРА УПРАВЛЕНИЯ МНОГОКВАРТИРНЫМ ДОМОМ ЗА 2018 год</t>
  </si>
  <si>
    <t>Адрес многоквартирного дома : г.Калуга ул.Огарева д.3</t>
  </si>
  <si>
    <t>Общая площадь многоквартирного дома:3467,1кв.м</t>
  </si>
  <si>
    <t>а)жилых помещений (общая площадь квартир): 3467,1кв.м</t>
  </si>
  <si>
    <t>Техническое обслуживание КПУ</t>
  </si>
  <si>
    <t>Капитальный ремонт общего имущества  итого :</t>
  </si>
  <si>
    <t>омолаживающая обрезка и уборка зеленых насаждений</t>
  </si>
  <si>
    <t>куб.м</t>
  </si>
  <si>
    <t xml:space="preserve">Директор ООО "ЖРЭУ-6"                                         </t>
  </si>
  <si>
    <t xml:space="preserve">Адрес многоквартирного дома : г.Калуга ул.Огарева д.4 </t>
  </si>
  <si>
    <t>Общая площадь многоквартирного дома:3388,04 кв.м</t>
  </si>
  <si>
    <t>а)жилых помещений : 3274,54кв.м</t>
  </si>
  <si>
    <t>б) нежилых помещений:113,5 кв.м</t>
  </si>
  <si>
    <t>замена стояка хвс в квартирах №36,39,42,45,48</t>
  </si>
  <si>
    <t>Инженер                              Н.И.Ефремова                               Гл.Бухгалтер                       Н.И.Храмцова</t>
  </si>
  <si>
    <t xml:space="preserve">                                                                                                   ОТЧЕТ УПРАВЛЯЮЩЕЙ КОМПАНИИ</t>
  </si>
  <si>
    <t>Адрес многоквартирного дома : г.Калуга ул.Огарева д.6</t>
  </si>
  <si>
    <t>Общая площадь начислений многоквартирного дома:3963,5кв.м</t>
  </si>
  <si>
    <t>а)жилых помещений :3963,5кв.м</t>
  </si>
  <si>
    <t>Содержаие общего имущества,в т.ч.:</t>
  </si>
  <si>
    <t xml:space="preserve">1.5 </t>
  </si>
  <si>
    <t>за 2018г.</t>
  </si>
  <si>
    <t>в т.ч.водоотведение гол.воды</t>
  </si>
  <si>
    <t>Дата принятого</t>
  </si>
  <si>
    <t>собственниками решения</t>
  </si>
  <si>
    <t>27.03.2018</t>
  </si>
  <si>
    <t>03.08.2018</t>
  </si>
  <si>
    <t>22.10.2018</t>
  </si>
  <si>
    <t>Директор ООО "ЖРЭУ-6"                          О.И.Мамаева</t>
  </si>
  <si>
    <t xml:space="preserve"> Инженер                               Н.И.Ефремова</t>
  </si>
  <si>
    <t xml:space="preserve">                                                                                                    ОТЧЕТ УПРАВЛЯЮЩЕЙ КОМПАНИИ ООО "ЖРЭУ-6"</t>
  </si>
  <si>
    <t>Адрес многоквартирного дома : г.Калуга ул.Огарева д.9/7</t>
  </si>
  <si>
    <t>Общая площадь многоквартирного дома:2577,9кв.м</t>
  </si>
  <si>
    <t>а)жилых помещений :2515,50кв.м</t>
  </si>
  <si>
    <t>б) нежилых помещений:62,4 кв.м</t>
  </si>
  <si>
    <t xml:space="preserve">                                                                                        </t>
  </si>
  <si>
    <t xml:space="preserve">за отчетный период  </t>
  </si>
  <si>
    <t>с дохода15%</t>
  </si>
  <si>
    <t>ремонт лестничных клеток</t>
  </si>
  <si>
    <t>Распиловка и вывоз деревьев с придомовой территории</t>
  </si>
  <si>
    <t xml:space="preserve">  ОТЧЕТ УПРАВЛЯЮЩЕЙ  ОРГАНИЗАЦИИ ООО "ЖРЭУ-6"</t>
  </si>
  <si>
    <t>Адрес многоквартирного дома : г.Калуга ул.Огарева д.34а</t>
  </si>
  <si>
    <t>Общая площадь начислений :361,6кв.м</t>
  </si>
  <si>
    <t>а)жилых помещений :361,6 кв.м</t>
  </si>
  <si>
    <t xml:space="preserve">Капитальный ремонт имущества итого: </t>
  </si>
  <si>
    <t>Оплата населения за коммунальные услуги напрямую поступает поставщикам этих услуг соглсно Агентского договора с ООО "ЕИРЦ №1"  №2/1 от 14.08.2009г.</t>
  </si>
  <si>
    <t xml:space="preserve">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</si>
  <si>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на основании принятого решения собственниками помещений</t>
  </si>
  <si>
    <t>ремонт порогов</t>
  </si>
  <si>
    <t xml:space="preserve">Директор ООО "ЖРЭУ-6"                                      </t>
  </si>
  <si>
    <t xml:space="preserve"> О.И.Мамаева                        Инженер                          Н.И.Ефремова             Гл.Бухгалтер                    Н.И.Храмцова</t>
  </si>
  <si>
    <t xml:space="preserve">                                                                                                       ОТЧЕТ УПРАВЛЯЮЩЕЙ КОМПАНИИ ООО "ЖРЭУ-6"</t>
  </si>
  <si>
    <t>Адрес многоквартирного дома : г.Калуга ул.Огарева д.40 корп.1</t>
  </si>
  <si>
    <t>Общая площадь начислений многоквартирного дома:2558,4кв.м</t>
  </si>
  <si>
    <t>а)жилых помещений:2458,0 кв.м</t>
  </si>
  <si>
    <t>б) нежилых помещений:100,4 кв.м</t>
  </si>
  <si>
    <t xml:space="preserve">                                                                                        общего имущества в многоквартирном доме и коммунальные услуги за отчетный период</t>
  </si>
  <si>
    <t>Содержание общего имущества в т.ч.:</t>
  </si>
  <si>
    <t>1.7</t>
  </si>
  <si>
    <t>Уборка мест общего пользования</t>
  </si>
  <si>
    <t>73,0/квартира</t>
  </si>
  <si>
    <t xml:space="preserve">Капитальный ремонт общего имущества итого: </t>
  </si>
  <si>
    <t xml:space="preserve">налог  </t>
  </si>
  <si>
    <t xml:space="preserve">д/телеком.оборудования  </t>
  </si>
  <si>
    <t>замена шкива ограничителя скорости лифта подъезд №1</t>
  </si>
  <si>
    <t>Директор ООО "ЖРЭУ-6"                  О.И.Мамаева</t>
  </si>
  <si>
    <t>Адрес многоквартирного дома : г.Калуга ул.Огарева д.40 корп.2</t>
  </si>
  <si>
    <t>Общая площадь начислений  многоквартирного дома:3836кв.м</t>
  </si>
  <si>
    <t>а)жилых помещений :3836,0 кв.м</t>
  </si>
  <si>
    <t>собственников и нанима-</t>
  </si>
  <si>
    <t>телей помещений</t>
  </si>
  <si>
    <t>100,0/квартира</t>
  </si>
  <si>
    <t xml:space="preserve">Остаток   </t>
  </si>
  <si>
    <t>в т.ч.водоотведение</t>
  </si>
  <si>
    <t>27.03.2018г.</t>
  </si>
  <si>
    <t>31.10.2018г.</t>
  </si>
  <si>
    <t>ремонт входов в подъезды</t>
  </si>
  <si>
    <t>26.11.2018г.</t>
  </si>
  <si>
    <t>ремонт электродвигателя главного привода лифта</t>
  </si>
  <si>
    <t xml:space="preserve">Директор ООО "ЖРЭУ-6"               О.И.Мамаева            </t>
  </si>
  <si>
    <t>Адрес многоквартирного дома : г.Калуга ул.Огарева д.42</t>
  </si>
  <si>
    <t>Общая площадь многоквартирного дома:5679,3кв.м</t>
  </si>
  <si>
    <t>а)жилых помещений (общая площадь квартир):5679,3 кв.м</t>
  </si>
  <si>
    <t>собственникови на-</t>
  </si>
  <si>
    <t>руб./кв.м об-</t>
  </si>
  <si>
    <t xml:space="preserve">щей площади  </t>
  </si>
  <si>
    <t xml:space="preserve">Текущий ремонт жилищного фонда </t>
  </si>
  <si>
    <t>ремонт кровли над тамбуром подъезд №1</t>
  </si>
  <si>
    <t>ремонт лестничной клетки</t>
  </si>
  <si>
    <t>копия поэтажного плана</t>
  </si>
  <si>
    <t>замена вентилей на стояках гвс</t>
  </si>
  <si>
    <t xml:space="preserve">Директор ООО "ЖРЭУ-6"                                       </t>
  </si>
  <si>
    <t xml:space="preserve">                                                                                                  ОТЧЕТ УПРАВЛЯЮЩЕЙ ОГРАНИЗАЦИИ ООО "ЖРЭУ-6"</t>
  </si>
  <si>
    <t>Адрес многоквартирного дома : г.Калуга ул.Огарева д.44</t>
  </si>
  <si>
    <t>Общая площадь начислений многоквартирного дома:3816,7кв.м</t>
  </si>
  <si>
    <t>а)жилых помещений:3799,9 кв.м</t>
  </si>
  <si>
    <t>б) нежилых помещений:16,8 кв.м</t>
  </si>
  <si>
    <t xml:space="preserve">Капитальный ремонт общего имущества в т.ч.:  </t>
  </si>
  <si>
    <t>на 01.01. 2019г.</t>
  </si>
  <si>
    <t>пог.м.</t>
  </si>
  <si>
    <t>Адрес многоквартирного дома : г.Калуга  пер.Труда д.4 кор.1</t>
  </si>
  <si>
    <t>Общая площадь многоквартирного дома:561,5кв.м</t>
  </si>
  <si>
    <t>а)жилых помещений :561,5 кв.м</t>
  </si>
  <si>
    <t>собственников</t>
  </si>
  <si>
    <t>и нанимателей</t>
  </si>
  <si>
    <t>помещений на 01.01.2019г</t>
  </si>
  <si>
    <t>Выполнено работ</t>
  </si>
  <si>
    <t>на 01.01.2019 г.руб.</t>
  </si>
  <si>
    <t xml:space="preserve">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</si>
  <si>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на основании принятого решения собственниками помещений</t>
  </si>
  <si>
    <t>замена двери</t>
  </si>
  <si>
    <t xml:space="preserve"> Инженер                                   Н.И.Ефремова </t>
  </si>
  <si>
    <t>Гл.Бухгалтер                            Н.И.Храмцова</t>
  </si>
  <si>
    <t>Адрес многоквартирного дома : г.Калуга пер.Труда д.4 корп.2</t>
  </si>
  <si>
    <t>Общая площадь многоквартирного дома:283,3кв.м</t>
  </si>
  <si>
    <t>а)жилых помещений :283,3 кв.м</t>
  </si>
  <si>
    <t>01.01.2018г.руб</t>
  </si>
  <si>
    <t xml:space="preserve">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</si>
  <si>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на основании принятого решения собственниками помещений</t>
  </si>
  <si>
    <t xml:space="preserve"> Инженер                                    Н.И.Ефремова                             Гл.Бухгалтер                          Н.И.Храмцова</t>
  </si>
  <si>
    <t>Адрес многоквартирного дома : г.Калуга пер.Труда д.4 корп.5</t>
  </si>
  <si>
    <t>Общая площадь начислений многоквартирного дома:284,4кв.м</t>
  </si>
  <si>
    <t>а)жилых помещений :284,4кв.м</t>
  </si>
  <si>
    <t>помещений на 01.01.2019г..</t>
  </si>
  <si>
    <t xml:space="preserve">         </t>
  </si>
  <si>
    <t xml:space="preserve">                                        3.Отчет о фактически выполненных работах по ремонту общего имущества в многоквартирном доме  </t>
  </si>
  <si>
    <t>Директор ООО "ЖРЭУ-6"                О.И.Мамаева</t>
  </si>
  <si>
    <t>Инженер                            Н.И.Ефремова                               Гл.Бухгалтер                         Н.И.Храмцова</t>
  </si>
  <si>
    <t>Адрес многоквартирного дома : г.Калуга пер.Яченский д.2</t>
  </si>
  <si>
    <t>Общая площадь начислений многоквартирного дома:1600,1кв.м</t>
  </si>
  <si>
    <t>а)жилых помещений :1600,1кв.м</t>
  </si>
  <si>
    <t>Капитальный ремонт общего имущества итого :</t>
  </si>
  <si>
    <t xml:space="preserve">Налог с  </t>
  </si>
  <si>
    <t>дохода 15%</t>
  </si>
  <si>
    <t>утепление наружных стен кв.14</t>
  </si>
  <si>
    <t xml:space="preserve">             Ефремова Н.И.</t>
  </si>
  <si>
    <t>Адрес многоквартирного дома : г.Калуга ул.Плеханова д.3</t>
  </si>
  <si>
    <t>Общая площадь начислений многоквартирного дома:4086,1кв.м</t>
  </si>
  <si>
    <t>а)жилых помещений : 2731,9кв.м</t>
  </si>
  <si>
    <t>б) нежилых помещений: 1354,2 кв.м</t>
  </si>
  <si>
    <t xml:space="preserve">  на 01.01.2019г.</t>
  </si>
  <si>
    <t>изоляция труб гвс в подвале  дома</t>
  </si>
  <si>
    <t>замена участка канализационного стояка кв.8,12,16</t>
  </si>
  <si>
    <t>устройство примыканий  на приямки</t>
  </si>
  <si>
    <t>замена задвижки на системе цо</t>
  </si>
  <si>
    <t>м.п.</t>
  </si>
  <si>
    <t>обследование строительных конструкций(в подвале)</t>
  </si>
  <si>
    <t>8</t>
  </si>
  <si>
    <t>замена вентилей на стояке гвс в подъезде №4</t>
  </si>
  <si>
    <t xml:space="preserve">     Гл.Бухгалтер</t>
  </si>
  <si>
    <t>Адрес многоквартирного дома : г.Калуга ул.Плеханова д.5/1</t>
  </si>
  <si>
    <t>Общая площадь начислений многоквартирного дома:3592,5кв.м</t>
  </si>
  <si>
    <t>а)жилых помещений :3465,3кв.м</t>
  </si>
  <si>
    <t>б) нежилых помещений: 127,2кв.м</t>
  </si>
  <si>
    <t>имущества итого:</t>
  </si>
  <si>
    <t>ремонт порога</t>
  </si>
  <si>
    <t>замена задвижки на стояке цо</t>
  </si>
  <si>
    <t xml:space="preserve">заключение о техническом состоянии системы ЦО </t>
  </si>
  <si>
    <t>спил и вывоз веток зеленых насаждений</t>
  </si>
  <si>
    <t>замена  запорной  арматуры на системе ЦО</t>
  </si>
  <si>
    <t>Инженер                Н.И.Ефремова</t>
  </si>
  <si>
    <t xml:space="preserve">                   Гл.Бухгалтер</t>
  </si>
  <si>
    <t>Адрес многоквартирного дома : г.Калуга ул.Плеханова д.11</t>
  </si>
  <si>
    <t>Общая площадь начислений  многоквартирного дома:4113,3 кв.м</t>
  </si>
  <si>
    <t xml:space="preserve">а)жилых помещений:4102,3 </t>
  </si>
  <si>
    <t>б) нежилых помещений:11, 0 кв.м</t>
  </si>
  <si>
    <t>Содержание общего имущества,в т. числе:</t>
  </si>
  <si>
    <t>ремонт освещения</t>
  </si>
  <si>
    <t>работы по содержанию и уборке зеленых насаждений</t>
  </si>
  <si>
    <t>установка устройства аварийного освещения</t>
  </si>
  <si>
    <t>комплект</t>
  </si>
  <si>
    <t>замена деревянной двери</t>
  </si>
  <si>
    <t>замена запорной арматуры на гвс и хвс</t>
  </si>
  <si>
    <t>замена вентилей на стояках гвс в техподполье кв.12,33</t>
  </si>
  <si>
    <t>Директор ООО "ЖРЭУ-6"                        О.И.Мамаева</t>
  </si>
  <si>
    <t>Адрес многоквартирного дома : г.Калуга ул.Плеханова д.12</t>
  </si>
  <si>
    <t>Общая площадь начисления многоквартирного дома:11390,36 кв.м</t>
  </si>
  <si>
    <t>а)жилых помещений : 11390,36кв.м</t>
  </si>
  <si>
    <t xml:space="preserve"> на 01.01.2019г</t>
  </si>
  <si>
    <t>Задолженность(-) по-</t>
  </si>
  <si>
    <t>работ в 2018г.руб.</t>
  </si>
  <si>
    <t>требителей на 01.01.19г</t>
  </si>
  <si>
    <t>157,55/164,38</t>
  </si>
  <si>
    <t>Текущий ремонт жилищного фонда в т.ч.:</t>
  </si>
  <si>
    <t>замена труб гвс</t>
  </si>
  <si>
    <t>гидропромывка система канализации</t>
  </si>
  <si>
    <t>ремонт канализационного лежака в подвале подъезда №5</t>
  </si>
  <si>
    <t>замена участка труб гвс и запорной арматуры по стояку кв.127</t>
  </si>
  <si>
    <t>замена ковшей мусоропровода</t>
  </si>
  <si>
    <t>установка металлических дверей на мусоропровод</t>
  </si>
  <si>
    <t>межевание  земельного участка</t>
  </si>
  <si>
    <t>обрамление порогов листовой ,угловой сталью</t>
  </si>
  <si>
    <t>замена участка канализационного стояка кв.75</t>
  </si>
  <si>
    <t>замена задвижки на гвс</t>
  </si>
  <si>
    <t>утепление наружных стен кв.182</t>
  </si>
  <si>
    <t>замена задвижки на гвс и коренных вентилей в кв.96,122</t>
  </si>
  <si>
    <t xml:space="preserve">оключение теплоэнергии для проведения текущего ремонта </t>
  </si>
  <si>
    <t>(расход воды)</t>
  </si>
  <si>
    <t>Адрес многоквартирного дома : г.Калуга ул.Пролетарская д.21</t>
  </si>
  <si>
    <t>Общая площадь начислений многоквартирного дома: 8449,5 кв.м</t>
  </si>
  <si>
    <t>а)жилых помещений: 8439,4 кв.м</t>
  </si>
  <si>
    <t>б) нежилых помещений:10,1 кв.м</t>
  </si>
  <si>
    <t>(работ )работ</t>
  </si>
  <si>
    <t>01.01.2018г..</t>
  </si>
  <si>
    <t>общей  площади</t>
  </si>
  <si>
    <t xml:space="preserve">на 01.01.2019г. </t>
  </si>
  <si>
    <t>Обслуживание КПУ  тепловой энергии</t>
  </si>
  <si>
    <t>Текущий ремонт общего имущества  итого:</t>
  </si>
  <si>
    <t>в том числе :по жилым помещениям</t>
  </si>
  <si>
    <t>Предоставление мест</t>
  </si>
  <si>
    <t>модернизация узла учета тепловой энергии</t>
  </si>
  <si>
    <t xml:space="preserve">на 01.01.2019г.  </t>
  </si>
  <si>
    <t>Текущий ремонт жилищного фонда,в том числе:</t>
  </si>
  <si>
    <t>замена участка труб гвс в техподполье и на 1-ом этаже кв.№76,40</t>
  </si>
  <si>
    <t>ремонт подводки к счетчикам</t>
  </si>
  <si>
    <t>земляные работы</t>
  </si>
  <si>
    <t>маш.час</t>
  </si>
  <si>
    <t>замена участка труб канализации на выпуске 3-го подъезда</t>
  </si>
  <si>
    <t>замена участка труб  и кранов  на гвс</t>
  </si>
  <si>
    <t>9</t>
  </si>
  <si>
    <t>замена коренных вентилей на гвс кв.33</t>
  </si>
  <si>
    <t xml:space="preserve">                                                                                             ПЕРЕД СОБСТВЕННИКАМИ ПОМЕЩЕНИЙ О ВЫПОЛНЕНИИ</t>
  </si>
  <si>
    <t>Адрес многоквартирного дома : г.Калуга ул.Пролетарская д.39</t>
  </si>
  <si>
    <t>Общая площадь многоквартирного дома:4412 кв.м</t>
  </si>
  <si>
    <t>а)жилых помещений : 4367,4кв.м</t>
  </si>
  <si>
    <t>б) нежилых помещений: 44,6кв.м</t>
  </si>
  <si>
    <t xml:space="preserve"> гидропромывка системы канализации</t>
  </si>
  <si>
    <t>восстановление наружного освещения</t>
  </si>
  <si>
    <t>замена фанового стояка в квартире №60</t>
  </si>
  <si>
    <t>ремонт совмещенной кровли кв.13,14,43,59</t>
  </si>
  <si>
    <t>замена вентиля на стояке гвс кв.46</t>
  </si>
  <si>
    <t>10</t>
  </si>
  <si>
    <t>замена вентилей на стояках гвс в техподполье дома кв.3</t>
  </si>
  <si>
    <t>Директор ООО "ЖРЭУ-6"                            О.И.Мамаева</t>
  </si>
  <si>
    <t>Адрес многоквартирного дома : г.Калуга ул.Пролетарская д.41</t>
  </si>
  <si>
    <t>Общая площадь начислений многоквартирного дома:4352,4 кв.м</t>
  </si>
  <si>
    <t>а)жилых помещений : 4352,4кв.м</t>
  </si>
  <si>
    <t>и нанимателей помеще-</t>
  </si>
  <si>
    <t>ний на 01.01.2019г.</t>
  </si>
  <si>
    <t>Содержание общего имущества в том числе:</t>
  </si>
  <si>
    <t>Остаток средств</t>
  </si>
  <si>
    <t>на 01.01.18г.</t>
  </si>
  <si>
    <t>на 01.01.19г.</t>
  </si>
  <si>
    <t>Предоставление мест д/телеком.оборудования</t>
  </si>
  <si>
    <t>154,1346/164,38</t>
  </si>
  <si>
    <t>замена фанового стояка</t>
  </si>
  <si>
    <t>ремонт квартиры после залития с кровли кв.28</t>
  </si>
  <si>
    <t>поверка приборов  учета на системе ГВС</t>
  </si>
  <si>
    <t>поверка приборов  учета на системе ЦО</t>
  </si>
  <si>
    <t>ремонт совмещенной кровли</t>
  </si>
  <si>
    <t>2.1</t>
  </si>
  <si>
    <t>Директор ООО "ЖРЭУ-6"                   О.И.Мамаева</t>
  </si>
  <si>
    <t>Адрес многоквартирного дома : г.Калуга ул.Пролетарская д.44</t>
  </si>
  <si>
    <t>Общая площадь начислений многоквартирного дома:5370,6 кв.м</t>
  </si>
  <si>
    <t>а)жилых помещений : 5370,6кв.м</t>
  </si>
  <si>
    <t>Содержание лифта</t>
  </si>
  <si>
    <t>Капитальный ремонт общего имущества:</t>
  </si>
  <si>
    <t>8.</t>
  </si>
  <si>
    <t xml:space="preserve">Получено в </t>
  </si>
  <si>
    <t>налог</t>
  </si>
  <si>
    <t>расход</t>
  </si>
  <si>
    <t>замена фильтра магнитного на системе гвс</t>
  </si>
  <si>
    <t>Адрес многоквартирного дома : г.Калуга ул.Пролетарская д.90</t>
  </si>
  <si>
    <t>Общая площадь начислений многоквартирного дома:1108,8 кв.м</t>
  </si>
  <si>
    <t>а)жилых помещений : 1108,8 кв.м</t>
  </si>
  <si>
    <t>б) нежилых помещений: 0кв.м</t>
  </si>
  <si>
    <t xml:space="preserve">Содержание инженерных сетей </t>
  </si>
  <si>
    <t>Содержание придомовой</t>
  </si>
  <si>
    <t>территории</t>
  </si>
  <si>
    <t xml:space="preserve">имущества итого : </t>
  </si>
  <si>
    <r>
      <t>*</t>
    </r>
    <r>
      <rPr>
        <b/>
        <sz val="8"/>
        <rFont val="Arial Cyr"/>
        <charset val="204"/>
      </rPr>
      <t>)Капитальный  ремонт общего имущества- без учета накоплений за муниципальное жилье</t>
    </r>
  </si>
  <si>
    <t>в т.ч водоотведение хол.воды</t>
  </si>
  <si>
    <t xml:space="preserve">              </t>
  </si>
  <si>
    <t xml:space="preserve">                 на основании принятого решения собственниками помещений</t>
  </si>
  <si>
    <t xml:space="preserve">благоустройство дворовой территории-обрезка и снос </t>
  </si>
  <si>
    <t>аварийных деревьев</t>
  </si>
  <si>
    <t xml:space="preserve">                                                                                                  ОТЧЕТ УПРАВЛЯЮЩЕЙ ОГРАНИЗАЦИИ ООО"ЖРЭУ-6"</t>
  </si>
  <si>
    <t>Адрес многоквартирного дома : г.Калуга ул.Пухова д.1</t>
  </si>
  <si>
    <t>Общая площадь начислений многоквартирного дома:3348,8кв.м</t>
  </si>
  <si>
    <t>а)  жилых помещений: 3244,6 кв.м</t>
  </si>
  <si>
    <t>б) нежилых помещений:  104,2    кв.м</t>
  </si>
  <si>
    <t>Обслуживание ОИ-эл.эн.</t>
  </si>
  <si>
    <t xml:space="preserve">Капитальный  ремонт общего имущества </t>
  </si>
  <si>
    <t>Предоставление мест для</t>
  </si>
  <si>
    <t xml:space="preserve">остаток средств </t>
  </si>
  <si>
    <t>остаток средств на 01.01.2019г.</t>
  </si>
  <si>
    <t>телеком.оборудование</t>
  </si>
  <si>
    <t xml:space="preserve">Оплата населения ,полученная за коммунальные услуги напрямую поступает предприятиям поставщикам этих услуг  </t>
  </si>
  <si>
    <t>согласно Агентского договора , заключенного с ООО"ЕИРЦ №1" №2/1 от 14.08.2009г.</t>
  </si>
  <si>
    <t xml:space="preserve">                                                3.Отчет о фактически выполненных работах по ремонту общего имущества в многоквартирном доме  </t>
  </si>
  <si>
    <t>изоляция труб цо в подвале</t>
  </si>
  <si>
    <t>Адрес многоквартирного дома : г.Калуга ул.Пухова д.3</t>
  </si>
  <si>
    <t>Общая площадьначислений  многоквартирного дома:3342,7кв.м</t>
  </si>
  <si>
    <t>а)жилых помещений:3342,7 кв.м</t>
  </si>
  <si>
    <t xml:space="preserve">перенос с капитального ремонта ремонта </t>
  </si>
  <si>
    <t>Представление мест для телекоммуника-</t>
  </si>
  <si>
    <t xml:space="preserve">остаток средств  </t>
  </si>
  <si>
    <t xml:space="preserve">налог с дохода  </t>
  </si>
  <si>
    <t>остаток</t>
  </si>
  <si>
    <t>ционного оборудования</t>
  </si>
  <si>
    <t xml:space="preserve">                                                                              на основании принятого решения собственниками помещений</t>
  </si>
  <si>
    <t>процент</t>
  </si>
  <si>
    <t>утепление наружных стен кв.20</t>
  </si>
  <si>
    <t>Заключение о техническом состоянии дома</t>
  </si>
  <si>
    <t>ремонт надподъездных козырьков</t>
  </si>
  <si>
    <t xml:space="preserve">снос аварийных деревьев и омолаживающая  санитарная обрезка  </t>
  </si>
  <si>
    <t>утепление наружных стен кв.15</t>
  </si>
  <si>
    <t>восстановление эл.проводки кв.21</t>
  </si>
  <si>
    <t xml:space="preserve"> Инженер                                     Н.И.Ефремова</t>
  </si>
  <si>
    <t>Гл.Бухгалтер                       Н.И.Храмцова</t>
  </si>
  <si>
    <t>Адрес многоквартирного дома : г.Калуга ул.Пухова д.7</t>
  </si>
  <si>
    <t>Общая площадь начислений многоквартирного дома:4549,2 кв.м</t>
  </si>
  <si>
    <t>а)жилых помещений : 4549,2кв.м</t>
  </si>
  <si>
    <t>собственников и</t>
  </si>
  <si>
    <t>нанимателей поме-</t>
  </si>
  <si>
    <t>щений на 01.01.2019г.</t>
  </si>
  <si>
    <t xml:space="preserve">Капитальный ремонт общего имущества   </t>
  </si>
  <si>
    <t>в 2018г</t>
  </si>
  <si>
    <t>н 01.01.2019г.</t>
  </si>
  <si>
    <t xml:space="preserve">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</si>
  <si>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на основании принятого решения собственниками помещений</t>
  </si>
  <si>
    <t xml:space="preserve">№ </t>
  </si>
  <si>
    <t xml:space="preserve">Дата выполнения </t>
  </si>
  <si>
    <t>Текущий ремонт жилищного фонда :</t>
  </si>
  <si>
    <t>заключение о техническом состоянии фасада</t>
  </si>
  <si>
    <t>ремонт порога в подъезде №7</t>
  </si>
  <si>
    <t>снос аварийного дерева</t>
  </si>
  <si>
    <t>ремонт кровли надбалконной плиты кв.120</t>
  </si>
  <si>
    <t>замена радиатора кв.56</t>
  </si>
  <si>
    <t>Инженер                         Н.И.Ефремова                                    Гл.Бухгалтер                      Н.И.Храмцова</t>
  </si>
  <si>
    <t>Адрес многоквартирного дома : г.Калуга ул.Пухова д.19</t>
  </si>
  <si>
    <t>Общая площадь начислений :4542,3кв.м</t>
  </si>
  <si>
    <t>а)жилых помещений : 4542,30кв.м</t>
  </si>
  <si>
    <t xml:space="preserve">                                                                                                                         за отчетный период</t>
  </si>
  <si>
    <t xml:space="preserve">остаток  </t>
  </si>
  <si>
    <t xml:space="preserve">поступило  </t>
  </si>
  <si>
    <t>на  01.01.2018г.</t>
  </si>
  <si>
    <t xml:space="preserve">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</si>
  <si>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на основании принятого решения собственниками помещений</t>
  </si>
  <si>
    <t>утепление наружных стен кв.112</t>
  </si>
  <si>
    <t>уборка зеленыйх насаждений</t>
  </si>
  <si>
    <t>Директор ООО "ЖРЭУ-6"                      О.И.Мамаева</t>
  </si>
  <si>
    <t>Адрес многоквартирного дома : г.Калуга ул.Рылеева д.1/12</t>
  </si>
  <si>
    <t>Общая площадь начислений:1796,2кв.м</t>
  </si>
  <si>
    <t>а)жилых помещений:1756,4 кв.м</t>
  </si>
  <si>
    <t>б) нежилых помещений:39,8 кв.м</t>
  </si>
  <si>
    <t>Виды работ(услуг)</t>
  </si>
  <si>
    <t>всего руб.коп.</t>
  </si>
  <si>
    <t>замена крана шарового на системе гвс</t>
  </si>
  <si>
    <t>услуги автовышка</t>
  </si>
  <si>
    <t>ремонт совмещенной  кровли кв.17,39,40,лест.клет.- подъезд №2</t>
  </si>
  <si>
    <t>замена вентиля на гвс</t>
  </si>
  <si>
    <t>Ефремова Н.И.</t>
  </si>
  <si>
    <t xml:space="preserve">   Гл.Бухгалтер</t>
  </si>
  <si>
    <t>Адрес многоквартирного дома : г.Калуга ул.Рылеева д.3</t>
  </si>
  <si>
    <t>Общая площадь начислений многоквартирного дома:3070,1 кв.м</t>
  </si>
  <si>
    <t>а)жилых помещений : 3070,1кв.м</t>
  </si>
  <si>
    <t>замена задвижки на стояке ЦО</t>
  </si>
  <si>
    <t>изготовление информационных стендов</t>
  </si>
  <si>
    <t xml:space="preserve">  Гл.Бухгалтер</t>
  </si>
  <si>
    <t>Адрес многоквартирного дома : г.Калуга ул.Рылеева д .4</t>
  </si>
  <si>
    <t>Общая площадь начислений многоквартирного дома:2684,6 кв.м</t>
  </si>
  <si>
    <t>а)жилых помещений: 2684,6 кв.м</t>
  </si>
  <si>
    <t>имущества  итого</t>
  </si>
  <si>
    <t xml:space="preserve">Получено </t>
  </si>
  <si>
    <t xml:space="preserve">Горячее водоснабжение централизованное </t>
  </si>
  <si>
    <t>заключение о техническом состоянии гвс,хвс,канализации</t>
  </si>
  <si>
    <t>замена участка канализационного стояка  кв.2,5</t>
  </si>
  <si>
    <t>ремонт совмещенной кровли кв.№14,15,28,58,59</t>
  </si>
  <si>
    <t>Адрес многоквартирного дома : г.Калуга ул.Рылеева д.6</t>
  </si>
  <si>
    <t>Общая площадь начислений многоквартирного дома:6611,6 кв.м</t>
  </si>
  <si>
    <t>а)жилых помещений : 6500,9кв.м</t>
  </si>
  <si>
    <t>б) нежилых помещений:110,7кв.м</t>
  </si>
  <si>
    <t xml:space="preserve">                                                                         общего имущества в многоквартирном доме и коммунальные услуги</t>
  </si>
  <si>
    <t xml:space="preserve">Капитальный ремонт общего имущества итого </t>
  </si>
  <si>
    <t>Холодноеи водоснабжение</t>
  </si>
  <si>
    <t>Отчет о фактически выполненных работах по ремнту общего имущества в многоквартирном доме</t>
  </si>
  <si>
    <t xml:space="preserve"> на основании принятого решения собственниками помещений</t>
  </si>
  <si>
    <t>транспортировка ЖБО</t>
  </si>
  <si>
    <t>замена жидкокристалического дисплея в кабине лифта</t>
  </si>
  <si>
    <t>Директор ООО "ЖРЭУ-6"                    О.И.Мамаева</t>
  </si>
  <si>
    <t>Инженер                     Н.И.Ефремова                    Гл.Бухгалтер          Храмцова Н.И.</t>
  </si>
  <si>
    <t xml:space="preserve">                                                                                      ДОГОВОРА УПРАВЛЕНИЯ МНОГОКВАРТИРНЫМ ДОМОМ ЗА 2018од</t>
  </si>
  <si>
    <t>Адрес многоквартирного дома : г.Калуга ул.Рылеева д.14</t>
  </si>
  <si>
    <t>Общая площадь многоквартирного дома:565,22кв.м</t>
  </si>
  <si>
    <t>а)жилых помещений :565,02 кв.м</t>
  </si>
  <si>
    <t xml:space="preserve">Текущий ремонт общего имущества </t>
  </si>
  <si>
    <t>Задолженность(- )</t>
  </si>
  <si>
    <t>ремонт системы цо кв.15</t>
  </si>
  <si>
    <t xml:space="preserve">                                                                                                             ООО "ЖРЭУ-6"</t>
  </si>
  <si>
    <t xml:space="preserve">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</si>
  <si>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ДОГОВОРА УПРАВЛЕНИЯ МНОГОКВАРТИРНЫМ ДОМОМ ЗА 2018 год</t>
  </si>
  <si>
    <t xml:space="preserve">  1. Общие сведения о многоквартирном доме</t>
  </si>
  <si>
    <t>Адрес многоквартирного дома : г.Калуга ул.Рылеева д .16</t>
  </si>
  <si>
    <t>Общая площадь начислений многоквартирного дома:2588,3 кв.м</t>
  </si>
  <si>
    <t>а)жилых помещений : 2403,9 кв.м</t>
  </si>
  <si>
    <t>б) нежилых помещений:184,4 кв.м</t>
  </si>
  <si>
    <t xml:space="preserve">имущества : </t>
  </si>
  <si>
    <t xml:space="preserve">Налог на  </t>
  </si>
  <si>
    <t>доход 15%</t>
  </si>
  <si>
    <t xml:space="preserve">Наименование работ </t>
  </si>
  <si>
    <t>измерение уровня шума в кв.40</t>
  </si>
  <si>
    <t>услуги автовышки по уборке снега и наледи с крыши</t>
  </si>
  <si>
    <t>установка песочницы</t>
  </si>
  <si>
    <t xml:space="preserve">услуги автовышки </t>
  </si>
  <si>
    <t xml:space="preserve">Директор ООО "ЖРЭУ-6"                                        </t>
  </si>
  <si>
    <t xml:space="preserve">      Гл.бухгалтер</t>
  </si>
  <si>
    <t>Адрес многоквартирного дома : г.Калуга ул.Рылеева д.18б</t>
  </si>
  <si>
    <t>Общая площадь начислений многоквартирного дома:562,7кв.м</t>
  </si>
  <si>
    <t>а)жилых помещений :562,7 кв.м</t>
  </si>
  <si>
    <t xml:space="preserve">Соднржание общего имущества в т.ч.: </t>
  </si>
  <si>
    <t>ремонт лестничной клеткив подъездах №1,2</t>
  </si>
  <si>
    <t>Директор ООО "ЖРЭУ-6"                       О.И.Мамаева</t>
  </si>
  <si>
    <t xml:space="preserve">          Инженер</t>
  </si>
  <si>
    <t xml:space="preserve">              Н.И.Храмцова</t>
  </si>
  <si>
    <t>Адрес многоквартирного дома : г.Калуга ул.Рылеева д .18в</t>
  </si>
  <si>
    <t>Общая площадь многоквартирного дома:571,3 кв.м</t>
  </si>
  <si>
    <t>а)жилых помещений : 571,3 кв.м</t>
  </si>
  <si>
    <t>помещений на 01.01.2019г.</t>
  </si>
  <si>
    <t>в т.ч.водоотведение холодной воды</t>
  </si>
  <si>
    <t>Директор ООО "ЖРЭУ-6"    О.И.Мамаева</t>
  </si>
  <si>
    <t xml:space="preserve">         Инженер</t>
  </si>
  <si>
    <t>Адрес многоквартирного дома : г.Калуга ул.Рылеева д .19</t>
  </si>
  <si>
    <t>Общая площадь начислений многоквартирного дома:3436,1 кв.м</t>
  </si>
  <si>
    <t>а)жилых помещений : 3284,7кв.м</t>
  </si>
  <si>
    <t>б) нежилых помещений: 151,4 кв.м</t>
  </si>
  <si>
    <t>на 01.01.2019г руб.</t>
  </si>
  <si>
    <t xml:space="preserve">Оплата населения ,полученная за коммунальные услуги напрямую поступает предприятиям поставщикам этих услуг согласно </t>
  </si>
  <si>
    <t>Агентского договора , заключенного с ООО"ЕИРЦ №1" №2/1 от 14.08.2009г.</t>
  </si>
  <si>
    <t>ремонт совмещенной кровли кв.34</t>
  </si>
  <si>
    <t>окраска козырьков входов в подъезды</t>
  </si>
  <si>
    <t>ремонт кровли кв.35 подъезд №4</t>
  </si>
  <si>
    <t>Адрес многоквартирного дома : г.Калуга ул.Суворова д.5</t>
  </si>
  <si>
    <t>Общая площадь начислений многоквартирного дома:4717,2кв.м</t>
  </si>
  <si>
    <t>а)жилых помещений :4717,2 кв.м</t>
  </si>
  <si>
    <t>(работ ),услуг</t>
  </si>
  <si>
    <t>Содержание общешего мущества,в т. числе:</t>
  </si>
  <si>
    <t xml:space="preserve">имущества  итого: </t>
  </si>
  <si>
    <t xml:space="preserve">по жилым помещениям
</t>
  </si>
  <si>
    <t>Задолженность</t>
  </si>
  <si>
    <t>изготовление и монтаж металлической двери</t>
  </si>
  <si>
    <t>изготовление и монтаж креплений под газопровод</t>
  </si>
  <si>
    <t>реконструкция балконного козырька на 5-ом этаже кв.17</t>
  </si>
  <si>
    <t xml:space="preserve">             Н.И.Храмцова</t>
  </si>
  <si>
    <t xml:space="preserve">                                 </t>
  </si>
  <si>
    <t xml:space="preserve"> Отчет управляющей компании</t>
  </si>
  <si>
    <t>Адрес многоквартирного дома : г.Калуга ул.Суворова д.7 корп.1</t>
  </si>
  <si>
    <t>Общая площадь многоквартирного дома:4850,8 кв.м</t>
  </si>
  <si>
    <t>а)жилых помещений : 4710,7кв.м</t>
  </si>
  <si>
    <t>б) нежилых помещений: 140,1 кв.м</t>
  </si>
  <si>
    <t xml:space="preserve">Капитальный ремонт общего имущества в т.ч.: </t>
  </si>
  <si>
    <t>ремонт кровли кв.27</t>
  </si>
  <si>
    <t>устройство леерного ограждения</t>
  </si>
  <si>
    <t>Директор ООО "ЖРЭУ-6"                     И.Мамаева</t>
  </si>
  <si>
    <t xml:space="preserve">                    Н.И.Храмцова</t>
  </si>
  <si>
    <t>Адрес многоквартирного дома : г.Калуга ул.Суворова д.9</t>
  </si>
  <si>
    <t>Общая площадь многоквартирного дома:4793,1в.м</t>
  </si>
  <si>
    <t>а)жилых помещений (общая площадь квартир):4793,1кв.м</t>
  </si>
  <si>
    <t xml:space="preserve">Содержание общего имущества  </t>
  </si>
  <si>
    <t>имущества  в т.ч.</t>
  </si>
  <si>
    <t>перенос на текущий ркмонт</t>
  </si>
  <si>
    <t>на 01.01.2019г.руб</t>
  </si>
  <si>
    <t xml:space="preserve">            Н.И.Храмцова</t>
  </si>
  <si>
    <t xml:space="preserve">                                                                                      ДОГОВОРА УПРАВЛЕНИЯ МНОГОКВАРТИРНЫМ ДОМОМ ЗА 2018 ГОД</t>
  </si>
  <si>
    <t>Адрес многоквартирного дома : г.Калуга ул.Суворова д.11</t>
  </si>
  <si>
    <t>Общая площадь многоквартирного дома:3353,1кв.м</t>
  </si>
  <si>
    <t>а)жилых помещений :3353,1 кв.м</t>
  </si>
  <si>
    <t>Капитальный ремонт общего имущества итого</t>
  </si>
  <si>
    <t>01.01.2019г.</t>
  </si>
  <si>
    <t>Адрес многоквартирного дома : г.Калуга ул.Суворова д.13</t>
  </si>
  <si>
    <t>Общая площадь начислений  многоквартирного дома:3369кв.м</t>
  </si>
  <si>
    <t>а)жилых помещений :3256,9кв.м</t>
  </si>
  <si>
    <t>б) нежилых помещений112,1кв.м</t>
  </si>
  <si>
    <t>Содержание общего имущества,в т. ч.:</t>
  </si>
  <si>
    <t xml:space="preserve">руб. </t>
  </si>
  <si>
    <t xml:space="preserve">   Гл.бухгалтер</t>
  </si>
  <si>
    <t>Адрес многоквартирного дома : г.Калуга ул.Суворова д.15</t>
  </si>
  <si>
    <t>Общая площадь начислений многоквартирного дома:3325,1кв.м</t>
  </si>
  <si>
    <t>а)жилых помещений :3325,1 кв.м</t>
  </si>
  <si>
    <t>собственников и  на-</t>
  </si>
  <si>
    <t>жилые помещения</t>
  </si>
  <si>
    <t xml:space="preserve">Капитальный ремонт общего имущества  </t>
  </si>
  <si>
    <t xml:space="preserve">01.01.2019г. </t>
  </si>
  <si>
    <t>всего, руб.коп.</t>
  </si>
  <si>
    <t>замена труб канализации кв.33</t>
  </si>
  <si>
    <t>заключение о техсостоянии объекта капитального строительства</t>
  </si>
  <si>
    <t xml:space="preserve">Директор ООО "ЖРЭУ-6"         </t>
  </si>
  <si>
    <t>Адрес многоквартирного дома : г.Калуга ул.Суворова д.17</t>
  </si>
  <si>
    <t>Общая площадь начислений  многоквартирного дома:3441,1кв.м</t>
  </si>
  <si>
    <t>а)жилых помещений :3272,8 кв.м</t>
  </si>
  <si>
    <t>б) нежилых помещений:168,3 кв.м</t>
  </si>
  <si>
    <t xml:space="preserve"> на 01.01.2019г руб.</t>
  </si>
  <si>
    <t xml:space="preserve">имущества  в т.ч.: </t>
  </si>
  <si>
    <t xml:space="preserve"> перенос на текущий ремонт</t>
  </si>
  <si>
    <t>в.ч.водоотведение хол.воды</t>
  </si>
  <si>
    <t>замена участка канализационного стояка кв.33</t>
  </si>
  <si>
    <t xml:space="preserve">           Инженер</t>
  </si>
  <si>
    <t xml:space="preserve">          Н.И.Ефремова</t>
  </si>
  <si>
    <t xml:space="preserve">                       Н.И.Храмцова</t>
  </si>
  <si>
    <t xml:space="preserve">                                                                                            ОТЧЕТ УПРАВЛЯЮЩЕЙ ОГРАНИЗАЦИИ ООО "ЖРЭУ-6"</t>
  </si>
  <si>
    <t>Адрес многоквартирного дома : г.Калуга ул.Суворова д.19</t>
  </si>
  <si>
    <t>Общая площадь начислений многоквартирного дома:3291,5кв.м</t>
  </si>
  <si>
    <t>а)жилых помещений :3233,0 кв.м</t>
  </si>
  <si>
    <t>б) нежилых помещений:58,5 кв.м</t>
  </si>
  <si>
    <t>доп.услуги</t>
  </si>
  <si>
    <t xml:space="preserve">Капитальный ремонт общего имущества  в т.ч.: </t>
  </si>
  <si>
    <t>Представление мест для телекоммуни-</t>
  </si>
  <si>
    <t xml:space="preserve"> в 2018г.</t>
  </si>
  <si>
    <t>кационного оборудования</t>
  </si>
  <si>
    <t>Холодное водоснабжение в т.ч.</t>
  </si>
  <si>
    <t xml:space="preserve">водоотведение хол.воды- </t>
  </si>
  <si>
    <t>установка уличной скамьи</t>
  </si>
  <si>
    <t>Адрес многоквартирного дома : г.Калуга ул.Суворова д.21</t>
  </si>
  <si>
    <t>Общая площадь начислений-2277,3 кв.м</t>
  </si>
  <si>
    <t>а)жилых помещений :2209,8 кв.м</t>
  </si>
  <si>
    <t>б) нежилых помещений:67,5 кв.м</t>
  </si>
  <si>
    <t>Текущий ремонт рбщего имущества:</t>
  </si>
  <si>
    <t>перенос средств с капремонта 2017г.</t>
  </si>
  <si>
    <t>перенос средств от провайдеров (письмо от 21.12.2017г.)</t>
  </si>
  <si>
    <t>Директор ООО"ЖРЭУ-6"              О.И.Мамаева</t>
  </si>
  <si>
    <t xml:space="preserve">                                                                                      ДОГОВОРА УПРАВЛЕНИЯ МНОГОКВАРТИРНЫМ ДОМОМ ЗА  2018 год</t>
  </si>
  <si>
    <t>Адрес многоквартирного дома : г.Калуга ул.Суворова д.21 а</t>
  </si>
  <si>
    <t>Общая площадь начислений 4110,1кв.м</t>
  </si>
  <si>
    <t xml:space="preserve">                                                </t>
  </si>
  <si>
    <t>а)жилых помещений :3566,8кв.м</t>
  </si>
  <si>
    <t>б) нежилых помещений 543,3 кв.м</t>
  </si>
  <si>
    <t>помещений на01.01.2019г.</t>
  </si>
  <si>
    <t>замена контакторов станции управления лифтом</t>
  </si>
  <si>
    <t>замена участка труб канализации на выпуске 1-го подъезда</t>
  </si>
  <si>
    <t xml:space="preserve">               Н.И.Храмцова</t>
  </si>
  <si>
    <t>Адрес многоквартирного дома : г.Калуга ул.Суворова д.63 корп.1</t>
  </si>
  <si>
    <t>Общая площадь начислений:2329,90кв.м</t>
  </si>
  <si>
    <t>а)жилых помещений :2329,9кв.м</t>
  </si>
  <si>
    <t xml:space="preserve"> на 01.01.2019г.руб.</t>
  </si>
  <si>
    <t>Содержание общего имущества:</t>
  </si>
  <si>
    <t>Обслуживание ОИ-эл.эн</t>
  </si>
  <si>
    <t>заключение о техническом состоянии фасада дома</t>
  </si>
  <si>
    <t>благоустройство прилегающей территории</t>
  </si>
  <si>
    <t>промывка канализационного коллектора</t>
  </si>
  <si>
    <t xml:space="preserve">                Н.И.Ефремова</t>
  </si>
  <si>
    <t>Адрес многоквартирного дома : г.Калуга ул.Суворова д.65</t>
  </si>
  <si>
    <t>Общая площадь начислений :7775,8кв.м</t>
  </si>
  <si>
    <t>а)жилых помещений (общая площадь квартир):7767,2 кв.м</t>
  </si>
  <si>
    <t>б) нежилых помещений:8,6 кв.м</t>
  </si>
  <si>
    <t>(работ)работ</t>
  </si>
  <si>
    <t xml:space="preserve">общей площади   </t>
  </si>
  <si>
    <t>изготовление и монтаж 2-х металлических люков выхода на крышу</t>
  </si>
  <si>
    <t>ремонт цо во 2-ом подъезде</t>
  </si>
  <si>
    <t>омолаживающая и санитарная обрезка,снос деревьев</t>
  </si>
  <si>
    <t>Адрес многоквартирного дома : г.Калуга ул.Суворова д.67</t>
  </si>
  <si>
    <t>Общая площадь начислений многоквартирного дома:2648,6кв.м</t>
  </si>
  <si>
    <t>а)жилых помещений : 2648,6 кв.м</t>
  </si>
  <si>
    <t>Содержание общего имущества</t>
  </si>
  <si>
    <t>Представление мест для телекомму-</t>
  </si>
  <si>
    <t xml:space="preserve"> никационного оборудования</t>
  </si>
  <si>
    <t>2018</t>
  </si>
  <si>
    <t>уборка лестничных клеток(инвентарь)</t>
  </si>
  <si>
    <t>замена вентилей на системе гвс в подвале дома</t>
  </si>
  <si>
    <t xml:space="preserve">Директор ООО "ЖРЭУ-6"                О.И.Мамаева        </t>
  </si>
  <si>
    <t>Адрес многоквартирного дома : г.Калуга ул.Суворова д.69</t>
  </si>
  <si>
    <t>Общая площадь начислений:7686,7кв.м</t>
  </si>
  <si>
    <t>а)жилых помещений :7639,6 кв.м</t>
  </si>
  <si>
    <t>б) нежилых помещений:47,1кв.м</t>
  </si>
  <si>
    <t xml:space="preserve">           на основании принятого решения собственниками помещений</t>
  </si>
  <si>
    <t>Текущий ремонт жилищного фонда,в т.ч.:</t>
  </si>
  <si>
    <t>изготовление и монтаж 2-х метал.люков выхода на крышу</t>
  </si>
  <si>
    <t>замена стояка ХВСкв.№115,119,127,131,135,139,143</t>
  </si>
  <si>
    <t>замена стояка ГВСкв.№115,119,127,131,135,139,144</t>
  </si>
  <si>
    <t xml:space="preserve">                                                                                                  ОТЧЕТ УПРАВЛЯЮЩЕЙ КОМПАНИИ</t>
  </si>
  <si>
    <t xml:space="preserve">                                                                                                                    ООО "ЖРЭУ-6"</t>
  </si>
  <si>
    <t xml:space="preserve">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</si>
  <si>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ДОГОВОРА УПРАВЛЕНИЯ МНОГОКВАРТИРНЫМ ДОМОМ ЗА 2018 год</t>
  </si>
  <si>
    <t xml:space="preserve">                                 1. Общие сведения о многоквартирном доме</t>
  </si>
  <si>
    <t>Адрес многоквартирного дома : г.Калуга пер.Суворова д.93/26</t>
  </si>
  <si>
    <t>Общая площадь многоквартирного дома:362,2 кв.м</t>
  </si>
  <si>
    <t>а)жилых помещений : 270,5кв.м</t>
  </si>
  <si>
    <t>б) нежилых помещений: 91,7 кв.м</t>
  </si>
  <si>
    <t xml:space="preserve">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</si>
  <si>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общего имущества в многоквартирном доме и коммунальные услуги </t>
  </si>
  <si>
    <t>(работ )</t>
  </si>
  <si>
    <t>услуг</t>
  </si>
  <si>
    <t>Содержание ОДН-эл/эн</t>
  </si>
  <si>
    <t xml:space="preserve">*) Капитальный ремонт общего имущества -без учета накоплений  </t>
  </si>
  <si>
    <t>за муниципальное жилье</t>
  </si>
  <si>
    <t xml:space="preserve">Начислено </t>
  </si>
  <si>
    <t xml:space="preserve">       Инженер</t>
  </si>
  <si>
    <t xml:space="preserve">                        Н.И.Храмцова</t>
  </si>
  <si>
    <t>Адрес многоквартирного дома : г.Калуга д.Суворова д.95</t>
  </si>
  <si>
    <t>Общая площадь начислений многоквартирного дома:3327,2 кв.м</t>
  </si>
  <si>
    <t>а)жилых помещений : 3296,7кв.м</t>
  </si>
  <si>
    <t>б) нежилых помещений: 30,5 кв.м</t>
  </si>
  <si>
    <t>Содержание ОИ-эл/эн</t>
  </si>
  <si>
    <t>Предоставление мест под телекоммуника-</t>
  </si>
  <si>
    <t xml:space="preserve">Налог с </t>
  </si>
  <si>
    <t xml:space="preserve">Остоток на </t>
  </si>
  <si>
    <t>ционное оборудование</t>
  </si>
  <si>
    <t>01.01.2019г.руб.</t>
  </si>
  <si>
    <t>в т.т Водоотведение хол.воды</t>
  </si>
  <si>
    <t>восстановление освещения на лестничных клектах в</t>
  </si>
  <si>
    <t>подъезде №1,3,4</t>
  </si>
  <si>
    <t>ремонт межпанельных швов кв.22,25,26,28,31,34,29,32,35</t>
  </si>
  <si>
    <t>Директор ООО "ЖРЭУ-6"               О.И.Мамаева</t>
  </si>
  <si>
    <t xml:space="preserve">                                                                                         ОТЧЕТ УПРАВЛЯЮЩЕЙ КОМПАНИИ </t>
  </si>
  <si>
    <t>ООО "ЖРЭУ-6"</t>
  </si>
  <si>
    <t xml:space="preserve">                                                                     ПЕРЕД СОБСТВЕННИКАМИ ПОМЕЩЕНИЙ О ВЫПОЛНЕНИИ</t>
  </si>
  <si>
    <t xml:space="preserve">                                                                      ДОГОВОРА УПРАВЛЕНИЯ МНОГОКВАРТИРНЫМ ДОМОМ ЗА 2018год</t>
  </si>
  <si>
    <t xml:space="preserve">                                                                                    1. Общие сведения о многоквартирном доме</t>
  </si>
  <si>
    <t>Адрес многоквартирного дома : г.Калуга ул.Суворова д.119</t>
  </si>
  <si>
    <t>Общая площадь многоквартирного дома:496кв.м</t>
  </si>
  <si>
    <t>а)жилых помещений :255кв.м</t>
  </si>
  <si>
    <t>б) нежилых помещений:241кв.м</t>
  </si>
  <si>
    <t>Дата  выполнения</t>
  </si>
  <si>
    <t>Директор ООО "ЖРЭУ-6"          Мамаева О.И.</t>
  </si>
  <si>
    <t>Адрес многоквартирного дома : г.Калуга ул.Труда д.1</t>
  </si>
  <si>
    <t>Общая площадь многоквартирного дома:483,3кв.м</t>
  </si>
  <si>
    <t>а)жилых помещений :323,9кв.м</t>
  </si>
  <si>
    <t>б) нежилых помещений: 159,4 кв.м</t>
  </si>
  <si>
    <t>Инженер                            Н.И.Ефремова                    Гл.Бухгалтер                Храмцова Н.И.</t>
  </si>
  <si>
    <t>Адрес многоквартирного дома : г.Калуга ул.Труда д.3</t>
  </si>
  <si>
    <t>Общая площадь начислений многоквартирного дома:1281,6 кв.м</t>
  </si>
  <si>
    <t>а)жилых помещений :1062,6кв.м</t>
  </si>
  <si>
    <t>б) нежилых помещений:219 кв.м</t>
  </si>
  <si>
    <t xml:space="preserve">Стоимость  </t>
  </si>
  <si>
    <t xml:space="preserve">услуг(работ)  </t>
  </si>
  <si>
    <t>Содержание общего имущества,в т.числе:</t>
  </si>
  <si>
    <t>Текущий ремонт общего имущества в т.ч.;</t>
  </si>
  <si>
    <t xml:space="preserve">                                                                                                            на основании принятого решения собственниками помещений</t>
  </si>
  <si>
    <t xml:space="preserve"> Инженер                                  Н.И.Ефремова                                        Гл.Бухгалтер                            Н.И.Храмцова</t>
  </si>
  <si>
    <t>Адрес многоквартирного дома : г.Калуга ул.Труда д.3а</t>
  </si>
  <si>
    <t>Общая площадь начислений многоквартирного дома:371,3кв.м</t>
  </si>
  <si>
    <t>а)жилых помещений :371,3 кв.м</t>
  </si>
  <si>
    <t xml:space="preserve">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</si>
  <si>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на основании принятого решения собственниками помещений</t>
  </si>
  <si>
    <t>ремонт козырька</t>
  </si>
  <si>
    <t>Инженер                             Н.И.Ефремова                                  Гл.Бухгалтер                  Н.И.Храмцова</t>
  </si>
  <si>
    <t>Адрес многоквартирного дома : г.Калуга ул.Труда д.5а корп.1</t>
  </si>
  <si>
    <t>Общая площадь начислений многоквартирного дома:726,6 кв.м</t>
  </si>
  <si>
    <t>а)жилых помещений : 726,6кв.м</t>
  </si>
  <si>
    <t>Капитальный ремонт общего имущества  в т.ч.</t>
  </si>
  <si>
    <t xml:space="preserve">                                                  3.Отчет о фактически выполненных работах по ремонту общего имущества в многоквартирном доме  </t>
  </si>
  <si>
    <t>ремонт цоколя</t>
  </si>
  <si>
    <t>замена радиатора кв.13</t>
  </si>
  <si>
    <t xml:space="preserve"> Инженер</t>
  </si>
  <si>
    <t>Гл.Бухгалтер                 Н.И.Храмцова</t>
  </si>
  <si>
    <t>Адрес многоквартирного дома : г.Калуга ул.Труда д.5а корп.2</t>
  </si>
  <si>
    <t>Общая площадь многоквартирного дома:882,2 кв.м</t>
  </si>
  <si>
    <t>а)жилых помещений :787,7кв.м</t>
  </si>
  <si>
    <t>б) нежилых помещений: 94,5кв.м</t>
  </si>
  <si>
    <t>и нанимателей и по-</t>
  </si>
  <si>
    <t>мещений на 01.01.2019г.</t>
  </si>
  <si>
    <t xml:space="preserve">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</si>
  <si>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на основании принятого решения собственниками помещений</t>
  </si>
  <si>
    <t xml:space="preserve">                                                                                                  ОТЧЕТ УПРАВЛЯЮЩЕЙ ОГРАНИЗАЦИИ  ООО "ЖРЭУ-6"</t>
  </si>
  <si>
    <t>Адрес многоквартирного дома : г.Калуга ул.Труда д.6/1</t>
  </si>
  <si>
    <t>Общая площадь многоквартирного дома:4814,7кв.м</t>
  </si>
  <si>
    <t>а)жилых помещений :4814,7кв.м</t>
  </si>
  <si>
    <t>Содержание общего имущества в т.числе</t>
  </si>
  <si>
    <t>.по жилым помещениям</t>
  </si>
  <si>
    <t xml:space="preserve">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</si>
  <si>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на основании принятого решения собственниками помещений</t>
  </si>
  <si>
    <t>замена вентилей на стояке гвс и хвс в техподполье дома кв.29,62</t>
  </si>
  <si>
    <t>Директор ООО "ЖРЭУ-6"                     О.И.Мамаева</t>
  </si>
  <si>
    <t>Инженер                                      Н.И.Ефремова                              Гл.бухгалтер                Н.И.Храмцова</t>
  </si>
  <si>
    <t>Адрес многоквартирного дома : г.Калуга ул.Труда д.9</t>
  </si>
  <si>
    <t>Общая площадь начислений многоквартирного дома:748,85кв.м</t>
  </si>
  <si>
    <t>а)жилых помещений (общая площадь квартир): 748,85кв.м</t>
  </si>
  <si>
    <t>Директор ООО "ЖРЭУ-6"  О.И.Мамаева</t>
  </si>
  <si>
    <t>Инженер                         Н.И.Ефремова                                Гл.Бухгалтер                     Н.И.Храмцова</t>
  </si>
  <si>
    <t>Адрес многоквартирного дома : г.Калуга ул.Труда д.9а</t>
  </si>
  <si>
    <t>Общая площадь начислений многоквартирного дома:740 кв.м</t>
  </si>
  <si>
    <t>а)жилых помещений : 679,4кв.м</t>
  </si>
  <si>
    <t>б) нежилых помещений:60,6 кв.м</t>
  </si>
  <si>
    <t>помещений на</t>
  </si>
  <si>
    <t>площади</t>
  </si>
  <si>
    <t>01.01.2019 г.</t>
  </si>
  <si>
    <t>Содержание общего имущества,в .числе:</t>
  </si>
  <si>
    <t>Содержание конструктивных  элементов</t>
  </si>
  <si>
    <t>перенос на капитальный ремонт</t>
  </si>
  <si>
    <t>перенос с текущего ремонта</t>
  </si>
  <si>
    <t>Инженер                                 Н.И.Ефремова</t>
  </si>
  <si>
    <t>Гл.Бухгалтер                      Н.И.Храмцова</t>
  </si>
  <si>
    <t>Адрес многоквартирного дома : г.Калуга ул.Труда д.10</t>
  </si>
  <si>
    <t>Общая площадь начислений  многоквартирного дома:3169,0 кв.м</t>
  </si>
  <si>
    <t>а)жилых помещений : 3169,0кв.м</t>
  </si>
  <si>
    <t>на 01.01.2018г..</t>
  </si>
  <si>
    <t>на 01.01.2019г. руб.</t>
  </si>
  <si>
    <t xml:space="preserve"> замена задвижки на стояке ЦО</t>
  </si>
  <si>
    <t xml:space="preserve">уборка зеленых насаждений  </t>
  </si>
  <si>
    <t>ремонт совмещенной кровли кв.68,70</t>
  </si>
  <si>
    <t>замена оконных блоков</t>
  </si>
  <si>
    <t xml:space="preserve">копия поэтажного плана </t>
  </si>
  <si>
    <t>Директор  ООО"ЖРЭУ-6"                  О.И.Мамаева                    Инженер                              Н.И.Ефремова                                 Гл.бухгалтер              Н.И.Храмцова</t>
  </si>
  <si>
    <t>Адрес многоквартирного дома : г.Калуга ул.Труда д.11</t>
  </si>
  <si>
    <t>Общая площадь начислений :450,6 кв.м</t>
  </si>
  <si>
    <t>а)жилых помещений : 450,6кв.м</t>
  </si>
  <si>
    <t>в т.ч водоотведение</t>
  </si>
  <si>
    <t xml:space="preserve">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</si>
  <si>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на основании принятого решения собственниками помещений</t>
  </si>
  <si>
    <t>Гл.бухгалтер              Н.И.Храмцова</t>
  </si>
  <si>
    <t>Адрес многоквартирного дома : г.Калуга ул.Труда д.14/2</t>
  </si>
  <si>
    <t>Общая площадь начислений  многоквартирного дома:2675,2кв.м</t>
  </si>
  <si>
    <t>а)жилых помещений :2593,7кв.м</t>
  </si>
  <si>
    <t>б) нежилых помещений:81,5 кв.м</t>
  </si>
  <si>
    <t>01.01.2018г</t>
  </si>
  <si>
    <t>Содержание общего имущества в т.числе:</t>
  </si>
  <si>
    <t>Содержание ОИ- эл.эн</t>
  </si>
  <si>
    <t xml:space="preserve">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</si>
  <si>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на основании принятого решения собственниками помещений</t>
  </si>
  <si>
    <t>замена вентилей на стояке цо</t>
  </si>
  <si>
    <t>ремонт совмещенной кровли кв.38,52</t>
  </si>
  <si>
    <t>замена участка канализациионного стояка кв.№21 и в повале</t>
  </si>
  <si>
    <t>замена вентилей на стояке гвс полотенцесушителя</t>
  </si>
  <si>
    <t>Инженер                             Н.И.Ефремова                               Гл.бухгалтер                      Н.И.Храмцова</t>
  </si>
  <si>
    <t>Адрес многоквартирного дома : г.Калуга ул.Труда д.16</t>
  </si>
  <si>
    <t>Общая площадь многоквартирного дома:3329,1 кв.м</t>
  </si>
  <si>
    <t>а)жилых помещений (общая площадь квартир): 3329,1кв.м</t>
  </si>
  <si>
    <t>допуслуги</t>
  </si>
  <si>
    <t xml:space="preserve">                                                                                                 на основании принятого решения собственниками помещений</t>
  </si>
  <si>
    <t>ремонт ступеньки в подъезде</t>
  </si>
  <si>
    <t>Директор ООО "ЖРЭУ-6"      О.И.Мамаева</t>
  </si>
  <si>
    <t xml:space="preserve"> Инженер                            Н.И.Ефремова                                              Гл.бухгалтер                      Н.И.Храмцова</t>
  </si>
  <si>
    <t>Адрес многоквартирного дома : г.Калуга ул.Труда д.18/1</t>
  </si>
  <si>
    <t>Общая площадь начислений многоквартирного дома:2688,3</t>
  </si>
  <si>
    <t>а)жилых помещений: 2605,8кв.м</t>
  </si>
  <si>
    <t>б) нежилых помещений:82,5 кв.м</t>
  </si>
  <si>
    <t xml:space="preserve">Капитальный ремонт общего имущества : </t>
  </si>
  <si>
    <t xml:space="preserve">                                                                                                     на основании принятого решения собственниками помещений</t>
  </si>
  <si>
    <t>ремонт совмещенной кровли кв.13,14,32,50,51,52,53</t>
  </si>
  <si>
    <t>ремонт фасада кв.13,32,51,3 под.л.клетка,53</t>
  </si>
  <si>
    <t>всего</t>
  </si>
  <si>
    <t xml:space="preserve"> Инженер                                    Н.И.Ефремова                               Гл.Бухгалтер                                Н.И.Храмцова</t>
  </si>
  <si>
    <t>Адрес многоквартирного дома : г.Калуга ул.Труда д.22</t>
  </si>
  <si>
    <t>Общая площадь многоквартирного дома:2834,8кв.м</t>
  </si>
  <si>
    <t>а)жилых помещений : 2834,8кв.м</t>
  </si>
  <si>
    <t>Содержание ОИ эл/энергия</t>
  </si>
  <si>
    <t>изготовление и монтаж решетчатой двери.2-х решеток на узел учета</t>
  </si>
  <si>
    <t>замена стояка гвс в квартирах 1,4,7,10,13,18,21,24</t>
  </si>
  <si>
    <t>замена магистрали гвс</t>
  </si>
  <si>
    <t>замена стояка гвс в квартирах 4,7,10,13</t>
  </si>
  <si>
    <t>замена задвижки на системе ЦО</t>
  </si>
  <si>
    <t>ремонт межпанельных швов</t>
  </si>
  <si>
    <t>окраска газовых труб</t>
  </si>
  <si>
    <t>Адрес многоквартирного дома : г.Калуга ул.Труда д.24</t>
  </si>
  <si>
    <t>Общая площадь начислений  многоквартирного дома:4268,2кв.м</t>
  </si>
  <si>
    <t>а)жилых помещений:4268,2кв.м</t>
  </si>
  <si>
    <t>Текущий ремонт имущества</t>
  </si>
  <si>
    <t>Капитальный ремонт общего имущества :</t>
  </si>
  <si>
    <t>изготовление и монтаж металлической решетки двери</t>
  </si>
  <si>
    <t xml:space="preserve">гидропромывка системы канализации </t>
  </si>
  <si>
    <t>замена стояка гвс в вкартирах №76,79,82</t>
  </si>
  <si>
    <t>ремонт межпанельных швов кв.9,69</t>
  </si>
  <si>
    <t xml:space="preserve">8 </t>
  </si>
  <si>
    <t>замена вентиля на стояке цо кв.59</t>
  </si>
  <si>
    <t>Директор ООО "ЖРЭУ-6"        О.И.Мамаева</t>
  </si>
  <si>
    <t>Адрес многоквартирного дома : г.Калуга ул.Труда д.26</t>
  </si>
  <si>
    <t>Общая площадь начислений многоквартирного дома:4230,3кв.м</t>
  </si>
  <si>
    <t>а)жилых помещений :4230,3кв.м</t>
  </si>
  <si>
    <t>Текущий ремонт общего  имущества</t>
  </si>
  <si>
    <t>изоляция труб цо</t>
  </si>
  <si>
    <t>ремонт кровли надбалконной плиты кв.44</t>
  </si>
  <si>
    <t>замена задвижки на системецо</t>
  </si>
  <si>
    <t>ремонт кровли над козырьком входа в подъезд №3</t>
  </si>
  <si>
    <t>замена деревянной двери на металлическую</t>
  </si>
  <si>
    <t>замена стояка гвс кв.76,79,82,85,88</t>
  </si>
  <si>
    <t>замена вентиля на стояке гвс</t>
  </si>
  <si>
    <t>Н.И.Ефремова                     Гл.Бухгалтер</t>
  </si>
  <si>
    <t xml:space="preserve">          Н.И.Храмцова</t>
  </si>
  <si>
    <t>Адрес многоквартирного дома : г.Калуга ул.Труда д.28</t>
  </si>
  <si>
    <t>Общая площадь начислений многоквартирного дома:6068,49 кв.м</t>
  </si>
  <si>
    <t>а)жилых помещений: 6068,49кв.м</t>
  </si>
  <si>
    <t>на 01.01.2019г..</t>
  </si>
  <si>
    <t>перенос на текущий ремонт с капремонт</t>
  </si>
  <si>
    <t xml:space="preserve">Капитальный ремонт общего имущества:  </t>
  </si>
  <si>
    <t xml:space="preserve">Остаток на  </t>
  </si>
  <si>
    <t xml:space="preserve"> 01.01.2019г.</t>
  </si>
  <si>
    <t xml:space="preserve"> гидродинамическая промывка системы канализации</t>
  </si>
  <si>
    <t>замена почтовых ящиков</t>
  </si>
  <si>
    <t xml:space="preserve">замена участка труб стояков ц.о. через кв.9,13 и замена </t>
  </si>
  <si>
    <t>комлект</t>
  </si>
  <si>
    <t>1-го радиатора</t>
  </si>
  <si>
    <t>замена участка труб -30м и 3-х кранов на горячем водоснабжении</t>
  </si>
  <si>
    <t>замена рубильника в ВРУ</t>
  </si>
  <si>
    <t xml:space="preserve">       Гл.Бухгалтер</t>
  </si>
  <si>
    <t xml:space="preserve">        Н.И.Храмцова</t>
  </si>
  <si>
    <t>Адрес многоквартирного дома : г.Калуга ул.Труда д.30</t>
  </si>
  <si>
    <t>Общая площадь начислений многоквартирного дома:8403,кв.м</t>
  </si>
  <si>
    <t>а)жилых помещений :8403 кв.м</t>
  </si>
  <si>
    <t>ремонт межпанельных швов кв.34,64</t>
  </si>
  <si>
    <t>Адрес многоквартирного дома : г.Калуга ул.Труда д.32</t>
  </si>
  <si>
    <t>Общая площадь начислений  многоквартирного дома:7658,5 кв.м</t>
  </si>
  <si>
    <t>а)жилых помещений : 7658,5кв.м</t>
  </si>
  <si>
    <t xml:space="preserve">                                                                                                             2.Отчет по затратам на содержание, ремонт</t>
  </si>
  <si>
    <t xml:space="preserve"> 01.01.2018г.</t>
  </si>
  <si>
    <t>Содержание ОИ -эл.эн.</t>
  </si>
  <si>
    <t>Капитальный ремонт общего имущества  итого</t>
  </si>
  <si>
    <t>в т.ч.водоотведение холодного водоснабжения</t>
  </si>
  <si>
    <t>в т.ч.водоотведениегорячего  водоснабжения</t>
  </si>
  <si>
    <t>замена участка труб на ГВС и кранов по стояков кв.№7</t>
  </si>
  <si>
    <t>ремонт межпанельных швов кв.109,143,164</t>
  </si>
  <si>
    <t>апрель</t>
  </si>
  <si>
    <t>заключение о техническом состоянии капитального строительства</t>
  </si>
  <si>
    <t>услуги автовышки (ремонт швов кв.164)</t>
  </si>
  <si>
    <t>час.</t>
  </si>
  <si>
    <t>монтаж леерного ограждения</t>
  </si>
  <si>
    <t>выполнение копии поэтажного плана</t>
  </si>
  <si>
    <t>ремонт кровли над лоджиями кв.72,107</t>
  </si>
  <si>
    <t>ремонт межпанельных швов кв.137</t>
  </si>
  <si>
    <t>11</t>
  </si>
  <si>
    <t>12</t>
  </si>
  <si>
    <t>замена участка труб и вентилей на системе ГВС в техподполье  кв.№47</t>
  </si>
  <si>
    <t>м.п</t>
  </si>
  <si>
    <t>Адрес многоквартирного дома : г.Калуга ул.Чичерина д.28</t>
  </si>
  <si>
    <t>Общая площадь   начислений многоквартирного дома:579,7 кв.м</t>
  </si>
  <si>
    <t>а)жилых помещений : 579,7кв.м</t>
  </si>
  <si>
    <t xml:space="preserve">                                                               </t>
  </si>
  <si>
    <t>2.Отчет по затратам на содержание и ремонт</t>
  </si>
  <si>
    <t>Содержание общего имущества,в т.ч:</t>
  </si>
  <si>
    <t>4,4/4,6</t>
  </si>
  <si>
    <t xml:space="preserve">населением  </t>
  </si>
  <si>
    <t>25,95/27,28</t>
  </si>
  <si>
    <t xml:space="preserve">                                                                                             на основании принятого решения собственниками помещений</t>
  </si>
  <si>
    <t xml:space="preserve">Директор ООО "ЖРЭУ-6"                   О.И.Мамаева         </t>
  </si>
  <si>
    <t>Инженер                    Н.И.Ефремова                               Гл.Бухгалтер                     Н.И.Храмцова</t>
  </si>
  <si>
    <t xml:space="preserve">                                                                                                                            ООО "ЖРЭУ-6"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</si>
</sst>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0.00000"/>
    <numFmt numFmtId="166" formatCode="0.0000"/>
    <numFmt numFmtId="167" formatCode="0.0"/>
    <numFmt numFmtId="168" formatCode="0.000000"/>
    <numFmt numFmtId="169" formatCode="#,##0.00_р_."/>
    <numFmt numFmtId="170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name val="Arial Cyr"/>
      <charset val="204"/>
    </font>
    <font>
      <b/>
      <u/>
      <sz val="8"/>
      <name val="Arial Cyr"/>
      <charset val="204"/>
    </font>
    <font>
      <b/>
      <i/>
      <sz val="8"/>
      <name val="Arial Cyr"/>
      <charset val="204"/>
    </font>
    <font>
      <u/>
      <sz val="8"/>
      <name val="Arial Cyr"/>
      <charset val="204"/>
    </font>
    <font>
      <b/>
      <sz val="8"/>
      <color rgb="FFFF0000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40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0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2" fontId="3" fillId="0" borderId="14" xfId="0" applyNumberFormat="1" applyFont="1" applyBorder="1"/>
    <xf numFmtId="2" fontId="3" fillId="0" borderId="1" xfId="0" applyNumberFormat="1" applyFont="1" applyBorder="1"/>
    <xf numFmtId="2" fontId="2" fillId="0" borderId="13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2" fontId="2" fillId="0" borderId="2" xfId="0" applyNumberFormat="1" applyFont="1" applyBorder="1"/>
    <xf numFmtId="0" fontId="2" fillId="0" borderId="13" xfId="0" applyFont="1" applyBorder="1"/>
    <xf numFmtId="0" fontId="3" fillId="0" borderId="0" xfId="0" applyFont="1" applyBorder="1"/>
    <xf numFmtId="2" fontId="3" fillId="0" borderId="15" xfId="0" applyNumberFormat="1" applyFont="1" applyBorder="1"/>
    <xf numFmtId="0" fontId="4" fillId="0" borderId="0" xfId="0" applyFont="1"/>
    <xf numFmtId="0" fontId="3" fillId="0" borderId="12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0" xfId="0" applyFont="1" applyBorder="1"/>
    <xf numFmtId="0" fontId="2" fillId="0" borderId="12" xfId="0" applyFont="1" applyBorder="1"/>
    <xf numFmtId="0" fontId="3" fillId="0" borderId="11" xfId="0" applyFont="1" applyBorder="1"/>
    <xf numFmtId="0" fontId="2" fillId="0" borderId="15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1" xfId="0" applyFont="1" applyFill="1" applyBorder="1"/>
    <xf numFmtId="0" fontId="2" fillId="0" borderId="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0" fontId="2" fillId="0" borderId="7" xfId="0" applyFont="1" applyBorder="1"/>
    <xf numFmtId="49" fontId="3" fillId="0" borderId="0" xfId="0" applyNumberFormat="1" applyFont="1" applyBorder="1"/>
    <xf numFmtId="14" fontId="3" fillId="0" borderId="0" xfId="0" applyNumberFormat="1" applyFont="1" applyBorder="1"/>
    <xf numFmtId="0" fontId="6" fillId="0" borderId="0" xfId="2" applyFont="1"/>
    <xf numFmtId="0" fontId="5" fillId="0" borderId="0" xfId="2"/>
    <xf numFmtId="0" fontId="2" fillId="0" borderId="0" xfId="2" applyFont="1"/>
    <xf numFmtId="0" fontId="3" fillId="0" borderId="0" xfId="2" applyFont="1"/>
    <xf numFmtId="0" fontId="2" fillId="0" borderId="0" xfId="2" applyFont="1" applyBorder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11" xfId="2" applyFont="1" applyBorder="1"/>
    <xf numFmtId="0" fontId="2" fillId="0" borderId="3" xfId="2" applyFont="1" applyBorder="1"/>
    <xf numFmtId="0" fontId="2" fillId="0" borderId="4" xfId="2" applyFont="1" applyBorder="1"/>
    <xf numFmtId="2" fontId="2" fillId="0" borderId="4" xfId="2" applyNumberFormat="1" applyFont="1" applyBorder="1"/>
    <xf numFmtId="2" fontId="2" fillId="0" borderId="5" xfId="2" applyNumberFormat="1" applyFont="1" applyBorder="1"/>
    <xf numFmtId="49" fontId="3" fillId="0" borderId="6" xfId="2" applyNumberFormat="1" applyFont="1" applyBorder="1"/>
    <xf numFmtId="0" fontId="3" fillId="0" borderId="6" xfId="2" applyFont="1" applyBorder="1"/>
    <xf numFmtId="0" fontId="3" fillId="0" borderId="8" xfId="2" applyFont="1" applyBorder="1"/>
    <xf numFmtId="2" fontId="3" fillId="0" borderId="4" xfId="2" applyNumberFormat="1" applyFont="1" applyBorder="1"/>
    <xf numFmtId="2" fontId="3" fillId="0" borderId="6" xfId="2" applyNumberFormat="1" applyFont="1" applyBorder="1"/>
    <xf numFmtId="2" fontId="3" fillId="0" borderId="0" xfId="2" applyNumberFormat="1" applyFont="1" applyBorder="1"/>
    <xf numFmtId="2" fontId="3" fillId="0" borderId="7" xfId="2" applyNumberFormat="1" applyFont="1" applyBorder="1"/>
    <xf numFmtId="49" fontId="3" fillId="0" borderId="1" xfId="2" applyNumberFormat="1" applyFont="1" applyBorder="1"/>
    <xf numFmtId="2" fontId="3" fillId="0" borderId="1" xfId="2" applyNumberFormat="1" applyFont="1" applyBorder="1"/>
    <xf numFmtId="2" fontId="3" fillId="0" borderId="12" xfId="2" applyNumberFormat="1" applyFont="1" applyBorder="1"/>
    <xf numFmtId="2" fontId="3" fillId="0" borderId="9" xfId="2" applyNumberFormat="1" applyFont="1" applyBorder="1"/>
    <xf numFmtId="2" fontId="3" fillId="0" borderId="3" xfId="2" applyNumberFormat="1" applyFont="1" applyBorder="1"/>
    <xf numFmtId="49" fontId="3" fillId="0" borderId="4" xfId="2" applyNumberFormat="1" applyFont="1" applyBorder="1"/>
    <xf numFmtId="0" fontId="3" fillId="0" borderId="5" xfId="2" applyFont="1" applyBorder="1"/>
    <xf numFmtId="49" fontId="3" fillId="0" borderId="3" xfId="2" applyNumberFormat="1" applyFont="1" applyBorder="1"/>
    <xf numFmtId="2" fontId="2" fillId="0" borderId="6" xfId="2" applyNumberFormat="1" applyFont="1" applyBorder="1"/>
    <xf numFmtId="49" fontId="3" fillId="0" borderId="9" xfId="2" applyNumberFormat="1" applyFont="1" applyBorder="1"/>
    <xf numFmtId="0" fontId="2" fillId="0" borderId="8" xfId="2" applyFont="1" applyBorder="1"/>
    <xf numFmtId="2" fontId="3" fillId="0" borderId="8" xfId="2" applyNumberFormat="1" applyFont="1" applyBorder="1"/>
    <xf numFmtId="0" fontId="2" fillId="0" borderId="6" xfId="2" applyFont="1" applyBorder="1"/>
    <xf numFmtId="0" fontId="2" fillId="0" borderId="5" xfId="2" applyFont="1" applyBorder="1"/>
    <xf numFmtId="0" fontId="2" fillId="0" borderId="9" xfId="2" applyFont="1" applyBorder="1"/>
    <xf numFmtId="2" fontId="2" fillId="0" borderId="13" xfId="2" applyNumberFormat="1" applyFont="1" applyBorder="1"/>
    <xf numFmtId="0" fontId="2" fillId="0" borderId="2" xfId="2" applyFont="1" applyBorder="1"/>
    <xf numFmtId="0" fontId="2" fillId="0" borderId="15" xfId="2" applyFont="1" applyBorder="1"/>
    <xf numFmtId="2" fontId="2" fillId="0" borderId="14" xfId="2" applyNumberFormat="1" applyFont="1" applyBorder="1"/>
    <xf numFmtId="2" fontId="2" fillId="0" borderId="9" xfId="2" applyNumberFormat="1" applyFont="1" applyBorder="1"/>
    <xf numFmtId="2" fontId="2" fillId="0" borderId="8" xfId="2" applyNumberFormat="1" applyFont="1" applyBorder="1"/>
    <xf numFmtId="2" fontId="2" fillId="0" borderId="7" xfId="2" applyNumberFormat="1" applyFont="1" applyBorder="1"/>
    <xf numFmtId="0" fontId="4" fillId="0" borderId="0" xfId="2" applyFont="1"/>
    <xf numFmtId="0" fontId="2" fillId="0" borderId="1" xfId="2" applyFont="1" applyBorder="1"/>
    <xf numFmtId="0" fontId="3" fillId="0" borderId="12" xfId="2" applyFont="1" applyBorder="1"/>
    <xf numFmtId="0" fontId="3" fillId="0" borderId="10" xfId="2" applyFont="1" applyBorder="1"/>
    <xf numFmtId="0" fontId="3" fillId="0" borderId="0" xfId="2" applyFont="1" applyBorder="1"/>
    <xf numFmtId="0" fontId="3" fillId="0" borderId="15" xfId="2" applyFont="1" applyBorder="1"/>
    <xf numFmtId="0" fontId="3" fillId="0" borderId="14" xfId="2" applyFont="1" applyBorder="1"/>
    <xf numFmtId="0" fontId="3" fillId="0" borderId="9" xfId="2" applyFont="1" applyBorder="1"/>
    <xf numFmtId="0" fontId="5" fillId="0" borderId="6" xfId="2" applyBorder="1"/>
    <xf numFmtId="0" fontId="3" fillId="0" borderId="7" xfId="2" applyFont="1" applyBorder="1"/>
    <xf numFmtId="0" fontId="3" fillId="0" borderId="13" xfId="2" applyFont="1" applyBorder="1"/>
    <xf numFmtId="2" fontId="3" fillId="0" borderId="5" xfId="2" applyNumberFormat="1" applyFont="1" applyBorder="1"/>
    <xf numFmtId="2" fontId="3" fillId="0" borderId="13" xfId="2" applyNumberFormat="1" applyFont="1" applyBorder="1"/>
    <xf numFmtId="0" fontId="3" fillId="0" borderId="6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2" fillId="0" borderId="1" xfId="2" applyFont="1" applyFill="1" applyBorder="1"/>
    <xf numFmtId="0" fontId="2" fillId="0" borderId="12" xfId="2" applyFont="1" applyBorder="1"/>
    <xf numFmtId="49" fontId="3" fillId="0" borderId="2" xfId="2" applyNumberFormat="1" applyFont="1" applyBorder="1"/>
    <xf numFmtId="2" fontId="3" fillId="0" borderId="15" xfId="2" applyNumberFormat="1" applyFont="1" applyBorder="1"/>
    <xf numFmtId="14" fontId="3" fillId="0" borderId="15" xfId="2" applyNumberFormat="1" applyFont="1" applyBorder="1"/>
    <xf numFmtId="49" fontId="3" fillId="0" borderId="15" xfId="2" applyNumberFormat="1" applyFont="1" applyBorder="1"/>
    <xf numFmtId="0" fontId="2" fillId="0" borderId="7" xfId="2" applyFont="1" applyBorder="1"/>
    <xf numFmtId="49" fontId="3" fillId="0" borderId="0" xfId="2" applyNumberFormat="1" applyFont="1" applyBorder="1"/>
    <xf numFmtId="14" fontId="3" fillId="0" borderId="0" xfId="2" applyNumberFormat="1" applyFont="1" applyBorder="1"/>
    <xf numFmtId="2" fontId="2" fillId="0" borderId="0" xfId="2" applyNumberFormat="1" applyFont="1" applyBorder="1"/>
    <xf numFmtId="0" fontId="7" fillId="0" borderId="0" xfId="2" applyFont="1"/>
    <xf numFmtId="0" fontId="2" fillId="0" borderId="11" xfId="2" applyFont="1" applyBorder="1"/>
    <xf numFmtId="2" fontId="2" fillId="0" borderId="1" xfId="2" applyNumberFormat="1" applyFont="1" applyBorder="1"/>
    <xf numFmtId="2" fontId="2" fillId="0" borderId="11" xfId="2" applyNumberFormat="1" applyFont="1" applyBorder="1"/>
    <xf numFmtId="2" fontId="2" fillId="0" borderId="12" xfId="2" applyNumberFormat="1" applyFont="1" applyBorder="1"/>
    <xf numFmtId="2" fontId="2" fillId="0" borderId="2" xfId="2" applyNumberFormat="1" applyFont="1" applyFill="1" applyBorder="1"/>
    <xf numFmtId="49" fontId="3" fillId="0" borderId="7" xfId="2" applyNumberFormat="1" applyFont="1" applyBorder="1"/>
    <xf numFmtId="49" fontId="3" fillId="0" borderId="10" xfId="2" applyNumberFormat="1" applyFont="1" applyBorder="1"/>
    <xf numFmtId="2" fontId="3" fillId="0" borderId="11" xfId="2" applyNumberFormat="1" applyFont="1" applyBorder="1"/>
    <xf numFmtId="2" fontId="3" fillId="0" borderId="2" xfId="2" applyNumberFormat="1" applyFont="1" applyBorder="1"/>
    <xf numFmtId="0" fontId="2" fillId="0" borderId="13" xfId="2" applyFont="1" applyBorder="1"/>
    <xf numFmtId="2" fontId="2" fillId="0" borderId="3" xfId="2" applyNumberFormat="1" applyFont="1" applyBorder="1"/>
    <xf numFmtId="2" fontId="2" fillId="0" borderId="15" xfId="2" applyNumberFormat="1" applyFont="1" applyBorder="1"/>
    <xf numFmtId="9" fontId="3" fillId="0" borderId="4" xfId="2" applyNumberFormat="1" applyFont="1" applyBorder="1"/>
    <xf numFmtId="0" fontId="4" fillId="0" borderId="0" xfId="2" applyFont="1" applyBorder="1"/>
    <xf numFmtId="0" fontId="3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14" fontId="3" fillId="0" borderId="2" xfId="2" applyNumberFormat="1" applyFont="1" applyBorder="1"/>
    <xf numFmtId="0" fontId="5" fillId="0" borderId="0" xfId="2" applyBorder="1"/>
    <xf numFmtId="164" fontId="2" fillId="0" borderId="0" xfId="1" applyFont="1"/>
    <xf numFmtId="0" fontId="2" fillId="0" borderId="11" xfId="0" applyFont="1" applyBorder="1"/>
    <xf numFmtId="2" fontId="2" fillId="0" borderId="1" xfId="0" applyNumberFormat="1" applyFont="1" applyBorder="1"/>
    <xf numFmtId="2" fontId="2" fillId="0" borderId="8" xfId="0" applyNumberFormat="1" applyFont="1" applyBorder="1"/>
    <xf numFmtId="2" fontId="3" fillId="0" borderId="8" xfId="0" applyNumberFormat="1" applyFont="1" applyBorder="1"/>
    <xf numFmtId="165" fontId="3" fillId="0" borderId="11" xfId="0" applyNumberFormat="1" applyFont="1" applyBorder="1"/>
    <xf numFmtId="2" fontId="2" fillId="0" borderId="12" xfId="0" applyNumberFormat="1" applyFont="1" applyBorder="1"/>
    <xf numFmtId="2" fontId="2" fillId="0" borderId="0" xfId="0" applyNumberFormat="1" applyFont="1" applyBorder="1"/>
    <xf numFmtId="0" fontId="0" fillId="0" borderId="0" xfId="0" applyBorder="1"/>
    <xf numFmtId="164" fontId="2" fillId="0" borderId="0" xfId="3" applyFont="1"/>
    <xf numFmtId="49" fontId="2" fillId="0" borderId="2" xfId="2" applyNumberFormat="1" applyFont="1" applyBorder="1"/>
    <xf numFmtId="2" fontId="2" fillId="0" borderId="2" xfId="2" applyNumberFormat="1" applyFont="1" applyBorder="1"/>
    <xf numFmtId="49" fontId="2" fillId="0" borderId="1" xfId="2" applyNumberFormat="1" applyFont="1" applyBorder="1"/>
    <xf numFmtId="2" fontId="5" fillId="0" borderId="0" xfId="2" applyNumberFormat="1"/>
    <xf numFmtId="164" fontId="3" fillId="0" borderId="0" xfId="3" applyFont="1"/>
    <xf numFmtId="4" fontId="3" fillId="0" borderId="6" xfId="2" applyNumberFormat="1" applyFont="1" applyBorder="1"/>
    <xf numFmtId="4" fontId="3" fillId="0" borderId="12" xfId="2" applyNumberFormat="1" applyFont="1" applyBorder="1"/>
    <xf numFmtId="0" fontId="3" fillId="0" borderId="0" xfId="2" applyFont="1" applyBorder="1" applyAlignment="1">
      <alignment horizontal="center"/>
    </xf>
    <xf numFmtId="14" fontId="3" fillId="0" borderId="14" xfId="2" applyNumberFormat="1" applyFont="1" applyBorder="1"/>
    <xf numFmtId="0" fontId="2" fillId="0" borderId="14" xfId="2" applyFont="1" applyBorder="1"/>
    <xf numFmtId="0" fontId="3" fillId="0" borderId="0" xfId="2" applyFont="1" applyFill="1" applyBorder="1"/>
    <xf numFmtId="166" fontId="3" fillId="0" borderId="11" xfId="2" applyNumberFormat="1" applyFont="1" applyBorder="1"/>
    <xf numFmtId="2" fontId="2" fillId="0" borderId="0" xfId="2" applyNumberFormat="1" applyFont="1"/>
    <xf numFmtId="2" fontId="3" fillId="0" borderId="0" xfId="2" applyNumberFormat="1" applyFont="1"/>
    <xf numFmtId="0" fontId="3" fillId="0" borderId="5" xfId="2" applyNumberFormat="1" applyFont="1" applyBorder="1"/>
    <xf numFmtId="165" fontId="3" fillId="0" borderId="11" xfId="2" applyNumberFormat="1" applyFont="1" applyBorder="1"/>
    <xf numFmtId="165" fontId="3" fillId="0" borderId="5" xfId="0" applyNumberFormat="1" applyFont="1" applyBorder="1"/>
    <xf numFmtId="0" fontId="3" fillId="0" borderId="2" xfId="0" applyFont="1" applyFill="1" applyBorder="1"/>
    <xf numFmtId="49" fontId="3" fillId="0" borderId="2" xfId="0" applyNumberFormat="1" applyFont="1" applyFill="1" applyBorder="1"/>
    <xf numFmtId="4" fontId="3" fillId="0" borderId="6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Fill="1" applyBorder="1"/>
    <xf numFmtId="49" fontId="3" fillId="0" borderId="10" xfId="0" applyNumberFormat="1" applyFont="1" applyBorder="1"/>
    <xf numFmtId="49" fontId="3" fillId="0" borderId="13" xfId="0" applyNumberFormat="1" applyFont="1" applyBorder="1"/>
    <xf numFmtId="49" fontId="3" fillId="0" borderId="7" xfId="0" applyNumberFormat="1" applyFont="1" applyBorder="1"/>
    <xf numFmtId="2" fontId="2" fillId="0" borderId="5" xfId="0" applyNumberFormat="1" applyFont="1" applyBorder="1"/>
    <xf numFmtId="0" fontId="2" fillId="0" borderId="14" xfId="0" applyFont="1" applyBorder="1"/>
    <xf numFmtId="0" fontId="2" fillId="0" borderId="10" xfId="0" applyFont="1" applyBorder="1"/>
    <xf numFmtId="0" fontId="3" fillId="0" borderId="4" xfId="0" applyFont="1" applyBorder="1" applyAlignment="1">
      <alignment horizontal="center"/>
    </xf>
    <xf numFmtId="0" fontId="2" fillId="0" borderId="10" xfId="0" applyFont="1" applyFill="1" applyBorder="1"/>
    <xf numFmtId="49" fontId="3" fillId="0" borderId="14" xfId="0" applyNumberFormat="1" applyFont="1" applyBorder="1"/>
    <xf numFmtId="4" fontId="3" fillId="0" borderId="2" xfId="0" applyNumberFormat="1" applyFont="1" applyBorder="1"/>
    <xf numFmtId="2" fontId="3" fillId="0" borderId="0" xfId="0" applyNumberFormat="1" applyFont="1"/>
    <xf numFmtId="164" fontId="3" fillId="0" borderId="0" xfId="1" applyFont="1" applyBorder="1"/>
    <xf numFmtId="0" fontId="0" fillId="0" borderId="1" xfId="0" applyBorder="1"/>
    <xf numFmtId="2" fontId="2" fillId="0" borderId="11" xfId="0" applyNumberFormat="1" applyFont="1" applyBorder="1"/>
    <xf numFmtId="4" fontId="2" fillId="0" borderId="6" xfId="0" applyNumberFormat="1" applyFont="1" applyBorder="1"/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3" fillId="0" borderId="5" xfId="0" applyNumberFormat="1" applyFont="1" applyBorder="1"/>
    <xf numFmtId="0" fontId="0" fillId="0" borderId="4" xfId="0" applyBorder="1"/>
    <xf numFmtId="2" fontId="0" fillId="0" borderId="0" xfId="0" applyNumberFormat="1"/>
    <xf numFmtId="4" fontId="3" fillId="0" borderId="0" xfId="0" applyNumberFormat="1" applyFont="1"/>
    <xf numFmtId="4" fontId="2" fillId="0" borderId="0" xfId="0" applyNumberFormat="1" applyFont="1" applyBorder="1"/>
    <xf numFmtId="4" fontId="3" fillId="0" borderId="0" xfId="0" applyNumberFormat="1" applyFont="1" applyBorder="1"/>
    <xf numFmtId="2" fontId="0" fillId="0" borderId="0" xfId="0" applyNumberFormat="1" applyBorder="1"/>
    <xf numFmtId="14" fontId="2" fillId="0" borderId="14" xfId="0" applyNumberFormat="1" applyFont="1" applyBorder="1"/>
    <xf numFmtId="14" fontId="3" fillId="0" borderId="14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Border="1"/>
    <xf numFmtId="164" fontId="2" fillId="0" borderId="0" xfId="1" applyFont="1" applyBorder="1"/>
    <xf numFmtId="0" fontId="2" fillId="0" borderId="1" xfId="0" applyNumberFormat="1" applyFont="1" applyFill="1" applyBorder="1"/>
    <xf numFmtId="0" fontId="3" fillId="0" borderId="2" xfId="0" applyNumberFormat="1" applyFont="1" applyBorder="1"/>
    <xf numFmtId="0" fontId="3" fillId="0" borderId="6" xfId="0" applyNumberFormat="1" applyFont="1" applyBorder="1"/>
    <xf numFmtId="0" fontId="2" fillId="0" borderId="0" xfId="0" applyNumberFormat="1" applyFont="1" applyFill="1" applyBorder="1"/>
    <xf numFmtId="0" fontId="3" fillId="0" borderId="0" xfId="0" applyNumberFormat="1" applyFont="1" applyBorder="1"/>
    <xf numFmtId="0" fontId="0" fillId="0" borderId="6" xfId="0" applyBorder="1"/>
    <xf numFmtId="49" fontId="2" fillId="0" borderId="1" xfId="0" applyNumberFormat="1" applyFont="1" applyBorder="1"/>
    <xf numFmtId="0" fontId="2" fillId="0" borderId="2" xfId="0" applyFont="1" applyFill="1" applyBorder="1"/>
    <xf numFmtId="0" fontId="0" fillId="0" borderId="3" xfId="0" applyBorder="1"/>
    <xf numFmtId="0" fontId="0" fillId="0" borderId="13" xfId="0" applyBorder="1"/>
    <xf numFmtId="0" fontId="3" fillId="0" borderId="6" xfId="0" applyFont="1" applyBorder="1" applyAlignment="1">
      <alignment horizontal="center"/>
    </xf>
    <xf numFmtId="14" fontId="3" fillId="0" borderId="15" xfId="0" applyNumberFormat="1" applyFont="1" applyBorder="1"/>
    <xf numFmtId="14" fontId="2" fillId="0" borderId="9" xfId="0" applyNumberFormat="1" applyFont="1" applyBorder="1"/>
    <xf numFmtId="4" fontId="3" fillId="0" borderId="12" xfId="0" applyNumberFormat="1" applyFont="1" applyBorder="1"/>
    <xf numFmtId="4" fontId="3" fillId="0" borderId="3" xfId="0" applyNumberFormat="1" applyFont="1" applyBorder="1"/>
    <xf numFmtId="49" fontId="3" fillId="0" borderId="15" xfId="0" applyNumberFormat="1" applyFont="1" applyBorder="1"/>
    <xf numFmtId="49" fontId="3" fillId="0" borderId="9" xfId="0" applyNumberFormat="1" applyFont="1" applyBorder="1"/>
    <xf numFmtId="14" fontId="3" fillId="0" borderId="6" xfId="0" applyNumberFormat="1" applyFont="1" applyBorder="1"/>
    <xf numFmtId="2" fontId="4" fillId="0" borderId="0" xfId="0" applyNumberFormat="1" applyFont="1"/>
    <xf numFmtId="4" fontId="2" fillId="0" borderId="0" xfId="0" applyNumberFormat="1" applyFont="1"/>
    <xf numFmtId="2" fontId="2" fillId="0" borderId="0" xfId="0" applyNumberFormat="1" applyFont="1"/>
    <xf numFmtId="0" fontId="2" fillId="0" borderId="12" xfId="0" applyFont="1" applyFill="1" applyBorder="1"/>
    <xf numFmtId="4" fontId="3" fillId="0" borderId="8" xfId="0" applyNumberFormat="1" applyFont="1" applyBorder="1"/>
    <xf numFmtId="4" fontId="2" fillId="0" borderId="4" xfId="0" applyNumberFormat="1" applyFont="1" applyBorder="1"/>
    <xf numFmtId="49" fontId="3" fillId="0" borderId="3" xfId="0" applyNumberFormat="1" applyFont="1" applyBorder="1"/>
    <xf numFmtId="2" fontId="2" fillId="0" borderId="10" xfId="0" applyNumberFormat="1" applyFont="1" applyBorder="1"/>
    <xf numFmtId="4" fontId="2" fillId="0" borderId="2" xfId="0" applyNumberFormat="1" applyFont="1" applyBorder="1"/>
    <xf numFmtId="0" fontId="0" fillId="0" borderId="2" xfId="0" applyBorder="1"/>
    <xf numFmtId="49" fontId="2" fillId="0" borderId="6" xfId="0" applyNumberFormat="1" applyFont="1" applyBorder="1"/>
    <xf numFmtId="4" fontId="3" fillId="0" borderId="7" xfId="0" applyNumberFormat="1" applyFont="1" applyBorder="1"/>
    <xf numFmtId="4" fontId="3" fillId="0" borderId="9" xfId="0" applyNumberFormat="1" applyFont="1" applyBorder="1"/>
    <xf numFmtId="0" fontId="3" fillId="0" borderId="2" xfId="0" applyFont="1" applyBorder="1" applyAlignment="1">
      <alignment horizontal="center"/>
    </xf>
    <xf numFmtId="2" fontId="8" fillId="0" borderId="2" xfId="0" applyNumberFormat="1" applyFont="1" applyBorder="1"/>
    <xf numFmtId="2" fontId="8" fillId="0" borderId="4" xfId="0" applyNumberFormat="1" applyFont="1" applyBorder="1"/>
    <xf numFmtId="4" fontId="2" fillId="0" borderId="1" xfId="0" applyNumberFormat="1" applyFont="1" applyBorder="1"/>
    <xf numFmtId="14" fontId="3" fillId="0" borderId="0" xfId="0" applyNumberFormat="1" applyFont="1"/>
    <xf numFmtId="0" fontId="3" fillId="0" borderId="15" xfId="0" applyFont="1" applyFill="1" applyBorder="1"/>
    <xf numFmtId="49" fontId="3" fillId="0" borderId="0" xfId="0" applyNumberFormat="1" applyFont="1" applyFill="1" applyBorder="1"/>
    <xf numFmtId="0" fontId="3" fillId="2" borderId="4" xfId="0" applyFont="1" applyFill="1" applyBorder="1"/>
    <xf numFmtId="2" fontId="3" fillId="2" borderId="6" xfId="0" applyNumberFormat="1" applyFont="1" applyFill="1" applyBorder="1"/>
    <xf numFmtId="0" fontId="3" fillId="0" borderId="7" xfId="0" applyFont="1" applyBorder="1" applyAlignment="1">
      <alignment horizontal="center"/>
    </xf>
    <xf numFmtId="17" fontId="3" fillId="0" borderId="15" xfId="0" applyNumberFormat="1" applyFont="1" applyBorder="1"/>
    <xf numFmtId="2" fontId="2" fillId="0" borderId="14" xfId="0" applyNumberFormat="1" applyFont="1" applyBorder="1"/>
    <xf numFmtId="14" fontId="3" fillId="0" borderId="4" xfId="0" applyNumberFormat="1" applyFont="1" applyBorder="1"/>
    <xf numFmtId="167" fontId="2" fillId="0" borderId="7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167" fontId="2" fillId="0" borderId="6" xfId="0" applyNumberFormat="1" applyFont="1" applyBorder="1"/>
    <xf numFmtId="168" fontId="3" fillId="0" borderId="11" xfId="0" applyNumberFormat="1" applyFont="1" applyBorder="1"/>
    <xf numFmtId="165" fontId="2" fillId="0" borderId="11" xfId="0" applyNumberFormat="1" applyFont="1" applyBorder="1"/>
    <xf numFmtId="49" fontId="2" fillId="0" borderId="0" xfId="0" applyNumberFormat="1" applyFont="1" applyBorder="1"/>
    <xf numFmtId="169" fontId="3" fillId="0" borderId="0" xfId="0" applyNumberFormat="1" applyFont="1" applyBorder="1"/>
    <xf numFmtId="169" fontId="3" fillId="0" borderId="15" xfId="0" applyNumberFormat="1" applyFont="1" applyBorder="1"/>
    <xf numFmtId="169" fontId="3" fillId="0" borderId="2" xfId="0" applyNumberFormat="1" applyFont="1" applyBorder="1"/>
    <xf numFmtId="169" fontId="3" fillId="0" borderId="8" xfId="0" applyNumberFormat="1" applyFont="1" applyBorder="1"/>
    <xf numFmtId="169" fontId="3" fillId="0" borderId="6" xfId="0" applyNumberFormat="1" applyFont="1" applyBorder="1"/>
    <xf numFmtId="169" fontId="3" fillId="0" borderId="11" xfId="0" applyNumberFormat="1" applyFont="1" applyBorder="1"/>
    <xf numFmtId="169" fontId="3" fillId="0" borderId="3" xfId="0" applyNumberFormat="1" applyFont="1" applyBorder="1"/>
    <xf numFmtId="169" fontId="3" fillId="0" borderId="4" xfId="0" applyNumberFormat="1" applyFont="1" applyBorder="1"/>
    <xf numFmtId="169" fontId="3" fillId="0" borderId="5" xfId="0" applyNumberFormat="1" applyFont="1" applyBorder="1"/>
    <xf numFmtId="170" fontId="3" fillId="0" borderId="5" xfId="0" applyNumberFormat="1" applyFont="1" applyBorder="1"/>
    <xf numFmtId="9" fontId="3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4" xfId="0" applyFont="1" applyBorder="1"/>
    <xf numFmtId="0" fontId="3" fillId="0" borderId="4" xfId="0" applyFont="1" applyBorder="1" applyAlignment="1">
      <alignment horizontal="left" indent="1"/>
    </xf>
    <xf numFmtId="0" fontId="0" fillId="0" borderId="9" xfId="0" applyBorder="1"/>
    <xf numFmtId="0" fontId="0" fillId="0" borderId="8" xfId="0" applyBorder="1"/>
    <xf numFmtId="0" fontId="0" fillId="0" borderId="7" xfId="0" applyBorder="1"/>
    <xf numFmtId="2" fontId="2" fillId="0" borderId="13" xfId="0" applyNumberFormat="1" applyFont="1" applyBorder="1" applyAlignment="1">
      <alignment horizontal="left"/>
    </xf>
    <xf numFmtId="0" fontId="0" fillId="0" borderId="5" xfId="0" applyBorder="1"/>
    <xf numFmtId="17" fontId="3" fillId="0" borderId="0" xfId="0" applyNumberFormat="1" applyFont="1" applyBorder="1"/>
    <xf numFmtId="0" fontId="2" fillId="0" borderId="6" xfId="0" applyFont="1" applyFill="1" applyBorder="1"/>
    <xf numFmtId="14" fontId="2" fillId="0" borderId="11" xfId="0" applyNumberFormat="1" applyFont="1" applyBorder="1"/>
    <xf numFmtId="0" fontId="3" fillId="0" borderId="4" xfId="0" applyFont="1" applyBorder="1" applyAlignment="1">
      <alignment wrapText="1"/>
    </xf>
    <xf numFmtId="0" fontId="3" fillId="2" borderId="6" xfId="0" applyFont="1" applyFill="1" applyBorder="1"/>
    <xf numFmtId="0" fontId="3" fillId="2" borderId="7" xfId="0" applyFont="1" applyFill="1" applyBorder="1"/>
    <xf numFmtId="2" fontId="3" fillId="2" borderId="0" xfId="0" applyNumberFormat="1" applyFont="1" applyFill="1" applyBorder="1"/>
    <xf numFmtId="0" fontId="2" fillId="2" borderId="0" xfId="0" applyFont="1" applyFill="1"/>
    <xf numFmtId="0" fontId="4" fillId="0" borderId="3" xfId="0" applyFont="1" applyBorder="1"/>
    <xf numFmtId="49" fontId="10" fillId="0" borderId="6" xfId="0" applyNumberFormat="1" applyFont="1" applyBorder="1"/>
    <xf numFmtId="2" fontId="2" fillId="0" borderId="5" xfId="0" applyNumberFormat="1" applyFont="1" applyBorder="1" applyAlignment="1">
      <alignment horizontal="left"/>
    </xf>
    <xf numFmtId="9" fontId="3" fillId="0" borderId="8" xfId="0" applyNumberFormat="1" applyFont="1" applyBorder="1"/>
    <xf numFmtId="0" fontId="11" fillId="0" borderId="8" xfId="0" applyFont="1" applyBorder="1"/>
    <xf numFmtId="9" fontId="3" fillId="0" borderId="7" xfId="0" applyNumberFormat="1" applyFont="1" applyBorder="1"/>
    <xf numFmtId="0" fontId="3" fillId="0" borderId="1" xfId="0" applyFont="1" applyBorder="1" applyAlignment="1">
      <alignment horizontal="left"/>
    </xf>
    <xf numFmtId="0" fontId="3" fillId="2" borderId="12" xfId="0" applyFont="1" applyFill="1" applyBorder="1"/>
    <xf numFmtId="0" fontId="2" fillId="2" borderId="1" xfId="0" applyFont="1" applyFill="1" applyBorder="1"/>
    <xf numFmtId="0" fontId="3" fillId="2" borderId="1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14" xfId="0" applyFont="1" applyFill="1" applyBorder="1"/>
    <xf numFmtId="2" fontId="3" fillId="2" borderId="7" xfId="0" applyNumberFormat="1" applyFont="1" applyFill="1" applyBorder="1"/>
    <xf numFmtId="0" fontId="0" fillId="0" borderId="14" xfId="0" applyBorder="1"/>
    <xf numFmtId="2" fontId="3" fillId="2" borderId="10" xfId="0" applyNumberFormat="1" applyFont="1" applyFill="1" applyBorder="1"/>
    <xf numFmtId="2" fontId="3" fillId="2" borderId="1" xfId="0" applyNumberFormat="1" applyFont="1" applyFill="1" applyBorder="1"/>
    <xf numFmtId="49" fontId="2" fillId="0" borderId="2" xfId="0" applyNumberFormat="1" applyFont="1" applyBorder="1"/>
    <xf numFmtId="0" fontId="12" fillId="0" borderId="0" xfId="0" applyFont="1"/>
    <xf numFmtId="0" fontId="4" fillId="0" borderId="1" xfId="0" applyFont="1" applyBorder="1"/>
    <xf numFmtId="169" fontId="3" fillId="0" borderId="9" xfId="0" applyNumberFormat="1" applyFont="1" applyBorder="1"/>
    <xf numFmtId="169" fontId="3" fillId="0" borderId="1" xfId="0" applyNumberFormat="1" applyFont="1" applyBorder="1"/>
    <xf numFmtId="169" fontId="3" fillId="0" borderId="12" xfId="0" applyNumberFormat="1" applyFont="1" applyBorder="1"/>
    <xf numFmtId="169" fontId="2" fillId="0" borderId="4" xfId="0" applyNumberFormat="1" applyFont="1" applyBorder="1"/>
    <xf numFmtId="169" fontId="2" fillId="0" borderId="5" xfId="0" applyNumberFormat="1" applyFont="1" applyBorder="1"/>
    <xf numFmtId="169" fontId="2" fillId="0" borderId="3" xfId="0" applyNumberFormat="1" applyFont="1" applyBorder="1"/>
    <xf numFmtId="4" fontId="3" fillId="0" borderId="13" xfId="0" applyNumberFormat="1" applyFont="1" applyBorder="1"/>
    <xf numFmtId="2" fontId="2" fillId="2" borderId="6" xfId="0" applyNumberFormat="1" applyFont="1" applyFill="1" applyBorder="1"/>
    <xf numFmtId="0" fontId="13" fillId="0" borderId="0" xfId="0" applyFont="1" applyBorder="1"/>
    <xf numFmtId="0" fontId="3" fillId="0" borderId="1" xfId="0" applyFont="1" applyBorder="1" applyAlignment="1">
      <alignment horizontal="center"/>
    </xf>
    <xf numFmtId="0" fontId="14" fillId="0" borderId="0" xfId="0" applyFont="1"/>
    <xf numFmtId="0" fontId="3" fillId="0" borderId="2" xfId="0" applyNumberFormat="1" applyFont="1" applyFill="1" applyBorder="1"/>
    <xf numFmtId="14" fontId="0" fillId="0" borderId="8" xfId="0" applyNumberFormat="1" applyBorder="1"/>
    <xf numFmtId="16" fontId="3" fillId="0" borderId="0" xfId="0" applyNumberFormat="1" applyFont="1"/>
    <xf numFmtId="14" fontId="3" fillId="0" borderId="9" xfId="0" applyNumberFormat="1" applyFont="1" applyBorder="1"/>
    <xf numFmtId="165" fontId="3" fillId="0" borderId="3" xfId="0" applyNumberFormat="1" applyFont="1" applyBorder="1"/>
    <xf numFmtId="0" fontId="5" fillId="0" borderId="0" xfId="2"/>
    <xf numFmtId="0" fontId="2" fillId="0" borderId="0" xfId="2" applyFont="1"/>
    <xf numFmtId="0" fontId="3" fillId="0" borderId="0" xfId="2" applyFont="1"/>
    <xf numFmtId="164" fontId="3" fillId="0" borderId="0" xfId="3" applyFont="1"/>
    <xf numFmtId="0" fontId="2" fillId="0" borderId="0" xfId="2" applyFont="1" applyBorder="1"/>
    <xf numFmtId="0" fontId="3" fillId="0" borderId="10" xfId="2" applyFont="1" applyBorder="1"/>
    <xf numFmtId="0" fontId="3" fillId="0" borderId="1" xfId="2" applyFont="1" applyBorder="1"/>
    <xf numFmtId="0" fontId="3" fillId="0" borderId="14" xfId="2" applyFont="1" applyBorder="1"/>
    <xf numFmtId="0" fontId="3" fillId="0" borderId="2" xfId="2" applyFont="1" applyBorder="1"/>
    <xf numFmtId="0" fontId="3" fillId="0" borderId="5" xfId="2" applyFont="1" applyBorder="1"/>
    <xf numFmtId="0" fontId="3" fillId="0" borderId="4" xfId="2" applyFont="1" applyBorder="1"/>
    <xf numFmtId="0" fontId="2" fillId="0" borderId="8" xfId="2" applyFont="1" applyBorder="1"/>
    <xf numFmtId="0" fontId="2" fillId="0" borderId="6" xfId="2" applyFont="1" applyBorder="1"/>
    <xf numFmtId="2" fontId="2" fillId="0" borderId="2" xfId="2" applyNumberFormat="1" applyFont="1" applyBorder="1"/>
    <xf numFmtId="2" fontId="2" fillId="0" borderId="6" xfId="2" applyNumberFormat="1" applyFont="1" applyBorder="1"/>
    <xf numFmtId="2" fontId="2" fillId="0" borderId="9" xfId="2" applyNumberFormat="1" applyFont="1" applyBorder="1"/>
    <xf numFmtId="0" fontId="3" fillId="0" borderId="0" xfId="2" applyFont="1" applyBorder="1"/>
    <xf numFmtId="2" fontId="3" fillId="0" borderId="1" xfId="2" applyNumberFormat="1" applyFont="1" applyBorder="1"/>
    <xf numFmtId="2" fontId="3" fillId="0" borderId="2" xfId="2" applyNumberFormat="1" applyFont="1" applyBorder="1"/>
    <xf numFmtId="0" fontId="3" fillId="0" borderId="15" xfId="2" applyFont="1" applyBorder="1"/>
    <xf numFmtId="0" fontId="3" fillId="0" borderId="7" xfId="2" applyFont="1" applyBorder="1"/>
    <xf numFmtId="0" fontId="3" fillId="0" borderId="6" xfId="2" applyFont="1" applyBorder="1"/>
    <xf numFmtId="0" fontId="3" fillId="0" borderId="8" xfId="2" applyFont="1" applyBorder="1"/>
    <xf numFmtId="2" fontId="3" fillId="0" borderId="6" xfId="2" applyNumberFormat="1" applyFont="1" applyBorder="1"/>
    <xf numFmtId="4" fontId="3" fillId="0" borderId="7" xfId="2" applyNumberFormat="1" applyFont="1" applyBorder="1"/>
    <xf numFmtId="2" fontId="3" fillId="0" borderId="9" xfId="2" applyNumberFormat="1" applyFont="1" applyBorder="1"/>
    <xf numFmtId="49" fontId="3" fillId="0" borderId="10" xfId="2" applyNumberFormat="1" applyFont="1" applyBorder="1"/>
    <xf numFmtId="0" fontId="3" fillId="0" borderId="11" xfId="2" applyFont="1" applyBorder="1"/>
    <xf numFmtId="2" fontId="3" fillId="0" borderId="12" xfId="2" applyNumberFormat="1" applyFont="1" applyBorder="1"/>
    <xf numFmtId="2" fontId="3" fillId="0" borderId="4" xfId="2" applyNumberFormat="1" applyFont="1" applyBorder="1"/>
    <xf numFmtId="4" fontId="3" fillId="0" borderId="12" xfId="2" applyNumberFormat="1" applyFont="1" applyBorder="1"/>
    <xf numFmtId="2" fontId="3" fillId="0" borderId="3" xfId="2" applyNumberFormat="1" applyFont="1" applyBorder="1"/>
    <xf numFmtId="0" fontId="2" fillId="0" borderId="13" xfId="2" applyFont="1" applyBorder="1"/>
    <xf numFmtId="49" fontId="2" fillId="0" borderId="4" xfId="2" applyNumberFormat="1" applyFont="1" applyBorder="1"/>
    <xf numFmtId="0" fontId="2" fillId="0" borderId="4" xfId="2" applyFont="1" applyBorder="1"/>
    <xf numFmtId="2" fontId="2" fillId="0" borderId="8" xfId="2" applyNumberFormat="1" applyFont="1" applyBorder="1"/>
    <xf numFmtId="2" fontId="2" fillId="0" borderId="4" xfId="2" applyNumberFormat="1" applyFont="1" applyBorder="1"/>
    <xf numFmtId="2" fontId="2" fillId="0" borderId="3" xfId="2" applyNumberFormat="1" applyFont="1" applyBorder="1"/>
    <xf numFmtId="0" fontId="2" fillId="0" borderId="7" xfId="2" applyFont="1" applyBorder="1"/>
    <xf numFmtId="0" fontId="2" fillId="0" borderId="3" xfId="2" applyFont="1" applyBorder="1"/>
    <xf numFmtId="0" fontId="2" fillId="0" borderId="5" xfId="2" applyFont="1" applyBorder="1"/>
    <xf numFmtId="0" fontId="2" fillId="0" borderId="1" xfId="2" applyFont="1" applyBorder="1"/>
    <xf numFmtId="0" fontId="5" fillId="0" borderId="1" xfId="2" applyBorder="1"/>
    <xf numFmtId="0" fontId="2" fillId="0" borderId="10" xfId="2" applyFont="1" applyBorder="1"/>
    <xf numFmtId="0" fontId="2" fillId="0" borderId="12" xfId="2" applyFont="1" applyBorder="1"/>
    <xf numFmtId="2" fontId="2" fillId="0" borderId="1" xfId="2" applyNumberFormat="1" applyFont="1" applyBorder="1"/>
    <xf numFmtId="0" fontId="2" fillId="0" borderId="9" xfId="2" applyFont="1" applyBorder="1"/>
    <xf numFmtId="0" fontId="2" fillId="0" borderId="14" xfId="2" applyFont="1" applyBorder="1"/>
    <xf numFmtId="0" fontId="2" fillId="0" borderId="15" xfId="2" applyFont="1" applyBorder="1"/>
    <xf numFmtId="0" fontId="3" fillId="0" borderId="13" xfId="2" applyFont="1" applyBorder="1"/>
    <xf numFmtId="2" fontId="3" fillId="0" borderId="5" xfId="2" applyNumberFormat="1" applyFont="1" applyBorder="1"/>
    <xf numFmtId="0" fontId="3" fillId="0" borderId="3" xfId="2" applyFont="1" applyBorder="1"/>
    <xf numFmtId="0" fontId="2" fillId="0" borderId="11" xfId="2" applyFont="1" applyBorder="1"/>
    <xf numFmtId="0" fontId="3" fillId="0" borderId="12" xfId="2" applyFont="1" applyBorder="1"/>
    <xf numFmtId="0" fontId="3" fillId="0" borderId="9" xfId="2" applyFont="1" applyBorder="1"/>
    <xf numFmtId="2" fontId="3" fillId="0" borderId="7" xfId="2" applyNumberFormat="1" applyFont="1" applyBorder="1"/>
    <xf numFmtId="2" fontId="3" fillId="0" borderId="8" xfId="2" applyNumberFormat="1" applyFont="1" applyBorder="1"/>
    <xf numFmtId="2" fontId="2" fillId="0" borderId="0" xfId="2" applyNumberFormat="1" applyFont="1" applyBorder="1"/>
    <xf numFmtId="2" fontId="3" fillId="0" borderId="0" xfId="2" applyNumberFormat="1" applyFont="1" applyBorder="1"/>
    <xf numFmtId="0" fontId="4" fillId="0" borderId="0" xfId="2" applyFont="1"/>
    <xf numFmtId="0" fontId="2" fillId="0" borderId="2" xfId="2" applyFont="1" applyBorder="1"/>
    <xf numFmtId="0" fontId="5" fillId="0" borderId="4" xfId="2" applyBorder="1"/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2" fillId="0" borderId="1" xfId="2" applyFont="1" applyFill="1" applyBorder="1"/>
    <xf numFmtId="49" fontId="3" fillId="0" borderId="2" xfId="2" applyNumberFormat="1" applyFont="1" applyBorder="1"/>
    <xf numFmtId="14" fontId="3" fillId="0" borderId="2" xfId="2" applyNumberFormat="1" applyFont="1" applyBorder="1"/>
    <xf numFmtId="49" fontId="3" fillId="0" borderId="6" xfId="2" applyNumberFormat="1" applyFont="1" applyBorder="1"/>
    <xf numFmtId="0" fontId="5" fillId="0" borderId="0" xfId="2" applyBorder="1"/>
    <xf numFmtId="0" fontId="3" fillId="0" borderId="0" xfId="2" applyFont="1" applyFill="1" applyBorder="1"/>
  </cellXfs>
  <cellStyles count="4">
    <cellStyle name="Денежный" xfId="1" builtinId="4"/>
    <cellStyle name="Денежный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K6" sqref="K6"/>
    </sheetView>
  </sheetViews>
  <sheetFormatPr defaultRowHeight="15" x14ac:dyDescent="0.25"/>
  <cols>
    <col min="1" max="1" width="6.140625" customWidth="1"/>
    <col min="2" max="2" width="36.5703125" customWidth="1"/>
    <col min="3" max="3" width="12.7109375" customWidth="1"/>
    <col min="8" max="8" width="12.140625" customWidth="1"/>
    <col min="9" max="9" width="18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</v>
      </c>
      <c r="B6" s="2"/>
      <c r="C6" s="2"/>
      <c r="D6" s="2"/>
      <c r="E6" s="2"/>
      <c r="F6" s="1"/>
      <c r="G6" s="2"/>
      <c r="H6" s="2"/>
      <c r="I6" s="2"/>
    </row>
    <row r="7" spans="1:9" x14ac:dyDescent="0.25">
      <c r="A7" s="2" t="s">
        <v>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35</v>
      </c>
      <c r="C18" s="11">
        <v>8.9600000000000009</v>
      </c>
      <c r="D18" s="12">
        <v>-5096.4399999999996</v>
      </c>
      <c r="E18" s="13">
        <v>405841.25</v>
      </c>
      <c r="F18" s="14">
        <v>388974.92</v>
      </c>
      <c r="G18" s="15">
        <f t="shared" ref="G18:G25" si="0">E18</f>
        <v>405841.25</v>
      </c>
      <c r="H18" s="16">
        <f>D18+F18-G18</f>
        <v>-21962.770000000019</v>
      </c>
      <c r="I18" s="12">
        <f>H18</f>
        <v>-21962.770000000019</v>
      </c>
    </row>
    <row r="19" spans="1:9" x14ac:dyDescent="0.25">
      <c r="A19" s="6" t="s">
        <v>36</v>
      </c>
      <c r="B19" s="17" t="s">
        <v>37</v>
      </c>
      <c r="C19" s="17">
        <v>3.08</v>
      </c>
      <c r="D19" s="18"/>
      <c r="E19" s="19">
        <f>E18*34.4%</f>
        <v>139609.38999999998</v>
      </c>
      <c r="F19" s="20">
        <f>F18*34.4%</f>
        <v>133807.37247999999</v>
      </c>
      <c r="G19" s="20">
        <f t="shared" si="0"/>
        <v>139609.38999999998</v>
      </c>
      <c r="H19" s="21"/>
      <c r="I19" s="18"/>
    </row>
    <row r="20" spans="1:9" x14ac:dyDescent="0.25">
      <c r="A20" s="22" t="s">
        <v>38</v>
      </c>
      <c r="B20" s="5" t="s">
        <v>39</v>
      </c>
      <c r="C20" s="5">
        <v>1.47</v>
      </c>
      <c r="D20" s="23"/>
      <c r="E20" s="24">
        <f>E18*16.4%</f>
        <v>66557.964999999997</v>
      </c>
      <c r="F20" s="25">
        <f>F18*16.4%</f>
        <v>63791.886879999991</v>
      </c>
      <c r="G20" s="25">
        <f t="shared" si="0"/>
        <v>66557.964999999997</v>
      </c>
      <c r="H20" s="26"/>
      <c r="I20" s="23"/>
    </row>
    <row r="21" spans="1:9" x14ac:dyDescent="0.25">
      <c r="A21" s="22" t="s">
        <v>40</v>
      </c>
      <c r="B21" s="5" t="s">
        <v>41</v>
      </c>
      <c r="C21" s="5">
        <v>1.81</v>
      </c>
      <c r="D21" s="27"/>
      <c r="E21" s="28">
        <f>E18*20.2%</f>
        <v>81979.932499999995</v>
      </c>
      <c r="F21" s="29">
        <f>F18*20.2%</f>
        <v>78572.933839999998</v>
      </c>
      <c r="G21" s="29">
        <f t="shared" si="0"/>
        <v>81979.932499999995</v>
      </c>
      <c r="H21" s="30"/>
      <c r="I21" s="27"/>
    </row>
    <row r="22" spans="1:9" x14ac:dyDescent="0.25">
      <c r="A22" s="31" t="s">
        <v>42</v>
      </c>
      <c r="B22" s="8" t="s">
        <v>43</v>
      </c>
      <c r="C22" s="8">
        <v>2.6</v>
      </c>
      <c r="D22" s="32"/>
      <c r="E22" s="24">
        <f>E18*29%</f>
        <v>117693.96249999999</v>
      </c>
      <c r="F22" s="25">
        <f>F18*29%</f>
        <v>112802.72679999999</v>
      </c>
      <c r="G22" s="25">
        <f t="shared" si="0"/>
        <v>117693.96249999999</v>
      </c>
      <c r="H22" s="33"/>
      <c r="I22" s="32"/>
    </row>
    <row r="23" spans="1:9" x14ac:dyDescent="0.25">
      <c r="A23" s="31" t="s">
        <v>44</v>
      </c>
      <c r="B23" s="8" t="s">
        <v>45</v>
      </c>
      <c r="C23" s="8">
        <v>1755.25</v>
      </c>
      <c r="D23" s="30">
        <v>803.13</v>
      </c>
      <c r="E23" s="28">
        <v>12475.05</v>
      </c>
      <c r="F23" s="29">
        <v>12205.78</v>
      </c>
      <c r="G23" s="29">
        <f>E23</f>
        <v>12475.05</v>
      </c>
      <c r="H23" s="30">
        <f>D23+F23-G23</f>
        <v>533.86000000000058</v>
      </c>
      <c r="I23" s="27"/>
    </row>
    <row r="24" spans="1:9" x14ac:dyDescent="0.25">
      <c r="A24" s="31" t="s">
        <v>46</v>
      </c>
      <c r="B24" s="8" t="s">
        <v>47</v>
      </c>
      <c r="C24" s="10" t="s">
        <v>48</v>
      </c>
      <c r="D24" s="27">
        <v>-4637.37</v>
      </c>
      <c r="E24" s="8">
        <v>40345.449999999997</v>
      </c>
      <c r="F24" s="9">
        <v>39059.730000000003</v>
      </c>
      <c r="G24" s="8">
        <f>E24</f>
        <v>40345.449999999997</v>
      </c>
      <c r="H24" s="28">
        <f>D24+F24-E24</f>
        <v>-5923.0899999999965</v>
      </c>
      <c r="I24" s="8">
        <f>H24</f>
        <v>-5923.0899999999965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4">
        <v>-9827.56</v>
      </c>
      <c r="E25" s="35">
        <v>209190.52</v>
      </c>
      <c r="F25" s="36">
        <v>202630.7</v>
      </c>
      <c r="G25" s="37">
        <f t="shared" si="0"/>
        <v>209190.52</v>
      </c>
      <c r="H25" s="38">
        <f>D25+F25-G25</f>
        <v>-16387.379999999976</v>
      </c>
      <c r="I25" s="34">
        <f>H25</f>
        <v>-16387.379999999976</v>
      </c>
    </row>
    <row r="26" spans="1:9" x14ac:dyDescent="0.25">
      <c r="A26" s="39" t="s">
        <v>51</v>
      </c>
      <c r="B26" s="39" t="s">
        <v>52</v>
      </c>
      <c r="C26" s="39">
        <v>1.82</v>
      </c>
      <c r="D26" s="40">
        <v>87959.64</v>
      </c>
      <c r="E26" s="39">
        <v>82146.13</v>
      </c>
      <c r="F26" s="39">
        <f>F27+F28+F29</f>
        <v>100484.10999999999</v>
      </c>
      <c r="G26" s="39">
        <f>I60</f>
        <v>29147</v>
      </c>
      <c r="H26" s="40">
        <f>D26+F26-G26</f>
        <v>159296.75</v>
      </c>
      <c r="I26" s="41"/>
    </row>
    <row r="27" spans="1:9" x14ac:dyDescent="0.25">
      <c r="A27" s="10"/>
      <c r="B27" s="8" t="s">
        <v>53</v>
      </c>
      <c r="C27" s="35"/>
      <c r="D27" s="37"/>
      <c r="E27" s="10"/>
      <c r="F27" s="10">
        <v>79699.12</v>
      </c>
      <c r="G27" s="36"/>
      <c r="H27" s="37"/>
      <c r="I27" s="38"/>
    </row>
    <row r="28" spans="1:9" x14ac:dyDescent="0.25">
      <c r="A28" s="11"/>
      <c r="B28" s="8" t="s">
        <v>54</v>
      </c>
      <c r="C28" s="13"/>
      <c r="D28" s="15"/>
      <c r="E28" s="11"/>
      <c r="F28" s="11">
        <v>1342.43</v>
      </c>
      <c r="G28" s="14"/>
      <c r="H28" s="16"/>
      <c r="I28" s="38"/>
    </row>
    <row r="29" spans="1:9" x14ac:dyDescent="0.25">
      <c r="A29" s="11"/>
      <c r="B29" s="17" t="s">
        <v>55</v>
      </c>
      <c r="C29" s="13"/>
      <c r="D29" s="15"/>
      <c r="E29" s="11"/>
      <c r="F29" s="11">
        <v>19442.560000000001</v>
      </c>
      <c r="G29" s="14"/>
      <c r="H29" s="15"/>
      <c r="I29" s="16"/>
    </row>
    <row r="30" spans="1:9" x14ac:dyDescent="0.25">
      <c r="A30" s="39" t="s">
        <v>56</v>
      </c>
      <c r="B30" s="10" t="s">
        <v>57</v>
      </c>
      <c r="C30" s="42">
        <v>0</v>
      </c>
      <c r="D30" s="37">
        <v>19442.150000000001</v>
      </c>
      <c r="E30" s="10">
        <v>0</v>
      </c>
      <c r="F30" s="38">
        <v>-19442.560000000001</v>
      </c>
      <c r="G30" s="36">
        <v>0</v>
      </c>
      <c r="H30" s="37">
        <v>0</v>
      </c>
      <c r="I30" s="38"/>
    </row>
    <row r="31" spans="1:9" x14ac:dyDescent="0.25">
      <c r="A31" s="6"/>
      <c r="B31" s="17" t="s">
        <v>58</v>
      </c>
      <c r="C31" s="43"/>
      <c r="D31" s="44"/>
      <c r="E31" s="6"/>
      <c r="F31" s="6">
        <v>19442.560000000001</v>
      </c>
      <c r="G31" s="43"/>
      <c r="H31" s="44"/>
      <c r="I31" s="26"/>
    </row>
    <row r="32" spans="1:9" x14ac:dyDescent="0.25">
      <c r="A32" s="8"/>
      <c r="B32" s="8" t="s">
        <v>53</v>
      </c>
      <c r="C32" s="9">
        <v>0</v>
      </c>
      <c r="D32" s="29">
        <v>0</v>
      </c>
      <c r="E32" s="8">
        <v>0</v>
      </c>
      <c r="F32" s="8">
        <v>0.41</v>
      </c>
      <c r="G32" s="7"/>
      <c r="H32" s="29"/>
      <c r="I32" s="30"/>
    </row>
    <row r="33" spans="1:9" x14ac:dyDescent="0.25">
      <c r="A33" s="1" t="s">
        <v>59</v>
      </c>
      <c r="B33" s="1"/>
      <c r="C33" s="1"/>
      <c r="D33" s="45"/>
      <c r="E33" s="1"/>
      <c r="F33" s="2"/>
      <c r="G33" s="2"/>
      <c r="H33" s="2"/>
      <c r="I33" s="2"/>
    </row>
    <row r="34" spans="1:9" x14ac:dyDescent="0.25">
      <c r="A34" s="46" t="s">
        <v>60</v>
      </c>
      <c r="B34" s="46" t="s">
        <v>61</v>
      </c>
      <c r="C34" s="8" t="s">
        <v>62</v>
      </c>
      <c r="D34" s="8" t="s">
        <v>63</v>
      </c>
      <c r="E34" s="5" t="s">
        <v>64</v>
      </c>
      <c r="F34" s="8" t="s">
        <v>65</v>
      </c>
      <c r="G34" s="47"/>
      <c r="H34" s="7" t="s">
        <v>66</v>
      </c>
      <c r="I34" s="48"/>
    </row>
    <row r="35" spans="1:9" x14ac:dyDescent="0.25">
      <c r="A35" s="49"/>
      <c r="B35" s="49"/>
      <c r="C35" s="8" t="s">
        <v>67</v>
      </c>
      <c r="D35" s="48" t="s">
        <v>23</v>
      </c>
      <c r="E35" s="7" t="s">
        <v>68</v>
      </c>
      <c r="F35" s="5" t="s">
        <v>30</v>
      </c>
      <c r="G35" s="47"/>
      <c r="H35" s="50" t="s">
        <v>30</v>
      </c>
      <c r="I35" s="51"/>
    </row>
    <row r="36" spans="1:9" x14ac:dyDescent="0.25">
      <c r="A36" s="50"/>
      <c r="B36" s="50" t="s">
        <v>69</v>
      </c>
      <c r="C36" s="21">
        <v>6962.55</v>
      </c>
      <c r="D36" s="48">
        <v>2400</v>
      </c>
      <c r="E36" s="29">
        <f>D36*15%</f>
        <v>360</v>
      </c>
      <c r="F36" s="30">
        <f>C36+(D36-E36)</f>
        <v>9002.5499999999993</v>
      </c>
      <c r="G36" s="27"/>
      <c r="H36" s="20">
        <f>F36-G36</f>
        <v>9002.5499999999993</v>
      </c>
      <c r="I36" s="51"/>
    </row>
    <row r="37" spans="1:9" x14ac:dyDescent="0.25">
      <c r="A37" s="43"/>
      <c r="B37" s="43"/>
      <c r="C37" s="19"/>
      <c r="D37" s="43"/>
      <c r="E37" s="19"/>
      <c r="F37" s="19"/>
      <c r="G37" s="19"/>
      <c r="H37" s="19"/>
      <c r="I37" s="43"/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46" t="s">
        <v>75</v>
      </c>
      <c r="E40" s="5" t="s">
        <v>76</v>
      </c>
      <c r="F40" s="54" t="s">
        <v>77</v>
      </c>
      <c r="G40" s="5" t="s">
        <v>78</v>
      </c>
      <c r="H40" s="47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9" t="s">
        <v>82</v>
      </c>
      <c r="E41" s="6" t="s">
        <v>83</v>
      </c>
      <c r="F41" s="43" t="s">
        <v>84</v>
      </c>
      <c r="G41" s="6" t="s">
        <v>85</v>
      </c>
      <c r="H41" s="56" t="s">
        <v>86</v>
      </c>
      <c r="I41" s="6" t="s">
        <v>87</v>
      </c>
    </row>
    <row r="42" spans="1:9" x14ac:dyDescent="0.25">
      <c r="A42" s="6"/>
      <c r="B42" s="49"/>
      <c r="C42" s="6"/>
      <c r="D42" s="49"/>
      <c r="E42" s="6"/>
      <c r="F42" s="43" t="s">
        <v>88</v>
      </c>
      <c r="G42" s="6" t="s">
        <v>89</v>
      </c>
      <c r="H42" s="56"/>
      <c r="I42" s="6" t="s">
        <v>90</v>
      </c>
    </row>
    <row r="43" spans="1:9" x14ac:dyDescent="0.25">
      <c r="A43" s="8"/>
      <c r="B43" s="7"/>
      <c r="C43" s="7"/>
      <c r="D43" s="7"/>
      <c r="E43" s="8"/>
      <c r="F43" s="9"/>
      <c r="G43" s="8"/>
      <c r="H43" s="9"/>
      <c r="I43" s="8"/>
    </row>
    <row r="44" spans="1:9" x14ac:dyDescent="0.25">
      <c r="A44" s="17">
        <v>1</v>
      </c>
      <c r="B44" s="17" t="s">
        <v>91</v>
      </c>
      <c r="C44" s="14" t="s">
        <v>92</v>
      </c>
      <c r="D44" s="6">
        <v>-10197.14</v>
      </c>
      <c r="E44" s="57">
        <v>142150.85999999999</v>
      </c>
      <c r="F44" s="6">
        <v>127702.94</v>
      </c>
      <c r="G44" s="43">
        <f>E44</f>
        <v>142150.85999999999</v>
      </c>
      <c r="H44" s="49">
        <f>D44+F44-G44</f>
        <v>-24645.059999999983</v>
      </c>
      <c r="I44" s="6">
        <f>H44</f>
        <v>-24645.059999999983</v>
      </c>
    </row>
    <row r="45" spans="1:9" x14ac:dyDescent="0.25">
      <c r="A45" s="17"/>
      <c r="B45" s="17" t="s">
        <v>93</v>
      </c>
      <c r="C45" s="13" t="s">
        <v>94</v>
      </c>
      <c r="D45" s="8"/>
      <c r="E45" s="58"/>
      <c r="F45" s="8"/>
      <c r="G45" s="9"/>
      <c r="H45" s="7"/>
      <c r="I45" s="8"/>
    </row>
    <row r="46" spans="1:9" x14ac:dyDescent="0.25">
      <c r="A46" s="8">
        <v>2</v>
      </c>
      <c r="B46" s="8" t="s">
        <v>95</v>
      </c>
      <c r="C46" s="35" t="s">
        <v>96</v>
      </c>
      <c r="D46" s="8">
        <v>-62276.29</v>
      </c>
      <c r="E46" s="58">
        <v>245596.46</v>
      </c>
      <c r="F46" s="8">
        <v>237513.96</v>
      </c>
      <c r="G46" s="9">
        <f>E46</f>
        <v>245596.46</v>
      </c>
      <c r="H46" s="7">
        <f>D46+F46-E46</f>
        <v>-70358.790000000008</v>
      </c>
      <c r="I46" s="8">
        <f>H46</f>
        <v>-70358.790000000008</v>
      </c>
    </row>
    <row r="47" spans="1:9" x14ac:dyDescent="0.25">
      <c r="A47" s="8"/>
      <c r="B47" s="8" t="s">
        <v>97</v>
      </c>
      <c r="C47" s="35"/>
      <c r="D47" s="8"/>
      <c r="E47" s="59"/>
      <c r="F47" s="8"/>
      <c r="G47" s="8"/>
      <c r="H47" s="7"/>
      <c r="I47" s="8"/>
    </row>
    <row r="48" spans="1:9" x14ac:dyDescent="0.25">
      <c r="A48" s="8"/>
      <c r="B48" s="8" t="s">
        <v>98</v>
      </c>
      <c r="C48" s="35" t="s">
        <v>94</v>
      </c>
      <c r="D48" s="6"/>
      <c r="E48" s="60"/>
      <c r="F48" s="17"/>
      <c r="G48" s="50"/>
      <c r="H48" s="50"/>
      <c r="I48" s="6"/>
    </row>
    <row r="49" spans="1:9" x14ac:dyDescent="0.25">
      <c r="A49" s="8">
        <v>3</v>
      </c>
      <c r="B49" s="8" t="s">
        <v>99</v>
      </c>
      <c r="C49" s="35" t="s">
        <v>100</v>
      </c>
      <c r="D49" s="8">
        <v>-299129.61</v>
      </c>
      <c r="E49" s="9">
        <v>1139812.54</v>
      </c>
      <c r="F49" s="8">
        <v>1151404.72</v>
      </c>
      <c r="G49" s="7">
        <f>E49</f>
        <v>1139812.54</v>
      </c>
      <c r="H49" s="7">
        <f>D49+F49-G49</f>
        <v>-287537.43000000005</v>
      </c>
      <c r="I49" s="8">
        <f>H49</f>
        <v>-287537.43000000005</v>
      </c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1" t="s">
        <v>101</v>
      </c>
      <c r="B51" s="1"/>
      <c r="C51" s="1"/>
      <c r="D51" s="1"/>
      <c r="E51" s="1"/>
      <c r="F51" s="1"/>
      <c r="G51" s="1"/>
      <c r="H51" s="1"/>
      <c r="I51" s="2"/>
    </row>
    <row r="52" spans="1:9" x14ac:dyDescent="0.25">
      <c r="A52" s="4" t="s">
        <v>102</v>
      </c>
      <c r="B52" s="1"/>
      <c r="C52" s="1"/>
      <c r="D52" s="1"/>
      <c r="E52" s="1"/>
      <c r="F52" s="1"/>
      <c r="G52" s="1"/>
      <c r="H52" s="1"/>
      <c r="I52" s="2"/>
    </row>
    <row r="53" spans="1:9" x14ac:dyDescent="0.25">
      <c r="A53" s="46" t="s">
        <v>12</v>
      </c>
      <c r="B53" s="5" t="s">
        <v>103</v>
      </c>
      <c r="C53" s="46" t="s">
        <v>104</v>
      </c>
      <c r="D53" s="54"/>
      <c r="E53" s="54"/>
      <c r="F53" s="47"/>
      <c r="G53" s="5" t="s">
        <v>105</v>
      </c>
      <c r="H53" s="47" t="s">
        <v>106</v>
      </c>
      <c r="I53" s="5" t="s">
        <v>107</v>
      </c>
    </row>
    <row r="54" spans="1:9" x14ac:dyDescent="0.25">
      <c r="A54" s="49" t="s">
        <v>108</v>
      </c>
      <c r="B54" s="6"/>
      <c r="C54" s="49"/>
      <c r="D54" s="43"/>
      <c r="E54" s="43"/>
      <c r="F54" s="56"/>
      <c r="G54" s="6"/>
      <c r="H54" s="56"/>
      <c r="I54" s="6" t="s">
        <v>109</v>
      </c>
    </row>
    <row r="55" spans="1:9" x14ac:dyDescent="0.25">
      <c r="A55" s="49"/>
      <c r="B55" s="6"/>
      <c r="C55" s="49"/>
      <c r="D55" s="43"/>
      <c r="E55" s="43"/>
      <c r="F55" s="56"/>
      <c r="G55" s="6"/>
      <c r="H55" s="56"/>
      <c r="I55" s="6"/>
    </row>
    <row r="56" spans="1:9" x14ac:dyDescent="0.25">
      <c r="A56" s="49"/>
      <c r="B56" s="17"/>
      <c r="C56" s="50"/>
      <c r="D56" s="61"/>
      <c r="E56" s="61"/>
      <c r="F56" s="51"/>
      <c r="G56" s="6"/>
      <c r="H56" s="56"/>
      <c r="I56" s="6"/>
    </row>
    <row r="57" spans="1:9" x14ac:dyDescent="0.25">
      <c r="A57" s="62"/>
      <c r="B57" s="63"/>
      <c r="C57" s="55" t="s">
        <v>110</v>
      </c>
      <c r="D57" s="4"/>
      <c r="E57" s="4"/>
      <c r="F57" s="43"/>
      <c r="G57" s="5"/>
      <c r="H57" s="47"/>
      <c r="I57" s="5"/>
    </row>
    <row r="58" spans="1:9" x14ac:dyDescent="0.25">
      <c r="A58" s="64" t="s">
        <v>111</v>
      </c>
      <c r="B58" s="65">
        <v>43186</v>
      </c>
      <c r="C58" s="49" t="s">
        <v>112</v>
      </c>
      <c r="D58" s="43"/>
      <c r="E58" s="43"/>
      <c r="F58" s="43" t="s">
        <v>72</v>
      </c>
      <c r="G58" s="26" t="s">
        <v>113</v>
      </c>
      <c r="H58" s="56">
        <v>120</v>
      </c>
      <c r="I58" s="6">
        <v>24000</v>
      </c>
    </row>
    <row r="59" spans="1:9" x14ac:dyDescent="0.25">
      <c r="A59" s="64" t="s">
        <v>114</v>
      </c>
      <c r="B59" s="65">
        <v>43463</v>
      </c>
      <c r="C59" s="49" t="s">
        <v>115</v>
      </c>
      <c r="D59" s="43"/>
      <c r="E59" s="43"/>
      <c r="F59" s="43"/>
      <c r="G59" s="26" t="s">
        <v>116</v>
      </c>
      <c r="H59" s="56">
        <v>4.5</v>
      </c>
      <c r="I59" s="6">
        <v>5147</v>
      </c>
    </row>
    <row r="60" spans="1:9" x14ac:dyDescent="0.25">
      <c r="A60" s="66"/>
      <c r="B60" s="17"/>
      <c r="C60" s="14" t="s">
        <v>117</v>
      </c>
      <c r="D60" s="13"/>
      <c r="E60" s="13"/>
      <c r="F60" s="13"/>
      <c r="G60" s="16"/>
      <c r="H60" s="67"/>
      <c r="I60" s="11">
        <f>SUM(I57:I59)</f>
        <v>29147</v>
      </c>
    </row>
    <row r="61" spans="1:9" x14ac:dyDescent="0.25">
      <c r="A61" s="43"/>
      <c r="B61" s="43"/>
      <c r="C61" s="4"/>
      <c r="D61" s="4"/>
      <c r="E61" s="4"/>
      <c r="F61" s="4"/>
      <c r="G61" s="4"/>
      <c r="H61" s="4"/>
      <c r="I61" s="4"/>
    </row>
    <row r="62" spans="1:9" x14ac:dyDescent="0.25">
      <c r="A62" s="43"/>
      <c r="B62" s="4"/>
      <c r="C62" s="4"/>
      <c r="D62" s="43"/>
      <c r="E62" s="43"/>
      <c r="F62" s="43"/>
      <c r="G62" s="43"/>
      <c r="H62" s="43"/>
      <c r="I62" s="43"/>
    </row>
    <row r="63" spans="1:9" x14ac:dyDescent="0.25">
      <c r="A63" s="68"/>
      <c r="B63" s="69"/>
      <c r="C63" s="43"/>
      <c r="D63" s="43"/>
      <c r="E63" s="43"/>
      <c r="F63" s="43"/>
      <c r="G63" s="43"/>
      <c r="H63" s="43"/>
      <c r="I63" s="43"/>
    </row>
    <row r="64" spans="1:9" x14ac:dyDescent="0.25">
      <c r="A64" s="68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2" t="s">
        <v>118</v>
      </c>
      <c r="B65" s="2"/>
      <c r="C65" s="2" t="s">
        <v>119</v>
      </c>
      <c r="D65" s="2"/>
      <c r="E65" s="2" t="s">
        <v>120</v>
      </c>
      <c r="H65" s="2" t="s">
        <v>121</v>
      </c>
      <c r="I65" s="2" t="s">
        <v>122</v>
      </c>
    </row>
    <row r="66" spans="1:9" x14ac:dyDescent="0.25">
      <c r="A66" s="2"/>
      <c r="B66" s="2"/>
      <c r="C66" s="2"/>
      <c r="E66" s="2"/>
      <c r="F66" s="2"/>
      <c r="G66" s="2"/>
      <c r="H66" s="2"/>
      <c r="I6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F62" sqref="F62"/>
    </sheetView>
  </sheetViews>
  <sheetFormatPr defaultRowHeight="15" x14ac:dyDescent="0.25"/>
  <cols>
    <col min="1" max="1" width="5.42578125" style="71" customWidth="1"/>
    <col min="2" max="2" width="30.85546875" style="71" customWidth="1"/>
    <col min="3" max="3" width="13.7109375" style="71" customWidth="1"/>
    <col min="4" max="4" width="11.85546875" style="71" customWidth="1"/>
    <col min="5" max="5" width="11" style="71" customWidth="1"/>
    <col min="6" max="6" width="10.85546875" style="71" customWidth="1"/>
    <col min="7" max="7" width="9.140625" style="71"/>
    <col min="8" max="8" width="11.5703125" style="71" customWidth="1"/>
    <col min="9" max="9" width="18.7109375" style="71" customWidth="1"/>
    <col min="10" max="16384" width="9.140625" style="71"/>
  </cols>
  <sheetData>
    <row r="1" spans="1:9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72" t="s">
        <v>1</v>
      </c>
      <c r="B2" s="72"/>
      <c r="C2" s="72"/>
      <c r="D2" s="72"/>
      <c r="E2" s="72"/>
      <c r="F2" s="72"/>
      <c r="G2" s="72"/>
      <c r="H2" s="72"/>
      <c r="I2" s="167"/>
    </row>
    <row r="3" spans="1:9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 t="s">
        <v>286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 t="s">
        <v>4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2" t="s">
        <v>287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3" t="s">
        <v>288</v>
      </c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3" t="s">
        <v>289</v>
      </c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3" t="s">
        <v>290</v>
      </c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2" t="s">
        <v>9</v>
      </c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2" t="s">
        <v>10</v>
      </c>
      <c r="B11" s="73"/>
      <c r="C11" s="73"/>
      <c r="D11" s="73"/>
      <c r="E11" s="73"/>
      <c r="F11" s="73"/>
      <c r="G11" s="73"/>
      <c r="H11" s="73"/>
      <c r="I11" s="73"/>
    </row>
    <row r="12" spans="1:9" x14ac:dyDescent="0.25">
      <c r="A12" s="74" t="s">
        <v>11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75" t="s">
        <v>12</v>
      </c>
      <c r="B13" s="75" t="s">
        <v>13</v>
      </c>
      <c r="C13" s="75" t="s">
        <v>14</v>
      </c>
      <c r="D13" s="75" t="s">
        <v>15</v>
      </c>
      <c r="E13" s="75" t="s">
        <v>16</v>
      </c>
      <c r="F13" s="75" t="s">
        <v>17</v>
      </c>
      <c r="G13" s="75" t="s">
        <v>18</v>
      </c>
      <c r="H13" s="75" t="s">
        <v>15</v>
      </c>
      <c r="I13" s="75" t="s">
        <v>19</v>
      </c>
    </row>
    <row r="14" spans="1:9" x14ac:dyDescent="0.25">
      <c r="A14" s="76" t="s">
        <v>20</v>
      </c>
      <c r="B14" s="76"/>
      <c r="C14" s="76" t="s">
        <v>214</v>
      </c>
      <c r="D14" s="76" t="s">
        <v>22</v>
      </c>
      <c r="E14" s="76" t="s">
        <v>23</v>
      </c>
      <c r="F14" s="76" t="s">
        <v>23</v>
      </c>
      <c r="G14" s="76" t="s">
        <v>24</v>
      </c>
      <c r="H14" s="76" t="s">
        <v>25</v>
      </c>
      <c r="I14" s="76" t="s">
        <v>26</v>
      </c>
    </row>
    <row r="15" spans="1:9" x14ac:dyDescent="0.25">
      <c r="A15" s="76"/>
      <c r="B15" s="76"/>
      <c r="C15" s="76" t="s">
        <v>27</v>
      </c>
      <c r="D15" s="76" t="s">
        <v>28</v>
      </c>
      <c r="E15" s="76"/>
      <c r="F15" s="76"/>
      <c r="G15" s="76" t="s">
        <v>29</v>
      </c>
      <c r="H15" s="76" t="s">
        <v>30</v>
      </c>
      <c r="I15" s="76" t="s">
        <v>31</v>
      </c>
    </row>
    <row r="16" spans="1:9" x14ac:dyDescent="0.25">
      <c r="A16" s="76"/>
      <c r="B16" s="76"/>
      <c r="C16" s="76" t="s">
        <v>135</v>
      </c>
      <c r="D16" s="76" t="s">
        <v>33</v>
      </c>
      <c r="E16" s="76" t="s">
        <v>33</v>
      </c>
      <c r="F16" s="76" t="s">
        <v>33</v>
      </c>
      <c r="G16" s="76" t="s">
        <v>33</v>
      </c>
      <c r="H16" s="76" t="s">
        <v>33</v>
      </c>
      <c r="I16" s="76" t="s">
        <v>34</v>
      </c>
    </row>
    <row r="17" spans="1:9" x14ac:dyDescent="0.25">
      <c r="A17" s="77">
        <v>1</v>
      </c>
      <c r="B17" s="78">
        <v>2</v>
      </c>
      <c r="C17" s="97">
        <v>3</v>
      </c>
      <c r="D17" s="78">
        <v>4</v>
      </c>
      <c r="E17" s="97">
        <v>5</v>
      </c>
      <c r="F17" s="78">
        <v>6</v>
      </c>
      <c r="G17" s="97">
        <v>7</v>
      </c>
      <c r="H17" s="78">
        <v>8</v>
      </c>
      <c r="I17" s="75">
        <v>9</v>
      </c>
    </row>
    <row r="18" spans="1:9" x14ac:dyDescent="0.25">
      <c r="A18" s="129">
        <v>1</v>
      </c>
      <c r="B18" s="114" t="s">
        <v>186</v>
      </c>
      <c r="C18" s="139" t="s">
        <v>72</v>
      </c>
      <c r="D18" s="129"/>
      <c r="E18" s="140" t="s">
        <v>72</v>
      </c>
      <c r="F18" s="114" t="s">
        <v>72</v>
      </c>
      <c r="G18" s="129"/>
      <c r="H18" s="129" t="s">
        <v>72</v>
      </c>
      <c r="I18" s="140" t="s">
        <v>72</v>
      </c>
    </row>
    <row r="19" spans="1:9" x14ac:dyDescent="0.25">
      <c r="A19" s="105"/>
      <c r="B19" s="103" t="s">
        <v>187</v>
      </c>
      <c r="C19" s="111">
        <v>8.5500000000000007</v>
      </c>
      <c r="D19" s="99">
        <v>-8448.27</v>
      </c>
      <c r="E19" s="99">
        <v>28820.52</v>
      </c>
      <c r="F19" s="99">
        <v>28942.49</v>
      </c>
      <c r="G19" s="110">
        <f t="shared" ref="G19:G25" si="0">E19</f>
        <v>28820.52</v>
      </c>
      <c r="H19" s="110">
        <f>D19+F19-G19</f>
        <v>-8326.2999999999993</v>
      </c>
      <c r="I19" s="99">
        <f>H19</f>
        <v>-8326.2999999999993</v>
      </c>
    </row>
    <row r="20" spans="1:9" x14ac:dyDescent="0.25">
      <c r="A20" s="76" t="s">
        <v>36</v>
      </c>
      <c r="B20" s="85" t="s">
        <v>37</v>
      </c>
      <c r="C20" s="102">
        <v>3.08</v>
      </c>
      <c r="D20" s="147"/>
      <c r="E20" s="88">
        <f>E19*36%</f>
        <v>10375.387199999999</v>
      </c>
      <c r="F20" s="88">
        <f>F19*36%</f>
        <v>10419.296400000001</v>
      </c>
      <c r="G20" s="89">
        <f t="shared" si="0"/>
        <v>10375.387199999999</v>
      </c>
      <c r="H20" s="131"/>
      <c r="I20" s="147"/>
    </row>
    <row r="21" spans="1:9" x14ac:dyDescent="0.25">
      <c r="A21" s="91" t="s">
        <v>38</v>
      </c>
      <c r="B21" s="75" t="s">
        <v>39</v>
      </c>
      <c r="C21" s="146">
        <v>1.51</v>
      </c>
      <c r="D21" s="87"/>
      <c r="E21" s="87">
        <f>E19*17.7%</f>
        <v>5101.2320399999999</v>
      </c>
      <c r="F21" s="87">
        <f>F19*17.7%</f>
        <v>5122.8207300000004</v>
      </c>
      <c r="G21" s="95">
        <f t="shared" si="0"/>
        <v>5101.2320399999999</v>
      </c>
      <c r="H21" s="95"/>
      <c r="I21" s="87"/>
    </row>
    <row r="22" spans="1:9" x14ac:dyDescent="0.25">
      <c r="A22" s="91" t="s">
        <v>40</v>
      </c>
      <c r="B22" s="75" t="s">
        <v>41</v>
      </c>
      <c r="C22" s="146">
        <v>1.36</v>
      </c>
      <c r="D22" s="147"/>
      <c r="E22" s="147">
        <f xml:space="preserve"> E19*16%</f>
        <v>4611.2831999999999</v>
      </c>
      <c r="F22" s="147">
        <f>F19*16%</f>
        <v>4630.7984000000006</v>
      </c>
      <c r="G22" s="89">
        <f t="shared" si="0"/>
        <v>4611.2831999999999</v>
      </c>
      <c r="H22" s="131"/>
      <c r="I22" s="147"/>
    </row>
    <row r="23" spans="1:9" x14ac:dyDescent="0.25">
      <c r="A23" s="91" t="s">
        <v>42</v>
      </c>
      <c r="B23" s="75" t="s">
        <v>43</v>
      </c>
      <c r="C23" s="146">
        <v>2.6</v>
      </c>
      <c r="D23" s="92"/>
      <c r="E23" s="92">
        <f>E19*30.3%</f>
        <v>8732.6175600000006</v>
      </c>
      <c r="F23" s="92">
        <f>F19*30.3%</f>
        <v>8769.5744699999996</v>
      </c>
      <c r="G23" s="93">
        <f t="shared" si="0"/>
        <v>8732.6175600000006</v>
      </c>
      <c r="H23" s="93"/>
      <c r="I23" s="92"/>
    </row>
    <row r="24" spans="1:9" x14ac:dyDescent="0.25">
      <c r="A24" s="91" t="s">
        <v>44</v>
      </c>
      <c r="B24" s="75" t="s">
        <v>47</v>
      </c>
      <c r="C24" s="183" t="s">
        <v>48</v>
      </c>
      <c r="D24" s="92">
        <v>-722.32</v>
      </c>
      <c r="E24" s="79">
        <v>4029.9</v>
      </c>
      <c r="F24" s="75">
        <v>4389.45</v>
      </c>
      <c r="G24" s="79">
        <f t="shared" si="0"/>
        <v>4029.9</v>
      </c>
      <c r="H24" s="92">
        <f>D24+F24-E24</f>
        <v>-362.77000000000044</v>
      </c>
      <c r="I24" s="116">
        <f>H24</f>
        <v>-362.77000000000044</v>
      </c>
    </row>
    <row r="25" spans="1:9" x14ac:dyDescent="0.25">
      <c r="A25" s="81" t="s">
        <v>49</v>
      </c>
      <c r="B25" s="81" t="s">
        <v>50</v>
      </c>
      <c r="C25" s="81">
        <v>4.5999999999999996</v>
      </c>
      <c r="D25" s="82">
        <v>-5084.9399999999996</v>
      </c>
      <c r="E25" s="81">
        <v>15505.68</v>
      </c>
      <c r="F25" s="81">
        <v>15809.11</v>
      </c>
      <c r="G25" s="104">
        <f t="shared" si="0"/>
        <v>15505.68</v>
      </c>
      <c r="H25" s="149">
        <f>D25+F25-G25</f>
        <v>-4781.5099999999984</v>
      </c>
      <c r="I25" s="82">
        <f>H25</f>
        <v>-4781.5099999999984</v>
      </c>
    </row>
    <row r="26" spans="1:9" x14ac:dyDescent="0.25">
      <c r="A26" s="107" t="s">
        <v>51</v>
      </c>
      <c r="B26" s="103" t="s">
        <v>52</v>
      </c>
      <c r="C26" s="103">
        <v>1.65</v>
      </c>
      <c r="D26" s="105">
        <v>1800.53</v>
      </c>
      <c r="E26" s="107">
        <v>5562</v>
      </c>
      <c r="F26" s="103">
        <f>F27+F29+F28</f>
        <v>13817.16</v>
      </c>
      <c r="G26" s="103">
        <f>I51</f>
        <v>0</v>
      </c>
      <c r="H26" s="105">
        <f>D26+F26-G26</f>
        <v>15617.69</v>
      </c>
      <c r="I26" s="99"/>
    </row>
    <row r="27" spans="1:9" x14ac:dyDescent="0.25">
      <c r="A27" s="81"/>
      <c r="B27" s="78" t="s">
        <v>53</v>
      </c>
      <c r="C27" s="101"/>
      <c r="D27" s="105"/>
      <c r="E27" s="81"/>
      <c r="F27" s="103">
        <v>5653.05</v>
      </c>
      <c r="G27" s="103"/>
      <c r="H27" s="105"/>
      <c r="I27" s="99"/>
    </row>
    <row r="28" spans="1:9" x14ac:dyDescent="0.25">
      <c r="A28" s="107"/>
      <c r="B28" s="75" t="s">
        <v>54</v>
      </c>
      <c r="C28" s="74"/>
      <c r="D28" s="108"/>
      <c r="E28" s="107"/>
      <c r="F28" s="107">
        <v>1338.66</v>
      </c>
      <c r="G28" s="103"/>
      <c r="H28" s="105"/>
      <c r="I28" s="99"/>
    </row>
    <row r="29" spans="1:9" x14ac:dyDescent="0.25">
      <c r="A29" s="81"/>
      <c r="B29" s="78" t="s">
        <v>58</v>
      </c>
      <c r="C29" s="104"/>
      <c r="D29" s="80"/>
      <c r="E29" s="81"/>
      <c r="F29" s="81">
        <v>6825.45</v>
      </c>
      <c r="G29" s="103"/>
      <c r="H29" s="105"/>
      <c r="I29" s="99"/>
    </row>
    <row r="30" spans="1:9" x14ac:dyDescent="0.25">
      <c r="A30" s="81" t="s">
        <v>56</v>
      </c>
      <c r="B30" s="81" t="s">
        <v>144</v>
      </c>
      <c r="C30" s="104"/>
      <c r="D30" s="80" t="s">
        <v>72</v>
      </c>
      <c r="E30" s="81"/>
      <c r="F30" s="81"/>
      <c r="G30" s="81"/>
      <c r="H30" s="80" t="s">
        <v>72</v>
      </c>
      <c r="I30" s="82"/>
    </row>
    <row r="31" spans="1:9" x14ac:dyDescent="0.25">
      <c r="A31" s="103"/>
      <c r="B31" s="103" t="s">
        <v>277</v>
      </c>
      <c r="C31" s="101">
        <v>0</v>
      </c>
      <c r="D31" s="105">
        <v>6825.45</v>
      </c>
      <c r="E31" s="103">
        <v>0</v>
      </c>
      <c r="F31" s="103">
        <v>-6825.45</v>
      </c>
      <c r="G31" s="78">
        <v>0</v>
      </c>
      <c r="H31" s="105">
        <f>D31+F31-G31</f>
        <v>0</v>
      </c>
      <c r="I31" s="82"/>
    </row>
    <row r="32" spans="1:9" x14ac:dyDescent="0.25">
      <c r="A32" s="78"/>
      <c r="B32" s="78" t="s">
        <v>58</v>
      </c>
      <c r="C32" s="97"/>
      <c r="D32" s="77"/>
      <c r="E32" s="78">
        <v>0</v>
      </c>
      <c r="F32" s="78">
        <v>6825.45</v>
      </c>
      <c r="G32" s="97"/>
      <c r="H32" s="77"/>
      <c r="I32" s="88"/>
    </row>
    <row r="33" spans="1:9" x14ac:dyDescent="0.25">
      <c r="A33" s="72" t="s">
        <v>59</v>
      </c>
      <c r="B33" s="73"/>
      <c r="C33" s="73"/>
      <c r="E33" s="73"/>
      <c r="F33" s="73"/>
      <c r="G33" s="73"/>
      <c r="H33" s="73"/>
      <c r="I33" s="73"/>
    </row>
    <row r="34" spans="1:9" x14ac:dyDescent="0.25">
      <c r="A34" s="72"/>
      <c r="B34" s="73"/>
      <c r="C34" s="73"/>
      <c r="E34" s="73"/>
      <c r="F34" s="73"/>
      <c r="G34" s="73"/>
      <c r="H34" s="73"/>
      <c r="I34" s="73"/>
    </row>
    <row r="35" spans="1:9" x14ac:dyDescent="0.25">
      <c r="A35" s="74" t="s">
        <v>70</v>
      </c>
    </row>
    <row r="36" spans="1:9" x14ac:dyDescent="0.25">
      <c r="A36" s="72" t="s">
        <v>71</v>
      </c>
      <c r="B36" s="74"/>
      <c r="C36" s="74"/>
      <c r="D36" s="152"/>
      <c r="E36" s="74"/>
      <c r="F36" s="74"/>
      <c r="G36" s="74"/>
      <c r="H36" s="74"/>
      <c r="I36" s="74"/>
    </row>
    <row r="37" spans="1:9" x14ac:dyDescent="0.25">
      <c r="A37" s="75" t="s">
        <v>72</v>
      </c>
      <c r="B37" s="139" t="s">
        <v>73</v>
      </c>
      <c r="C37" s="75" t="s">
        <v>74</v>
      </c>
      <c r="D37" s="79" t="s">
        <v>75</v>
      </c>
      <c r="E37" s="75" t="s">
        <v>76</v>
      </c>
      <c r="F37" s="79" t="s">
        <v>77</v>
      </c>
      <c r="G37" s="115" t="s">
        <v>78</v>
      </c>
      <c r="H37" s="92" t="s">
        <v>15</v>
      </c>
      <c r="I37" s="116" t="s">
        <v>19</v>
      </c>
    </row>
    <row r="38" spans="1:9" x14ac:dyDescent="0.25">
      <c r="A38" s="76"/>
      <c r="B38" s="74" t="s">
        <v>80</v>
      </c>
      <c r="C38" s="76" t="s">
        <v>81</v>
      </c>
      <c r="D38" s="117" t="s">
        <v>82</v>
      </c>
      <c r="E38" s="76" t="s">
        <v>83</v>
      </c>
      <c r="F38" s="117" t="s">
        <v>84</v>
      </c>
      <c r="G38" s="118" t="s">
        <v>85</v>
      </c>
      <c r="H38" s="147" t="s">
        <v>25</v>
      </c>
      <c r="I38" s="119" t="s">
        <v>87</v>
      </c>
    </row>
    <row r="39" spans="1:9" x14ac:dyDescent="0.25">
      <c r="A39" s="76"/>
      <c r="B39" s="117"/>
      <c r="C39" s="76"/>
      <c r="D39" s="117"/>
      <c r="E39" s="76"/>
      <c r="F39" s="117" t="s">
        <v>88</v>
      </c>
      <c r="G39" s="118" t="s">
        <v>89</v>
      </c>
      <c r="H39" s="147" t="s">
        <v>30</v>
      </c>
      <c r="I39" s="119" t="s">
        <v>30</v>
      </c>
    </row>
    <row r="40" spans="1:9" x14ac:dyDescent="0.25">
      <c r="A40" s="85"/>
      <c r="B40" s="86"/>
      <c r="C40" s="85"/>
      <c r="D40" s="86"/>
      <c r="E40" s="85"/>
      <c r="F40" s="86"/>
      <c r="G40" s="120"/>
      <c r="H40" s="88"/>
      <c r="I40" s="122" t="s">
        <v>278</v>
      </c>
    </row>
    <row r="41" spans="1:9" x14ac:dyDescent="0.25">
      <c r="A41" s="75" t="s">
        <v>72</v>
      </c>
      <c r="B41" s="75"/>
      <c r="C41" s="139"/>
      <c r="D41" s="75"/>
      <c r="E41" s="79"/>
      <c r="F41" s="75"/>
      <c r="G41" s="79"/>
      <c r="H41" s="75"/>
      <c r="I41" s="116"/>
    </row>
    <row r="42" spans="1:9" x14ac:dyDescent="0.25">
      <c r="A42" s="78">
        <v>1</v>
      </c>
      <c r="B42" s="78" t="s">
        <v>91</v>
      </c>
      <c r="C42" s="104" t="s">
        <v>92</v>
      </c>
      <c r="D42" s="78">
        <v>-3757.47</v>
      </c>
      <c r="E42" s="155">
        <v>55837.46</v>
      </c>
      <c r="F42" s="78">
        <v>51672.84</v>
      </c>
      <c r="G42" s="155">
        <f>E42</f>
        <v>55837.46</v>
      </c>
      <c r="H42" s="78">
        <f>D42+F42-G42</f>
        <v>-7922.0900000000038</v>
      </c>
      <c r="I42" s="78">
        <f>H42</f>
        <v>-7922.0900000000038</v>
      </c>
    </row>
    <row r="43" spans="1:9" x14ac:dyDescent="0.25">
      <c r="A43" s="77"/>
      <c r="B43" s="78" t="s">
        <v>93</v>
      </c>
      <c r="C43" s="104" t="s">
        <v>94</v>
      </c>
      <c r="D43" s="77"/>
      <c r="E43" s="77"/>
      <c r="F43" s="78"/>
      <c r="G43" s="123"/>
      <c r="H43" s="123"/>
      <c r="I43" s="123"/>
    </row>
    <row r="44" spans="1:9" x14ac:dyDescent="0.25">
      <c r="A44" s="73"/>
      <c r="B44" s="73" t="s">
        <v>72</v>
      </c>
      <c r="C44" s="73"/>
      <c r="D44" s="73"/>
      <c r="E44" s="73"/>
      <c r="F44" s="73" t="s">
        <v>72</v>
      </c>
      <c r="G44" s="73"/>
      <c r="H44" s="73"/>
      <c r="I44" s="73"/>
    </row>
    <row r="45" spans="1:9" x14ac:dyDescent="0.25">
      <c r="A45" s="72" t="s">
        <v>222</v>
      </c>
      <c r="B45" s="73"/>
      <c r="C45" s="73"/>
      <c r="D45" s="73"/>
      <c r="E45" s="73"/>
      <c r="F45" s="73"/>
      <c r="G45" s="73"/>
      <c r="H45" s="73"/>
      <c r="I45" s="73"/>
    </row>
    <row r="46" spans="1:9" x14ac:dyDescent="0.25">
      <c r="A46" s="74" t="s">
        <v>223</v>
      </c>
      <c r="B46" s="73"/>
      <c r="C46" s="73"/>
      <c r="D46" s="73"/>
      <c r="E46" s="73"/>
      <c r="F46" s="73"/>
      <c r="G46" s="73"/>
      <c r="H46" s="73"/>
      <c r="I46" s="73"/>
    </row>
    <row r="47" spans="1:9" x14ac:dyDescent="0.25">
      <c r="A47" s="115" t="s">
        <v>12</v>
      </c>
      <c r="B47" s="75" t="s">
        <v>103</v>
      </c>
      <c r="C47" s="115" t="s">
        <v>104</v>
      </c>
      <c r="D47" s="79"/>
      <c r="E47" s="79"/>
      <c r="F47" s="79"/>
      <c r="G47" s="75" t="s">
        <v>105</v>
      </c>
      <c r="H47" s="116" t="s">
        <v>106</v>
      </c>
      <c r="I47" s="75" t="s">
        <v>107</v>
      </c>
    </row>
    <row r="48" spans="1:9" x14ac:dyDescent="0.25">
      <c r="A48" s="118" t="s">
        <v>108</v>
      </c>
      <c r="B48" s="76"/>
      <c r="C48" s="118"/>
      <c r="D48" s="117"/>
      <c r="E48" s="117"/>
      <c r="F48" s="117"/>
      <c r="G48" s="76"/>
      <c r="H48" s="119"/>
      <c r="I48" s="76" t="s">
        <v>109</v>
      </c>
    </row>
    <row r="49" spans="1:9" x14ac:dyDescent="0.25">
      <c r="A49" s="118"/>
      <c r="B49" s="85"/>
      <c r="C49" s="120"/>
      <c r="D49" s="86"/>
      <c r="E49" s="86"/>
      <c r="F49" s="86"/>
      <c r="G49" s="85"/>
      <c r="H49" s="119"/>
      <c r="I49" s="76"/>
    </row>
    <row r="50" spans="1:9" x14ac:dyDescent="0.25">
      <c r="A50" s="128"/>
      <c r="B50" s="114"/>
      <c r="C50" s="129" t="s">
        <v>110</v>
      </c>
      <c r="D50" s="139"/>
      <c r="E50" s="139"/>
      <c r="F50" s="79"/>
      <c r="G50" s="75"/>
      <c r="H50" s="116"/>
      <c r="I50" s="75"/>
    </row>
    <row r="51" spans="1:9" x14ac:dyDescent="0.25">
      <c r="A51" s="84"/>
      <c r="B51" s="85"/>
      <c r="C51" s="105" t="s">
        <v>117</v>
      </c>
      <c r="D51" s="86"/>
      <c r="E51" s="86"/>
      <c r="F51" s="111"/>
      <c r="G51" s="99"/>
      <c r="H51" s="134"/>
      <c r="I51" s="103">
        <v>0</v>
      </c>
    </row>
    <row r="52" spans="1:9" x14ac:dyDescent="0.25">
      <c r="A52" s="117"/>
      <c r="B52" s="117"/>
      <c r="C52" s="117"/>
      <c r="D52" s="117"/>
      <c r="E52" s="117"/>
      <c r="F52" s="89"/>
      <c r="G52" s="117"/>
      <c r="H52" s="117"/>
      <c r="I52" s="117"/>
    </row>
    <row r="53" spans="1:9" x14ac:dyDescent="0.25">
      <c r="A53" s="135"/>
      <c r="B53" s="117"/>
      <c r="C53" s="74"/>
      <c r="D53" s="74"/>
      <c r="E53" s="74"/>
      <c r="F53" s="74"/>
      <c r="G53" s="137"/>
      <c r="H53" s="74"/>
      <c r="I53" s="74"/>
    </row>
    <row r="54" spans="1:9" x14ac:dyDescent="0.25">
      <c r="A54" s="73" t="s">
        <v>224</v>
      </c>
      <c r="B54" s="73"/>
      <c r="C54" s="73" t="s">
        <v>72</v>
      </c>
      <c r="D54" s="73" t="s">
        <v>119</v>
      </c>
      <c r="E54" s="73"/>
      <c r="F54" s="73" t="s">
        <v>120</v>
      </c>
      <c r="G54" s="73"/>
      <c r="H54" s="73" t="s">
        <v>121</v>
      </c>
      <c r="I54" s="73" t="s">
        <v>291</v>
      </c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A21" sqref="A21"/>
    </sheetView>
  </sheetViews>
  <sheetFormatPr defaultRowHeight="15" x14ac:dyDescent="0.25"/>
  <cols>
    <col min="1" max="1" width="4" customWidth="1"/>
    <col min="2" max="2" width="31.42578125" customWidth="1"/>
    <col min="3" max="3" width="12.28515625" customWidth="1"/>
    <col min="6" max="6" width="16.5703125" customWidth="1"/>
    <col min="8" max="8" width="11.5703125" customWidth="1"/>
    <col min="9" max="9" width="19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292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293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294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295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132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134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34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5">
        <v>9</v>
      </c>
    </row>
    <row r="19" spans="1:9" x14ac:dyDescent="0.25">
      <c r="A19" s="53">
        <v>1</v>
      </c>
      <c r="B19" s="63" t="s">
        <v>186</v>
      </c>
      <c r="C19" s="159" t="s">
        <v>72</v>
      </c>
      <c r="D19" s="53"/>
      <c r="E19" s="160" t="s">
        <v>72</v>
      </c>
      <c r="F19" s="63" t="s">
        <v>72</v>
      </c>
      <c r="G19" s="53"/>
      <c r="H19" s="53" t="s">
        <v>72</v>
      </c>
      <c r="I19" s="160" t="s">
        <v>72</v>
      </c>
    </row>
    <row r="20" spans="1:9" x14ac:dyDescent="0.25">
      <c r="A20" s="14"/>
      <c r="B20" s="11" t="s">
        <v>187</v>
      </c>
      <c r="C20" s="161">
        <v>8.5500000000000007</v>
      </c>
      <c r="D20" s="16">
        <v>-44118.15</v>
      </c>
      <c r="E20" s="16">
        <v>56328.4</v>
      </c>
      <c r="F20" s="16">
        <v>60439.6</v>
      </c>
      <c r="G20" s="15">
        <f t="shared" ref="G20:G26" si="0">E20</f>
        <v>56328.4</v>
      </c>
      <c r="H20" s="15">
        <f>D20+F20-G20</f>
        <v>-40006.950000000004</v>
      </c>
      <c r="I20" s="16">
        <f>H20</f>
        <v>-40006.950000000004</v>
      </c>
    </row>
    <row r="21" spans="1:9" x14ac:dyDescent="0.25">
      <c r="A21" s="6" t="s">
        <v>36</v>
      </c>
      <c r="B21" s="17" t="s">
        <v>37</v>
      </c>
      <c r="C21" s="162">
        <v>3.08</v>
      </c>
      <c r="D21" s="26"/>
      <c r="E21" s="21">
        <f>E20*36%</f>
        <v>20278.223999999998</v>
      </c>
      <c r="F21" s="21">
        <f>F20*36%</f>
        <v>21758.255999999998</v>
      </c>
      <c r="G21" s="19">
        <f t="shared" si="0"/>
        <v>20278.223999999998</v>
      </c>
      <c r="H21" s="44"/>
      <c r="I21" s="26"/>
    </row>
    <row r="22" spans="1:9" x14ac:dyDescent="0.25">
      <c r="A22" s="22" t="s">
        <v>38</v>
      </c>
      <c r="B22" s="5" t="s">
        <v>39</v>
      </c>
      <c r="C22" s="24">
        <v>1.51</v>
      </c>
      <c r="D22" s="30"/>
      <c r="E22" s="33">
        <f>E20*17.7%</f>
        <v>9970.1268</v>
      </c>
      <c r="F22" s="33">
        <f>F20*17.7%</f>
        <v>10697.8092</v>
      </c>
      <c r="G22" s="29">
        <f t="shared" si="0"/>
        <v>9970.1268</v>
      </c>
      <c r="H22" s="29"/>
      <c r="I22" s="30"/>
    </row>
    <row r="23" spans="1:9" x14ac:dyDescent="0.25">
      <c r="A23" s="22" t="s">
        <v>40</v>
      </c>
      <c r="B23" s="5" t="s">
        <v>41</v>
      </c>
      <c r="C23" s="24">
        <v>1.36</v>
      </c>
      <c r="D23" s="26"/>
      <c r="E23" s="33">
        <f xml:space="preserve"> E20*16%</f>
        <v>9012.5439999999999</v>
      </c>
      <c r="F23" s="33">
        <f>F20*16%</f>
        <v>9670.3359999999993</v>
      </c>
      <c r="G23" s="19">
        <f t="shared" si="0"/>
        <v>9012.5439999999999</v>
      </c>
      <c r="H23" s="44"/>
      <c r="I23" s="26"/>
    </row>
    <row r="24" spans="1:9" x14ac:dyDescent="0.25">
      <c r="A24" s="22" t="s">
        <v>42</v>
      </c>
      <c r="B24" s="5" t="s">
        <v>43</v>
      </c>
      <c r="C24" s="24">
        <v>2.6</v>
      </c>
      <c r="D24" s="33"/>
      <c r="E24" s="33">
        <f>E20*30.3%</f>
        <v>17067.5052</v>
      </c>
      <c r="F24" s="33">
        <f>F20*30.3%</f>
        <v>18313.198799999998</v>
      </c>
      <c r="G24" s="25">
        <f t="shared" si="0"/>
        <v>17067.5052</v>
      </c>
      <c r="H24" s="25"/>
      <c r="I24" s="33"/>
    </row>
    <row r="25" spans="1:9" x14ac:dyDescent="0.25">
      <c r="A25" s="31" t="s">
        <v>44</v>
      </c>
      <c r="B25" s="8" t="s">
        <v>47</v>
      </c>
      <c r="C25" s="184" t="s">
        <v>48</v>
      </c>
      <c r="D25" s="8">
        <v>-2952.9</v>
      </c>
      <c r="E25" s="9">
        <v>8165.7</v>
      </c>
      <c r="F25" s="8">
        <v>8204.99</v>
      </c>
      <c r="G25" s="9">
        <f t="shared" si="0"/>
        <v>8165.7</v>
      </c>
      <c r="H25" s="8">
        <f>D25+F25-G25</f>
        <v>-2913.6099999999997</v>
      </c>
      <c r="I25" s="48">
        <f>H25</f>
        <v>-2913.6099999999997</v>
      </c>
    </row>
    <row r="26" spans="1:9" x14ac:dyDescent="0.25">
      <c r="A26" s="63" t="s">
        <v>49</v>
      </c>
      <c r="B26" s="63" t="s">
        <v>50</v>
      </c>
      <c r="C26" s="63">
        <v>4.5999999999999996</v>
      </c>
      <c r="D26" s="41">
        <v>-16622.63</v>
      </c>
      <c r="E26" s="39">
        <v>31359.119999999999</v>
      </c>
      <c r="F26" s="39">
        <v>32622.79</v>
      </c>
      <c r="G26" s="4">
        <f t="shared" si="0"/>
        <v>31359.119999999999</v>
      </c>
      <c r="H26" s="40">
        <f>D26+F26-G26</f>
        <v>-15358.96</v>
      </c>
      <c r="I26" s="41">
        <f>H26</f>
        <v>-15358.96</v>
      </c>
    </row>
    <row r="27" spans="1:9" x14ac:dyDescent="0.25">
      <c r="A27" s="10" t="s">
        <v>51</v>
      </c>
      <c r="B27" s="10" t="s">
        <v>192</v>
      </c>
      <c r="C27" s="10">
        <v>1.65</v>
      </c>
      <c r="D27" s="38">
        <v>-32131.83</v>
      </c>
      <c r="E27" s="10">
        <v>10870.2</v>
      </c>
      <c r="F27" s="10">
        <f>F28+F29+F30</f>
        <v>16968.63</v>
      </c>
      <c r="G27" s="10">
        <f>I52</f>
        <v>30700.010000000002</v>
      </c>
      <c r="H27" s="37">
        <f>D27+F27-G27</f>
        <v>-45863.210000000006</v>
      </c>
      <c r="I27" s="38">
        <f>H27</f>
        <v>-45863.210000000006</v>
      </c>
    </row>
    <row r="28" spans="1:9" x14ac:dyDescent="0.25">
      <c r="A28" s="10"/>
      <c r="B28" s="8" t="s">
        <v>53</v>
      </c>
      <c r="C28" s="10"/>
      <c r="D28" s="36"/>
      <c r="E28" s="10"/>
      <c r="F28" s="10">
        <v>12085.78</v>
      </c>
      <c r="G28" s="10">
        <v>0</v>
      </c>
      <c r="H28" s="36"/>
      <c r="I28" s="38"/>
    </row>
    <row r="29" spans="1:9" x14ac:dyDescent="0.25">
      <c r="A29" s="10"/>
      <c r="B29" s="8" t="s">
        <v>54</v>
      </c>
      <c r="C29" s="10"/>
      <c r="D29" s="36"/>
      <c r="E29" s="10"/>
      <c r="F29" s="10">
        <v>4527.8</v>
      </c>
      <c r="G29" s="10">
        <v>0</v>
      </c>
      <c r="H29" s="36"/>
      <c r="I29" s="38"/>
    </row>
    <row r="30" spans="1:9" x14ac:dyDescent="0.25">
      <c r="A30" s="39"/>
      <c r="B30" s="8" t="s">
        <v>296</v>
      </c>
      <c r="C30" s="14"/>
      <c r="D30" s="14"/>
      <c r="E30" s="11"/>
      <c r="F30" s="11">
        <v>355.05</v>
      </c>
      <c r="G30" s="11"/>
      <c r="H30" s="14"/>
      <c r="I30" s="16"/>
    </row>
    <row r="31" spans="1:9" x14ac:dyDescent="0.25">
      <c r="A31" s="10" t="s">
        <v>56</v>
      </c>
      <c r="B31" s="10" t="s">
        <v>144</v>
      </c>
      <c r="C31" s="13">
        <v>0</v>
      </c>
      <c r="D31" s="14">
        <v>355.05</v>
      </c>
      <c r="E31" s="11">
        <v>0</v>
      </c>
      <c r="F31" s="11">
        <v>-355.05</v>
      </c>
      <c r="G31" s="11">
        <v>0</v>
      </c>
      <c r="H31" s="14">
        <f>D31+F31-G31</f>
        <v>0</v>
      </c>
      <c r="I31" s="38"/>
    </row>
    <row r="32" spans="1:9" x14ac:dyDescent="0.25">
      <c r="A32" s="8"/>
      <c r="B32" s="8" t="s">
        <v>297</v>
      </c>
      <c r="C32" s="9">
        <v>0</v>
      </c>
      <c r="D32" s="7">
        <v>0</v>
      </c>
      <c r="E32" s="8">
        <v>0</v>
      </c>
      <c r="F32" s="8">
        <v>355.05</v>
      </c>
      <c r="G32" s="9">
        <v>0</v>
      </c>
      <c r="H32" s="7"/>
      <c r="I32" s="21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4" t="s">
        <v>70</v>
      </c>
    </row>
    <row r="35" spans="1:9" x14ac:dyDescent="0.25">
      <c r="A35" s="1" t="s">
        <v>71</v>
      </c>
      <c r="B35" s="4"/>
      <c r="C35" s="4"/>
      <c r="D35" s="52"/>
      <c r="E35" s="4"/>
      <c r="F35" s="4"/>
      <c r="G35" s="4"/>
      <c r="H35" s="4"/>
      <c r="I35" s="4"/>
    </row>
    <row r="36" spans="1:9" x14ac:dyDescent="0.25">
      <c r="A36" s="5" t="s">
        <v>72</v>
      </c>
      <c r="B36" s="159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46" t="s">
        <v>78</v>
      </c>
      <c r="H36" s="33" t="s">
        <v>15</v>
      </c>
      <c r="I36" s="47" t="s">
        <v>19</v>
      </c>
    </row>
    <row r="37" spans="1:9" x14ac:dyDescent="0.25">
      <c r="A37" s="6"/>
      <c r="B37" s="4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49" t="s">
        <v>85</v>
      </c>
      <c r="H37" s="26" t="s">
        <v>25</v>
      </c>
      <c r="I37" s="56" t="s">
        <v>87</v>
      </c>
    </row>
    <row r="38" spans="1:9" x14ac:dyDescent="0.25">
      <c r="A38" s="6"/>
      <c r="B38" s="43"/>
      <c r="C38" s="6"/>
      <c r="D38" s="43"/>
      <c r="E38" s="6"/>
      <c r="F38" s="43" t="s">
        <v>88</v>
      </c>
      <c r="G38" s="49" t="s">
        <v>89</v>
      </c>
      <c r="H38" s="26" t="s">
        <v>30</v>
      </c>
      <c r="I38" s="56" t="s">
        <v>221</v>
      </c>
    </row>
    <row r="39" spans="1:9" x14ac:dyDescent="0.25">
      <c r="A39" s="17"/>
      <c r="B39" s="61"/>
      <c r="C39" s="17"/>
      <c r="D39" s="61"/>
      <c r="E39" s="17"/>
      <c r="F39" s="61"/>
      <c r="G39" s="50"/>
      <c r="H39" s="21"/>
      <c r="I39" s="51"/>
    </row>
    <row r="40" spans="1:9" x14ac:dyDescent="0.25">
      <c r="A40" s="8">
        <v>1</v>
      </c>
      <c r="B40" s="8" t="s">
        <v>91</v>
      </c>
      <c r="C40" s="35" t="s">
        <v>92</v>
      </c>
      <c r="D40" s="8">
        <v>-43605.87</v>
      </c>
      <c r="E40" s="59">
        <v>53313.39</v>
      </c>
      <c r="F40" s="8">
        <v>66201.570000000007</v>
      </c>
      <c r="G40" s="59">
        <f>E40</f>
        <v>53313.39</v>
      </c>
      <c r="H40" s="8">
        <f>D40+F40-G40</f>
        <v>-30717.689999999995</v>
      </c>
      <c r="I40" s="8">
        <f>H40</f>
        <v>-30717.689999999995</v>
      </c>
    </row>
    <row r="41" spans="1:9" x14ac:dyDescent="0.25">
      <c r="A41" s="7"/>
      <c r="B41" s="7" t="s">
        <v>279</v>
      </c>
      <c r="C41" s="36" t="s">
        <v>94</v>
      </c>
      <c r="D41" s="7"/>
      <c r="E41" s="8"/>
      <c r="F41" s="48"/>
      <c r="G41" s="48"/>
      <c r="H41" s="48"/>
      <c r="I41" s="48"/>
    </row>
    <row r="42" spans="1:9" x14ac:dyDescent="0.25">
      <c r="A42" s="2"/>
      <c r="B42" s="2" t="s">
        <v>72</v>
      </c>
      <c r="C42" s="2"/>
      <c r="D42" s="2"/>
      <c r="E42" s="2"/>
      <c r="F42" s="2" t="s">
        <v>72</v>
      </c>
      <c r="G42" s="2"/>
      <c r="H42" s="2"/>
      <c r="I42" s="2"/>
    </row>
    <row r="43" spans="1:9" x14ac:dyDescent="0.25">
      <c r="A43" s="1" t="s">
        <v>222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" t="s">
        <v>223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6" t="s">
        <v>12</v>
      </c>
      <c r="B45" s="5" t="s">
        <v>103</v>
      </c>
      <c r="C45" s="46" t="s">
        <v>164</v>
      </c>
      <c r="D45" s="54"/>
      <c r="E45" s="54"/>
      <c r="F45" s="47"/>
      <c r="G45" s="47" t="s">
        <v>105</v>
      </c>
      <c r="H45" s="47" t="s">
        <v>106</v>
      </c>
      <c r="I45" s="5" t="s">
        <v>107</v>
      </c>
    </row>
    <row r="46" spans="1:9" x14ac:dyDescent="0.25">
      <c r="A46" s="49" t="s">
        <v>108</v>
      </c>
      <c r="B46" s="6"/>
      <c r="C46" s="49"/>
      <c r="D46" s="43"/>
      <c r="E46" s="43"/>
      <c r="F46" s="56"/>
      <c r="G46" s="56"/>
      <c r="H46" s="56"/>
      <c r="I46" s="6" t="s">
        <v>109</v>
      </c>
    </row>
    <row r="47" spans="1:9" x14ac:dyDescent="0.25">
      <c r="A47" s="62" t="s">
        <v>72</v>
      </c>
      <c r="B47" s="63"/>
      <c r="C47" s="53" t="s">
        <v>110</v>
      </c>
      <c r="D47" s="159"/>
      <c r="E47" s="159"/>
      <c r="F47" s="47"/>
      <c r="G47" s="47"/>
      <c r="H47" s="47"/>
      <c r="I47" s="5"/>
    </row>
    <row r="48" spans="1:9" x14ac:dyDescent="0.25">
      <c r="A48" s="185">
        <v>1</v>
      </c>
      <c r="B48" s="6" t="s">
        <v>298</v>
      </c>
      <c r="C48" s="49" t="s">
        <v>299</v>
      </c>
      <c r="D48" s="43"/>
      <c r="E48" s="43"/>
      <c r="F48" s="56"/>
      <c r="G48" s="56" t="s">
        <v>300</v>
      </c>
      <c r="H48" s="56">
        <v>1</v>
      </c>
      <c r="I48" s="6">
        <v>2192.4699999999998</v>
      </c>
    </row>
    <row r="49" spans="1:9" x14ac:dyDescent="0.25">
      <c r="A49" s="186" t="s">
        <v>114</v>
      </c>
      <c r="B49" s="65">
        <v>43367</v>
      </c>
      <c r="C49" s="49" t="s">
        <v>301</v>
      </c>
      <c r="D49" s="43"/>
      <c r="E49" s="4"/>
      <c r="F49" s="56"/>
      <c r="G49" s="32" t="s">
        <v>255</v>
      </c>
      <c r="H49" s="56">
        <v>2</v>
      </c>
      <c r="I49" s="6">
        <v>2800</v>
      </c>
    </row>
    <row r="50" spans="1:9" x14ac:dyDescent="0.25">
      <c r="A50" s="64" t="s">
        <v>170</v>
      </c>
      <c r="B50" s="65">
        <v>43370</v>
      </c>
      <c r="C50" s="49" t="s">
        <v>301</v>
      </c>
      <c r="D50" s="43"/>
      <c r="E50" s="4"/>
      <c r="F50" s="56"/>
      <c r="G50" s="32" t="s">
        <v>255</v>
      </c>
      <c r="H50" s="56">
        <v>5</v>
      </c>
      <c r="I50" s="6">
        <v>6500</v>
      </c>
    </row>
    <row r="51" spans="1:9" x14ac:dyDescent="0.25">
      <c r="A51" s="64" t="s">
        <v>173</v>
      </c>
      <c r="B51" s="65">
        <v>43404</v>
      </c>
      <c r="C51" s="49" t="s">
        <v>168</v>
      </c>
      <c r="D51" s="43"/>
      <c r="E51" s="4"/>
      <c r="F51" s="56"/>
      <c r="G51" s="32" t="s">
        <v>169</v>
      </c>
      <c r="H51" s="56">
        <v>50</v>
      </c>
      <c r="I51" s="6">
        <v>19207.54</v>
      </c>
    </row>
    <row r="52" spans="1:9" x14ac:dyDescent="0.25">
      <c r="A52" s="66"/>
      <c r="B52" s="17"/>
      <c r="C52" s="14" t="s">
        <v>117</v>
      </c>
      <c r="D52" s="13"/>
      <c r="E52" s="13"/>
      <c r="F52" s="67"/>
      <c r="G52" s="18"/>
      <c r="H52" s="67"/>
      <c r="I52" s="11">
        <f>SUM(I47:I51)</f>
        <v>30700.010000000002</v>
      </c>
    </row>
    <row r="53" spans="1:9" x14ac:dyDescent="0.25">
      <c r="A53" s="43"/>
      <c r="B53" s="43"/>
      <c r="C53" s="43"/>
      <c r="D53" s="43"/>
      <c r="E53" s="43"/>
      <c r="F53" s="43"/>
      <c r="G53" s="19"/>
      <c r="H53" s="43"/>
      <c r="I53" s="43"/>
    </row>
    <row r="54" spans="1:9" x14ac:dyDescent="0.25">
      <c r="A54" s="43"/>
      <c r="B54" s="4"/>
      <c r="C54" s="4"/>
      <c r="D54" s="43"/>
      <c r="E54" s="43"/>
      <c r="F54" s="43"/>
      <c r="G54" s="43"/>
      <c r="H54" s="43"/>
      <c r="I54" s="43"/>
    </row>
    <row r="55" spans="1:9" x14ac:dyDescent="0.25">
      <c r="A55" s="68"/>
      <c r="B55" s="43"/>
      <c r="C55" s="4"/>
      <c r="D55" s="4"/>
      <c r="E55" s="4"/>
      <c r="F55" s="4"/>
      <c r="G55" s="4"/>
      <c r="H55" s="4"/>
      <c r="I55" s="4"/>
    </row>
    <row r="56" spans="1:9" x14ac:dyDescent="0.25">
      <c r="A56" s="2" t="s">
        <v>302</v>
      </c>
      <c r="B56" s="2"/>
      <c r="C56" s="2" t="s">
        <v>72</v>
      </c>
      <c r="D56" s="2" t="s">
        <v>119</v>
      </c>
      <c r="E56" s="2"/>
      <c r="F56" s="2" t="s">
        <v>120</v>
      </c>
      <c r="G56" s="2"/>
      <c r="H56" s="2" t="s">
        <v>121</v>
      </c>
      <c r="I56" s="2" t="s">
        <v>122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7" workbookViewId="0">
      <selection activeCell="G18" sqref="G18:G19"/>
    </sheetView>
  </sheetViews>
  <sheetFormatPr defaultRowHeight="15" x14ac:dyDescent="0.25"/>
  <cols>
    <col min="1" max="1" width="3.85546875" customWidth="1"/>
    <col min="2" max="2" width="33.42578125" customWidth="1"/>
    <col min="3" max="3" width="14.5703125" customWidth="1"/>
    <col min="4" max="4" width="13.42578125" customWidth="1"/>
    <col min="5" max="5" width="11.140625" customWidth="1"/>
    <col min="6" max="6" width="11.7109375" customWidth="1"/>
    <col min="7" max="7" width="9.42578125" bestFit="1" customWidth="1"/>
    <col min="8" max="8" width="12.140625" customWidth="1"/>
    <col min="9" max="9" width="16.5703125" customWidth="1"/>
  </cols>
  <sheetData>
    <row r="1" spans="1:9" x14ac:dyDescent="0.25">
      <c r="A1" s="1" t="s">
        <v>303</v>
      </c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304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305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306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307</v>
      </c>
      <c r="H15" s="6" t="s">
        <v>67</v>
      </c>
      <c r="I15" s="6" t="s">
        <v>31</v>
      </c>
    </row>
    <row r="16" spans="1:9" x14ac:dyDescent="0.25">
      <c r="A16" s="6"/>
      <c r="B16" s="6"/>
      <c r="C16" s="6" t="s">
        <v>308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309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159" t="s">
        <v>72</v>
      </c>
      <c r="E18" s="160" t="s">
        <v>72</v>
      </c>
      <c r="F18" s="63" t="s">
        <v>72</v>
      </c>
      <c r="G18" s="63"/>
      <c r="H18" s="53" t="s">
        <v>72</v>
      </c>
      <c r="I18" s="160"/>
    </row>
    <row r="19" spans="1:9" x14ac:dyDescent="0.25">
      <c r="A19" s="14"/>
      <c r="B19" s="11" t="s">
        <v>187</v>
      </c>
      <c r="C19" s="11">
        <v>8.9600000000000009</v>
      </c>
      <c r="D19" s="161">
        <v>3952.44</v>
      </c>
      <c r="E19" s="11">
        <v>187815.72</v>
      </c>
      <c r="F19" s="11">
        <v>183800.77</v>
      </c>
      <c r="G19" s="11">
        <f>E19</f>
        <v>187815.72</v>
      </c>
      <c r="H19" s="15">
        <f>D19+F19-G19</f>
        <v>-62.510000000009313</v>
      </c>
      <c r="I19" s="16">
        <f>H19</f>
        <v>-62.510000000009313</v>
      </c>
    </row>
    <row r="20" spans="1:9" x14ac:dyDescent="0.25">
      <c r="A20" s="6" t="s">
        <v>36</v>
      </c>
      <c r="B20" s="17" t="s">
        <v>37</v>
      </c>
      <c r="C20" s="17">
        <v>3.08</v>
      </c>
      <c r="D20" s="162"/>
      <c r="E20" s="187">
        <f>E19*34.4%</f>
        <v>64608.607679999994</v>
      </c>
      <c r="F20" s="20">
        <f>F19*34.4%</f>
        <v>63227.464879999992</v>
      </c>
      <c r="G20" s="6">
        <f>E20</f>
        <v>64608.607679999994</v>
      </c>
      <c r="H20" s="162"/>
      <c r="I20" s="21"/>
    </row>
    <row r="21" spans="1:9" x14ac:dyDescent="0.25">
      <c r="A21" s="31" t="s">
        <v>38</v>
      </c>
      <c r="B21" s="8" t="s">
        <v>188</v>
      </c>
      <c r="C21" s="8">
        <v>1.47</v>
      </c>
      <c r="D21" s="28"/>
      <c r="E21" s="30">
        <f>E19*16.4%</f>
        <v>30801.778079999996</v>
      </c>
      <c r="F21" s="29">
        <f>F19*16.4%</f>
        <v>30143.326279999994</v>
      </c>
      <c r="G21" s="30">
        <f>E21</f>
        <v>30801.778079999996</v>
      </c>
      <c r="H21" s="28"/>
      <c r="I21" s="30"/>
    </row>
    <row r="22" spans="1:9" x14ac:dyDescent="0.25">
      <c r="A22" s="17"/>
      <c r="B22" s="17" t="s">
        <v>189</v>
      </c>
      <c r="C22" s="17"/>
      <c r="D22" s="162"/>
      <c r="E22" s="17"/>
      <c r="F22" s="20"/>
      <c r="G22" s="17"/>
      <c r="H22" s="162"/>
      <c r="I22" s="21"/>
    </row>
    <row r="23" spans="1:9" x14ac:dyDescent="0.25">
      <c r="A23" s="22" t="s">
        <v>40</v>
      </c>
      <c r="B23" s="5" t="s">
        <v>41</v>
      </c>
      <c r="C23" s="5">
        <v>1.81</v>
      </c>
      <c r="D23" s="19"/>
      <c r="E23" s="33">
        <f>E19*20.2%</f>
        <v>37938.775439999998</v>
      </c>
      <c r="F23" s="25">
        <f>F19*20.2%</f>
        <v>37127.755539999998</v>
      </c>
      <c r="G23" s="26">
        <f>E23</f>
        <v>37938.775439999998</v>
      </c>
      <c r="H23" s="19"/>
      <c r="I23" s="30"/>
    </row>
    <row r="24" spans="1:9" x14ac:dyDescent="0.25">
      <c r="A24" s="22" t="s">
        <v>42</v>
      </c>
      <c r="B24" s="5" t="s">
        <v>43</v>
      </c>
      <c r="C24" s="5">
        <v>2.6</v>
      </c>
      <c r="D24" s="24"/>
      <c r="E24" s="30">
        <f>E19*29%</f>
        <v>54466.558799999999</v>
      </c>
      <c r="F24" s="30">
        <f>F19*29/100</f>
        <v>53302.223299999998</v>
      </c>
      <c r="G24" s="29">
        <f>E24</f>
        <v>54466.558799999999</v>
      </c>
      <c r="H24" s="30"/>
      <c r="I24" s="27"/>
    </row>
    <row r="25" spans="1:9" x14ac:dyDescent="0.25">
      <c r="A25" s="31" t="s">
        <v>44</v>
      </c>
      <c r="B25" s="8" t="s">
        <v>276</v>
      </c>
      <c r="C25" s="7" t="s">
        <v>48</v>
      </c>
      <c r="D25" s="38">
        <v>-1249.6500000000001</v>
      </c>
      <c r="E25" s="17">
        <v>13136.16</v>
      </c>
      <c r="F25" s="17">
        <v>13157.73</v>
      </c>
      <c r="G25" s="50">
        <f>E25</f>
        <v>13136.16</v>
      </c>
      <c r="H25" s="20">
        <f>D25+F25-E25</f>
        <v>-1228.08</v>
      </c>
      <c r="I25" s="17">
        <f>H25</f>
        <v>-1228.08</v>
      </c>
    </row>
    <row r="26" spans="1:9" x14ac:dyDescent="0.25">
      <c r="A26" s="10" t="s">
        <v>49</v>
      </c>
      <c r="B26" s="10" t="s">
        <v>50</v>
      </c>
      <c r="C26" s="36">
        <v>4.5999999999999996</v>
      </c>
      <c r="D26" s="14">
        <v>-7891.1</v>
      </c>
      <c r="E26" s="10">
        <v>96423.360000000001</v>
      </c>
      <c r="F26" s="10">
        <v>96446.46</v>
      </c>
      <c r="G26" s="13">
        <f>E26</f>
        <v>96423.360000000001</v>
      </c>
      <c r="H26" s="14">
        <f>D26+F26-G26</f>
        <v>-7868</v>
      </c>
      <c r="I26" s="38">
        <f>H26</f>
        <v>-7868</v>
      </c>
    </row>
    <row r="27" spans="1:9" x14ac:dyDescent="0.25">
      <c r="A27" s="10" t="s">
        <v>51</v>
      </c>
      <c r="B27" s="10" t="s">
        <v>310</v>
      </c>
      <c r="C27" s="13">
        <v>1.82</v>
      </c>
      <c r="D27" s="14">
        <v>42959.62</v>
      </c>
      <c r="E27" s="10">
        <v>38150.04</v>
      </c>
      <c r="F27" s="10">
        <f>F28+F29</f>
        <v>37206.480000000003</v>
      </c>
      <c r="G27" s="10">
        <f>I60</f>
        <v>1914</v>
      </c>
      <c r="H27" s="36">
        <f>D27+F27-G27</f>
        <v>78252.100000000006</v>
      </c>
      <c r="I27" s="38"/>
    </row>
    <row r="28" spans="1:9" x14ac:dyDescent="0.25">
      <c r="A28" s="11"/>
      <c r="B28" s="8" t="s">
        <v>53</v>
      </c>
      <c r="C28" s="13"/>
      <c r="D28" s="14"/>
      <c r="E28" s="39"/>
      <c r="F28" s="39">
        <v>38169.97</v>
      </c>
      <c r="G28" s="4"/>
      <c r="H28" s="55"/>
      <c r="I28" s="41"/>
    </row>
    <row r="29" spans="1:9" x14ac:dyDescent="0.25">
      <c r="A29" s="11"/>
      <c r="B29" s="17" t="s">
        <v>58</v>
      </c>
      <c r="C29" s="13"/>
      <c r="D29" s="14"/>
      <c r="E29" s="10"/>
      <c r="F29" s="10">
        <v>-963.49</v>
      </c>
      <c r="G29" s="35"/>
      <c r="H29" s="36"/>
      <c r="I29" s="38"/>
    </row>
    <row r="30" spans="1:9" x14ac:dyDescent="0.25">
      <c r="A30" s="10" t="s">
        <v>56</v>
      </c>
      <c r="B30" s="10" t="s">
        <v>311</v>
      </c>
      <c r="C30" s="13">
        <v>0</v>
      </c>
      <c r="D30" s="36">
        <v>-963.49</v>
      </c>
      <c r="E30" s="10">
        <v>0</v>
      </c>
      <c r="F30" s="10">
        <v>-963.49</v>
      </c>
      <c r="G30" s="35">
        <v>0</v>
      </c>
      <c r="H30" s="36">
        <v>0</v>
      </c>
      <c r="I30" s="38">
        <f>H30</f>
        <v>0</v>
      </c>
    </row>
    <row r="31" spans="1:9" x14ac:dyDescent="0.25">
      <c r="A31" s="8"/>
      <c r="B31" s="8" t="s">
        <v>53</v>
      </c>
      <c r="C31" s="9">
        <v>0</v>
      </c>
      <c r="D31" s="7">
        <v>0</v>
      </c>
      <c r="E31" s="8">
        <v>0</v>
      </c>
      <c r="F31" s="8">
        <v>0</v>
      </c>
      <c r="G31" s="9">
        <v>0</v>
      </c>
      <c r="H31" s="7">
        <v>0</v>
      </c>
      <c r="I31" s="30"/>
    </row>
    <row r="32" spans="1:9" x14ac:dyDescent="0.25">
      <c r="A32" s="8"/>
      <c r="B32" s="17" t="s">
        <v>58</v>
      </c>
      <c r="C32" s="9">
        <v>0</v>
      </c>
      <c r="D32" s="7">
        <v>0</v>
      </c>
      <c r="E32" s="8">
        <v>0</v>
      </c>
      <c r="F32" s="8">
        <v>-963.49</v>
      </c>
      <c r="G32" s="9">
        <v>0</v>
      </c>
      <c r="H32" s="7">
        <v>0</v>
      </c>
      <c r="I32" s="21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63" t="s">
        <v>60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30">
        <v>20492.96</v>
      </c>
      <c r="D37" s="8">
        <v>6000</v>
      </c>
      <c r="E37" s="162">
        <f>D37*15%</f>
        <v>900</v>
      </c>
      <c r="F37" s="21">
        <f>C37+D37-D37*15%</f>
        <v>25592.959999999999</v>
      </c>
      <c r="G37" s="21"/>
      <c r="H37" s="162">
        <f>F37</f>
        <v>25592.959999999999</v>
      </c>
      <c r="I37" s="51"/>
    </row>
    <row r="38" spans="1:9" x14ac:dyDescent="0.25">
      <c r="A38" s="1" t="s">
        <v>248</v>
      </c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2"/>
      <c r="B39" s="2"/>
      <c r="C39" s="2"/>
      <c r="E39" s="2"/>
      <c r="F39" s="2"/>
      <c r="G39" s="2"/>
      <c r="H39" s="2"/>
      <c r="I39" s="2"/>
    </row>
    <row r="40" spans="1:9" x14ac:dyDescent="0.25">
      <c r="A40" s="63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249</v>
      </c>
      <c r="H40" s="54" t="s">
        <v>79</v>
      </c>
      <c r="I40" s="5" t="s">
        <v>19</v>
      </c>
    </row>
    <row r="41" spans="1:9" x14ac:dyDescent="0.25">
      <c r="A41" s="39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39"/>
      <c r="B42" s="55"/>
      <c r="C42" s="6"/>
      <c r="D42" s="43"/>
      <c r="E42" s="6"/>
      <c r="F42" s="43" t="s">
        <v>88</v>
      </c>
      <c r="G42" s="6" t="s">
        <v>89</v>
      </c>
      <c r="H42" s="43"/>
      <c r="I42" s="6" t="s">
        <v>30</v>
      </c>
    </row>
    <row r="43" spans="1:9" x14ac:dyDescent="0.25">
      <c r="A43" s="17"/>
      <c r="B43" s="50"/>
      <c r="C43" s="17"/>
      <c r="D43" s="61"/>
      <c r="E43" s="17"/>
      <c r="F43" s="61"/>
      <c r="G43" s="17"/>
      <c r="H43" s="61"/>
      <c r="I43" s="17"/>
    </row>
    <row r="44" spans="1:9" x14ac:dyDescent="0.25">
      <c r="A44" s="17"/>
      <c r="B44" s="17"/>
      <c r="C44" s="13"/>
      <c r="D44" s="50"/>
      <c r="E44" s="17"/>
      <c r="F44" s="17"/>
      <c r="G44" s="50"/>
      <c r="H44" s="50"/>
      <c r="I44" s="17"/>
    </row>
    <row r="45" spans="1:9" x14ac:dyDescent="0.25">
      <c r="A45" s="5">
        <v>1</v>
      </c>
      <c r="B45" s="5" t="s">
        <v>91</v>
      </c>
      <c r="C45" s="159" t="s">
        <v>92</v>
      </c>
      <c r="D45" s="6">
        <v>-13167.97</v>
      </c>
      <c r="E45" s="188">
        <v>137221.94</v>
      </c>
      <c r="F45" s="5">
        <v>133954.88</v>
      </c>
      <c r="G45" s="43">
        <f>E45</f>
        <v>137221.94</v>
      </c>
      <c r="H45" s="6">
        <f>D45+F45-G45</f>
        <v>-16435.03</v>
      </c>
      <c r="I45" s="56">
        <f>H45</f>
        <v>-16435.03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8"/>
      <c r="G46" s="9"/>
      <c r="H46" s="8"/>
      <c r="I46" s="48"/>
    </row>
    <row r="47" spans="1:9" x14ac:dyDescent="0.25">
      <c r="A47" s="6">
        <v>2</v>
      </c>
      <c r="B47" s="6" t="s">
        <v>95</v>
      </c>
      <c r="C47" s="1" t="s">
        <v>96</v>
      </c>
      <c r="D47" s="6">
        <v>-46770.34</v>
      </c>
      <c r="E47" s="2">
        <v>244284.94</v>
      </c>
      <c r="F47" s="6">
        <v>241958.09</v>
      </c>
      <c r="G47" s="17">
        <f>E47</f>
        <v>244284.94</v>
      </c>
      <c r="H47" s="6">
        <f>D47+F47-G47</f>
        <v>-49097.19</v>
      </c>
      <c r="I47" s="56">
        <f>H47</f>
        <v>-49097.19</v>
      </c>
    </row>
    <row r="48" spans="1:9" x14ac:dyDescent="0.25">
      <c r="A48" s="8"/>
      <c r="B48" s="8" t="s">
        <v>97</v>
      </c>
      <c r="C48" s="35"/>
      <c r="D48" s="5"/>
      <c r="E48" s="9"/>
      <c r="F48" s="8"/>
      <c r="G48" s="8"/>
      <c r="H48" s="5"/>
      <c r="I48" s="47"/>
    </row>
    <row r="49" spans="1:9" x14ac:dyDescent="0.25">
      <c r="A49" s="8"/>
      <c r="B49" s="8" t="s">
        <v>313</v>
      </c>
      <c r="C49" s="35" t="s">
        <v>94</v>
      </c>
      <c r="D49" s="5"/>
      <c r="E49" s="9"/>
      <c r="F49" s="8"/>
      <c r="G49" s="43"/>
      <c r="H49" s="5"/>
      <c r="I49" s="47"/>
    </row>
    <row r="50" spans="1:9" x14ac:dyDescent="0.25">
      <c r="A50" s="8">
        <v>3</v>
      </c>
      <c r="B50" s="8" t="s">
        <v>99</v>
      </c>
      <c r="C50" s="35" t="s">
        <v>100</v>
      </c>
      <c r="D50" s="8">
        <v>-144878.53</v>
      </c>
      <c r="E50" s="9">
        <v>631438.47</v>
      </c>
      <c r="F50" s="8">
        <v>625715.77</v>
      </c>
      <c r="G50" s="8">
        <f>E50</f>
        <v>631438.47</v>
      </c>
      <c r="H50" s="8">
        <f>D50+F50-G50</f>
        <v>-150601.22999999998</v>
      </c>
      <c r="I50" s="8">
        <f>H50</f>
        <v>-150601.22999999998</v>
      </c>
    </row>
    <row r="51" spans="1:9" x14ac:dyDescent="0.25">
      <c r="A51" s="1" t="s">
        <v>251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" t="s">
        <v>252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46" t="s">
        <v>12</v>
      </c>
      <c r="B53" s="5" t="s">
        <v>103</v>
      </c>
      <c r="C53" s="46" t="s">
        <v>104</v>
      </c>
      <c r="D53" s="54"/>
      <c r="E53" s="54"/>
      <c r="F53" s="47"/>
      <c r="G53" s="5" t="s">
        <v>105</v>
      </c>
      <c r="H53" s="47" t="s">
        <v>106</v>
      </c>
      <c r="I53" s="5" t="s">
        <v>107</v>
      </c>
    </row>
    <row r="54" spans="1:9" x14ac:dyDescent="0.25">
      <c r="A54" s="49" t="s">
        <v>108</v>
      </c>
      <c r="B54" s="6"/>
      <c r="C54" s="49"/>
      <c r="D54" s="43"/>
      <c r="E54" s="43"/>
      <c r="F54" s="56"/>
      <c r="G54" s="6"/>
      <c r="H54" s="56"/>
      <c r="I54" s="6" t="s">
        <v>109</v>
      </c>
    </row>
    <row r="55" spans="1:9" x14ac:dyDescent="0.25">
      <c r="A55" s="49"/>
      <c r="B55" s="6"/>
      <c r="C55" s="49"/>
      <c r="D55" s="43"/>
      <c r="E55" s="43"/>
      <c r="F55" s="56"/>
      <c r="G55" s="6"/>
      <c r="H55" s="56"/>
      <c r="I55" s="6"/>
    </row>
    <row r="56" spans="1:9" x14ac:dyDescent="0.25">
      <c r="A56" s="49"/>
      <c r="B56" s="17"/>
      <c r="C56" s="50"/>
      <c r="D56" s="61"/>
      <c r="E56" s="61"/>
      <c r="F56" s="51"/>
      <c r="G56" s="6"/>
      <c r="H56" s="56"/>
      <c r="I56" s="17"/>
    </row>
    <row r="57" spans="1:9" x14ac:dyDescent="0.25">
      <c r="A57" s="62"/>
      <c r="B57" s="63"/>
      <c r="C57" s="53" t="s">
        <v>110</v>
      </c>
      <c r="D57" s="159"/>
      <c r="E57" s="159"/>
      <c r="F57" s="54"/>
      <c r="G57" s="5"/>
      <c r="H57" s="47"/>
      <c r="I57" s="5"/>
    </row>
    <row r="58" spans="1:9" x14ac:dyDescent="0.25">
      <c r="A58" s="64" t="s">
        <v>111</v>
      </c>
      <c r="B58" s="65">
        <v>43463</v>
      </c>
      <c r="C58" s="49" t="s">
        <v>314</v>
      </c>
      <c r="D58" s="43"/>
      <c r="E58" s="43"/>
      <c r="F58" s="43"/>
      <c r="G58" s="26" t="s">
        <v>205</v>
      </c>
      <c r="H58" s="56">
        <v>2</v>
      </c>
      <c r="I58" s="6">
        <v>1914</v>
      </c>
    </row>
    <row r="59" spans="1:9" x14ac:dyDescent="0.25">
      <c r="A59" s="64"/>
      <c r="B59" s="65"/>
      <c r="C59" s="49"/>
      <c r="D59" s="43"/>
      <c r="E59" s="43"/>
      <c r="F59" s="43"/>
      <c r="G59" s="26"/>
      <c r="H59" s="56"/>
      <c r="I59" s="6"/>
    </row>
    <row r="60" spans="1:9" x14ac:dyDescent="0.25">
      <c r="A60" s="66"/>
      <c r="B60" s="17"/>
      <c r="C60" s="14" t="s">
        <v>117</v>
      </c>
      <c r="D60" s="13"/>
      <c r="E60" s="13"/>
      <c r="F60" s="13"/>
      <c r="G60" s="16"/>
      <c r="H60" s="67"/>
      <c r="I60" s="11">
        <f>SUM(I57:I59)</f>
        <v>1914</v>
      </c>
    </row>
    <row r="61" spans="1:9" x14ac:dyDescent="0.25">
      <c r="A61" s="43"/>
      <c r="B61" s="43"/>
      <c r="C61" s="43"/>
      <c r="D61" s="43"/>
      <c r="E61" s="43"/>
      <c r="F61" s="43"/>
      <c r="G61" s="19"/>
      <c r="H61" s="43"/>
      <c r="I61" s="43"/>
    </row>
    <row r="62" spans="1:9" x14ac:dyDescent="0.25">
      <c r="A62" s="68"/>
      <c r="B62" s="43"/>
      <c r="C62" s="4"/>
      <c r="D62" s="4"/>
      <c r="E62" s="4"/>
      <c r="F62" s="4"/>
      <c r="G62" s="165"/>
      <c r="H62" s="4"/>
      <c r="I62" s="4"/>
    </row>
    <row r="63" spans="1:9" x14ac:dyDescent="0.25">
      <c r="A63" s="68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2" t="s">
        <v>315</v>
      </c>
      <c r="B64" s="2"/>
      <c r="C64" s="189" t="s">
        <v>119</v>
      </c>
      <c r="E64" s="2" t="s">
        <v>120</v>
      </c>
      <c r="G64" s="2" t="s">
        <v>264</v>
      </c>
      <c r="H64" s="2"/>
      <c r="I64" s="2" t="s">
        <v>265</v>
      </c>
    </row>
    <row r="65" spans="1:9" x14ac:dyDescent="0.25">
      <c r="A65" s="2"/>
      <c r="B65" s="2"/>
    </row>
    <row r="66" spans="1:9" x14ac:dyDescent="0.25">
      <c r="A66" s="43"/>
      <c r="B66" s="43"/>
      <c r="C66" s="43"/>
      <c r="D66" s="43"/>
      <c r="E66" s="43"/>
      <c r="F66" s="43"/>
      <c r="G66" s="43"/>
      <c r="H66" s="43"/>
      <c r="I66" s="43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4" workbookViewId="0">
      <selection activeCell="B35" sqref="B35"/>
    </sheetView>
  </sheetViews>
  <sheetFormatPr defaultRowHeight="15" x14ac:dyDescent="0.25"/>
  <cols>
    <col min="1" max="1" width="5.85546875" customWidth="1"/>
    <col min="2" max="2" width="31.28515625" customWidth="1"/>
    <col min="3" max="3" width="13.140625" customWidth="1"/>
    <col min="6" max="6" width="14.140625" customWidth="1"/>
    <col min="8" max="8" width="12.7109375" customWidth="1"/>
    <col min="9" max="9" width="19" customWidth="1"/>
  </cols>
  <sheetData>
    <row r="1" spans="1:9" x14ac:dyDescent="0.25">
      <c r="A1" s="1" t="s">
        <v>316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2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317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318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319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320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321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7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5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5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56"/>
      <c r="B15" s="6"/>
      <c r="C15" s="6" t="s">
        <v>322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48">
        <v>1</v>
      </c>
      <c r="B16" s="8">
        <v>2</v>
      </c>
      <c r="C16" s="9">
        <v>3</v>
      </c>
      <c r="D16" s="8">
        <v>4</v>
      </c>
      <c r="E16" s="8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3">
        <v>1</v>
      </c>
      <c r="B17" s="11" t="s">
        <v>323</v>
      </c>
      <c r="C17" s="13">
        <v>8.9600000000000009</v>
      </c>
      <c r="D17" s="16">
        <v>-13636.44</v>
      </c>
      <c r="E17" s="11">
        <v>611261.64</v>
      </c>
      <c r="F17" s="67">
        <v>589809.22</v>
      </c>
      <c r="G17" s="162">
        <f t="shared" ref="G17:G26" si="0">E17</f>
        <v>611261.64</v>
      </c>
      <c r="H17" s="16">
        <f>D17+F17-G17</f>
        <v>-35088.859999999986</v>
      </c>
      <c r="I17" s="16">
        <f>H17</f>
        <v>-35088.859999999986</v>
      </c>
    </row>
    <row r="18" spans="1:9" x14ac:dyDescent="0.25">
      <c r="A18" s="56" t="s">
        <v>36</v>
      </c>
      <c r="B18" s="17" t="s">
        <v>37</v>
      </c>
      <c r="C18" s="61">
        <v>3.08</v>
      </c>
      <c r="D18" s="21" t="s">
        <v>72</v>
      </c>
      <c r="E18" s="162">
        <f>E17*34.4%</f>
        <v>210274.00415999998</v>
      </c>
      <c r="F18" s="21">
        <f>F17*34.4%</f>
        <v>202894.37167999998</v>
      </c>
      <c r="G18" s="162">
        <f t="shared" si="0"/>
        <v>210274.00415999998</v>
      </c>
      <c r="H18" s="26" t="s">
        <v>72</v>
      </c>
      <c r="I18" s="21" t="s">
        <v>72</v>
      </c>
    </row>
    <row r="19" spans="1:9" x14ac:dyDescent="0.25">
      <c r="A19" s="190" t="s">
        <v>38</v>
      </c>
      <c r="B19" s="5" t="s">
        <v>39</v>
      </c>
      <c r="C19" s="54">
        <v>1.47</v>
      </c>
      <c r="D19" s="33"/>
      <c r="E19" s="24">
        <f>E17*16.4%</f>
        <v>100246.90895999999</v>
      </c>
      <c r="F19" s="33">
        <f>F17*16.4%</f>
        <v>96728.712079999983</v>
      </c>
      <c r="G19" s="162">
        <f t="shared" si="0"/>
        <v>100246.90895999999</v>
      </c>
      <c r="H19" s="30"/>
      <c r="I19" s="33"/>
    </row>
    <row r="20" spans="1:9" x14ac:dyDescent="0.25">
      <c r="A20" s="190" t="s">
        <v>40</v>
      </c>
      <c r="B20" s="5" t="s">
        <v>41</v>
      </c>
      <c r="C20" s="54">
        <v>1.81</v>
      </c>
      <c r="D20" s="33"/>
      <c r="E20" s="24">
        <f>E17*20.2%</f>
        <v>123474.85127999999</v>
      </c>
      <c r="F20" s="33">
        <f>F17*20.2%</f>
        <v>119141.46243999999</v>
      </c>
      <c r="G20" s="162">
        <f t="shared" si="0"/>
        <v>123474.85127999999</v>
      </c>
      <c r="H20" s="26"/>
      <c r="I20" s="33"/>
    </row>
    <row r="21" spans="1:9" x14ac:dyDescent="0.25">
      <c r="A21" s="191" t="s">
        <v>42</v>
      </c>
      <c r="B21" s="8" t="s">
        <v>43</v>
      </c>
      <c r="C21" s="9">
        <v>2.6</v>
      </c>
      <c r="D21" s="30"/>
      <c r="E21" s="28">
        <f>E17*29%</f>
        <v>177265.8756</v>
      </c>
      <c r="F21" s="30">
        <f>F17*29%</f>
        <v>171044.67379999999</v>
      </c>
      <c r="G21" s="162">
        <f t="shared" si="0"/>
        <v>177265.8756</v>
      </c>
      <c r="H21" s="30"/>
      <c r="I21" s="30"/>
    </row>
    <row r="22" spans="1:9" x14ac:dyDescent="0.25">
      <c r="A22" s="192" t="s">
        <v>44</v>
      </c>
      <c r="B22" s="17" t="s">
        <v>45</v>
      </c>
      <c r="C22" s="61">
        <v>1755.25</v>
      </c>
      <c r="D22" s="21">
        <v>1159.83</v>
      </c>
      <c r="E22" s="162">
        <v>11143.94</v>
      </c>
      <c r="F22" s="21">
        <v>10829.27</v>
      </c>
      <c r="G22" s="162">
        <f>E22</f>
        <v>11143.94</v>
      </c>
      <c r="H22" s="21">
        <f>D22+F22-E22</f>
        <v>845.15999999999985</v>
      </c>
      <c r="I22" s="21"/>
    </row>
    <row r="23" spans="1:9" x14ac:dyDescent="0.25">
      <c r="A23" s="192" t="s">
        <v>46</v>
      </c>
      <c r="B23" s="17" t="s">
        <v>47</v>
      </c>
      <c r="C23" s="13" t="s">
        <v>48</v>
      </c>
      <c r="D23" s="21">
        <v>-12901.57</v>
      </c>
      <c r="E23" s="8">
        <v>108204.08</v>
      </c>
      <c r="F23" s="9">
        <v>104699.82</v>
      </c>
      <c r="G23" s="7">
        <f>E23</f>
        <v>108204.08</v>
      </c>
      <c r="H23" s="30">
        <f>D23+F23-E23</f>
        <v>-16405.830000000002</v>
      </c>
      <c r="I23" s="48">
        <f>H23</f>
        <v>-16405.830000000002</v>
      </c>
    </row>
    <row r="24" spans="1:9" x14ac:dyDescent="0.25">
      <c r="A24" s="67" t="s">
        <v>49</v>
      </c>
      <c r="B24" s="11" t="s">
        <v>140</v>
      </c>
      <c r="C24" s="13">
        <v>3.43</v>
      </c>
      <c r="D24" s="11">
        <v>-41144.61</v>
      </c>
      <c r="E24" s="11">
        <v>232738.3</v>
      </c>
      <c r="F24" s="11">
        <v>225406.9</v>
      </c>
      <c r="G24" s="13">
        <f t="shared" si="0"/>
        <v>232738.3</v>
      </c>
      <c r="H24" s="11">
        <f>D24+F24-G24</f>
        <v>-48476.010000000009</v>
      </c>
      <c r="I24" s="11">
        <f>H24</f>
        <v>-48476.010000000009</v>
      </c>
    </row>
    <row r="25" spans="1:9" x14ac:dyDescent="0.25">
      <c r="A25" s="42" t="s">
        <v>51</v>
      </c>
      <c r="B25" s="10" t="s">
        <v>50</v>
      </c>
      <c r="C25" s="35">
        <v>4.5999999999999996</v>
      </c>
      <c r="D25" s="11">
        <v>-37267.279999999999</v>
      </c>
      <c r="E25" s="35">
        <v>313817.52</v>
      </c>
      <c r="F25" s="10">
        <v>305466.93</v>
      </c>
      <c r="G25" s="35">
        <f t="shared" si="0"/>
        <v>313817.52</v>
      </c>
      <c r="H25" s="63">
        <f>D25+F25-G25</f>
        <v>-45617.869999999995</v>
      </c>
      <c r="I25" s="11">
        <f>H25</f>
        <v>-45617.869999999995</v>
      </c>
    </row>
    <row r="26" spans="1:9" x14ac:dyDescent="0.25">
      <c r="A26" s="42" t="s">
        <v>56</v>
      </c>
      <c r="B26" s="10" t="s">
        <v>191</v>
      </c>
      <c r="C26" s="193">
        <v>1</v>
      </c>
      <c r="D26" s="11">
        <v>3505.58</v>
      </c>
      <c r="E26" s="35">
        <v>45600</v>
      </c>
      <c r="F26" s="10">
        <v>44058.87</v>
      </c>
      <c r="G26" s="35">
        <f t="shared" si="0"/>
        <v>45600</v>
      </c>
      <c r="H26" s="10">
        <f>D26+F26-G26</f>
        <v>1964.4500000000044</v>
      </c>
      <c r="I26" s="11"/>
    </row>
    <row r="27" spans="1:9" x14ac:dyDescent="0.25">
      <c r="A27" s="194" t="s">
        <v>60</v>
      </c>
      <c r="B27" s="11" t="s">
        <v>192</v>
      </c>
      <c r="C27" s="11">
        <v>1.82</v>
      </c>
      <c r="D27" s="11">
        <v>-5167.62</v>
      </c>
      <c r="E27" s="11">
        <v>124162.68</v>
      </c>
      <c r="F27" s="11">
        <f>F28+F29</f>
        <v>125718.47</v>
      </c>
      <c r="G27" s="14">
        <f>G28</f>
        <v>123053.33</v>
      </c>
      <c r="H27" s="11">
        <f>D27+F27-G27</f>
        <v>-2502.4799999999959</v>
      </c>
      <c r="I27" s="11">
        <f>H27</f>
        <v>-2502.4799999999959</v>
      </c>
    </row>
    <row r="28" spans="1:9" x14ac:dyDescent="0.25">
      <c r="A28" s="10"/>
      <c r="B28" s="8" t="s">
        <v>53</v>
      </c>
      <c r="C28" s="13"/>
      <c r="D28" s="11"/>
      <c r="E28" s="13"/>
      <c r="F28" s="11">
        <v>121071.78</v>
      </c>
      <c r="G28" s="13">
        <f>I61</f>
        <v>123053.33</v>
      </c>
      <c r="H28" s="11"/>
      <c r="I28" s="11"/>
    </row>
    <row r="29" spans="1:9" x14ac:dyDescent="0.25">
      <c r="A29" s="42"/>
      <c r="B29" s="8" t="s">
        <v>324</v>
      </c>
      <c r="C29" s="35"/>
      <c r="D29" s="10"/>
      <c r="E29" s="35"/>
      <c r="F29" s="10">
        <v>4646.6899999999996</v>
      </c>
      <c r="G29" s="35"/>
      <c r="H29" s="10"/>
      <c r="I29" s="10"/>
    </row>
    <row r="30" spans="1:9" x14ac:dyDescent="0.25">
      <c r="A30" s="1" t="s">
        <v>59</v>
      </c>
      <c r="B30" s="2"/>
      <c r="C30" s="2"/>
      <c r="E30" s="2"/>
      <c r="F30" s="2"/>
      <c r="G30" s="2"/>
      <c r="H30" s="2"/>
      <c r="I30" s="2"/>
    </row>
    <row r="31" spans="1:9" x14ac:dyDescent="0.25">
      <c r="A31" s="195" t="s">
        <v>193</v>
      </c>
      <c r="B31" s="54" t="s">
        <v>61</v>
      </c>
      <c r="C31" s="5" t="s">
        <v>65</v>
      </c>
      <c r="D31" s="47" t="s">
        <v>63</v>
      </c>
      <c r="E31" s="54" t="s">
        <v>64</v>
      </c>
      <c r="F31" s="5" t="s">
        <v>65</v>
      </c>
      <c r="G31" s="5" t="s">
        <v>151</v>
      </c>
      <c r="H31" s="54" t="s">
        <v>195</v>
      </c>
      <c r="I31" s="47"/>
    </row>
    <row r="32" spans="1:9" x14ac:dyDescent="0.25">
      <c r="A32" s="56"/>
      <c r="B32" s="43"/>
      <c r="C32" s="17" t="s">
        <v>67</v>
      </c>
      <c r="D32" s="51" t="s">
        <v>23</v>
      </c>
      <c r="E32" s="61" t="s">
        <v>312</v>
      </c>
      <c r="F32" s="17" t="s">
        <v>30</v>
      </c>
      <c r="G32" s="17"/>
      <c r="H32" s="61"/>
      <c r="I32" s="51"/>
    </row>
    <row r="33" spans="1:9" x14ac:dyDescent="0.25">
      <c r="A33" s="67"/>
      <c r="B33" s="61" t="s">
        <v>69</v>
      </c>
      <c r="C33" s="30">
        <v>15620.55</v>
      </c>
      <c r="D33" s="8">
        <v>6000</v>
      </c>
      <c r="E33" s="162">
        <f>D33*15%</f>
        <v>900</v>
      </c>
      <c r="F33" s="21">
        <f>C33+D33-E33</f>
        <v>20720.55</v>
      </c>
      <c r="G33" s="21">
        <v>0</v>
      </c>
      <c r="H33" s="162">
        <f>F33</f>
        <v>20720.55</v>
      </c>
      <c r="I33" s="51"/>
    </row>
    <row r="34" spans="1:9" x14ac:dyDescent="0.25">
      <c r="A34" s="4"/>
      <c r="B34" s="43"/>
      <c r="C34" s="19"/>
      <c r="D34" s="43"/>
      <c r="E34" s="19"/>
      <c r="F34" s="19"/>
      <c r="G34" s="19"/>
      <c r="H34" s="19"/>
      <c r="I34" s="43"/>
    </row>
    <row r="35" spans="1:9" x14ac:dyDescent="0.25">
      <c r="A35" s="4" t="s">
        <v>70</v>
      </c>
      <c r="B35" s="4"/>
      <c r="C35" s="4"/>
      <c r="D35" s="52"/>
      <c r="E35" s="4"/>
      <c r="F35" s="4"/>
      <c r="G35" s="4"/>
      <c r="H35" s="4"/>
      <c r="I35" s="4"/>
    </row>
    <row r="36" spans="1:9" x14ac:dyDescent="0.25">
      <c r="A36" s="1" t="s">
        <v>71</v>
      </c>
      <c r="C36" s="1"/>
      <c r="D36" s="1"/>
      <c r="E36" s="4"/>
      <c r="F36" s="4"/>
      <c r="G36" s="4"/>
      <c r="H36" s="4"/>
      <c r="I36" s="4"/>
    </row>
    <row r="37" spans="1:9" x14ac:dyDescent="0.25">
      <c r="A37" s="47" t="s">
        <v>72</v>
      </c>
      <c r="B37" s="53" t="s">
        <v>73</v>
      </c>
      <c r="C37" s="5" t="s">
        <v>74</v>
      </c>
      <c r="D37" s="54" t="s">
        <v>75</v>
      </c>
      <c r="E37" s="5" t="s">
        <v>76</v>
      </c>
      <c r="F37" s="54" t="s">
        <v>77</v>
      </c>
      <c r="G37" s="46" t="s">
        <v>78</v>
      </c>
      <c r="H37" s="5" t="s">
        <v>79</v>
      </c>
      <c r="I37" s="47" t="s">
        <v>19</v>
      </c>
    </row>
    <row r="38" spans="1:9" x14ac:dyDescent="0.25">
      <c r="A38" s="56"/>
      <c r="B38" s="55" t="s">
        <v>80</v>
      </c>
      <c r="C38" s="6" t="s">
        <v>81</v>
      </c>
      <c r="D38" s="43" t="s">
        <v>82</v>
      </c>
      <c r="E38" s="6" t="s">
        <v>83</v>
      </c>
      <c r="F38" s="43" t="s">
        <v>84</v>
      </c>
      <c r="G38" s="49" t="s">
        <v>85</v>
      </c>
      <c r="H38" s="6" t="s">
        <v>86</v>
      </c>
      <c r="I38" s="56" t="s">
        <v>87</v>
      </c>
    </row>
    <row r="39" spans="1:9" x14ac:dyDescent="0.25">
      <c r="A39" s="56"/>
      <c r="B39" s="49"/>
      <c r="C39" s="6"/>
      <c r="D39" s="43"/>
      <c r="E39" s="6"/>
      <c r="F39" s="43" t="s">
        <v>88</v>
      </c>
      <c r="G39" s="49" t="s">
        <v>89</v>
      </c>
      <c r="H39" s="6" t="s">
        <v>33</v>
      </c>
      <c r="I39" s="56" t="s">
        <v>325</v>
      </c>
    </row>
    <row r="40" spans="1:9" x14ac:dyDescent="0.25">
      <c r="A40" s="8"/>
      <c r="B40" s="9"/>
      <c r="C40" s="8"/>
      <c r="D40" s="9"/>
      <c r="E40" s="8"/>
      <c r="F40" s="9"/>
      <c r="G40" s="7"/>
      <c r="H40" s="8"/>
      <c r="I40" s="48"/>
    </row>
    <row r="41" spans="1:9" x14ac:dyDescent="0.25">
      <c r="A41" s="48">
        <v>1</v>
      </c>
      <c r="B41" s="9" t="s">
        <v>91</v>
      </c>
      <c r="C41" s="10" t="s">
        <v>92</v>
      </c>
      <c r="D41" s="8">
        <v>-58028.75</v>
      </c>
      <c r="E41" s="196">
        <v>454798.12</v>
      </c>
      <c r="F41" s="8">
        <v>443047.09</v>
      </c>
      <c r="G41" s="7">
        <f>E41</f>
        <v>454798.12</v>
      </c>
      <c r="H41" s="8">
        <f>D41-E41+F41</f>
        <v>-69779.77999999997</v>
      </c>
      <c r="I41" s="8">
        <f>H41</f>
        <v>-69779.77999999997</v>
      </c>
    </row>
    <row r="42" spans="1:9" x14ac:dyDescent="0.25">
      <c r="A42" s="8"/>
      <c r="B42" s="9" t="s">
        <v>93</v>
      </c>
      <c r="C42" s="10" t="s">
        <v>94</v>
      </c>
      <c r="D42" s="8"/>
      <c r="E42" s="59"/>
      <c r="F42" s="8"/>
      <c r="G42" s="9"/>
      <c r="H42" s="8"/>
      <c r="I42" s="48"/>
    </row>
    <row r="43" spans="1:9" x14ac:dyDescent="0.25">
      <c r="A43" s="56">
        <v>2</v>
      </c>
      <c r="B43" s="6" t="s">
        <v>160</v>
      </c>
      <c r="C43" s="1" t="s">
        <v>96</v>
      </c>
      <c r="D43" s="6">
        <v>-173714.77</v>
      </c>
      <c r="E43" s="2">
        <v>713142.93</v>
      </c>
      <c r="F43" s="6">
        <v>713077.77</v>
      </c>
      <c r="G43" s="43">
        <f>E43</f>
        <v>713142.93</v>
      </c>
      <c r="H43" s="6">
        <f>D43-E43+F43</f>
        <v>-173779.93000000005</v>
      </c>
      <c r="I43" s="56">
        <f>H43</f>
        <v>-173779.93000000005</v>
      </c>
    </row>
    <row r="44" spans="1:9" x14ac:dyDescent="0.25">
      <c r="A44" s="8"/>
      <c r="B44" s="8" t="s">
        <v>198</v>
      </c>
      <c r="C44" s="35" t="s">
        <v>94</v>
      </c>
      <c r="D44" s="8"/>
      <c r="E44" s="9"/>
      <c r="F44" s="8"/>
      <c r="G44" s="9"/>
      <c r="H44" s="8"/>
      <c r="I44" s="48"/>
    </row>
    <row r="45" spans="1:9" x14ac:dyDescent="0.25">
      <c r="A45" s="48">
        <v>3</v>
      </c>
      <c r="B45" s="8" t="s">
        <v>99</v>
      </c>
      <c r="C45" s="35" t="s">
        <v>100</v>
      </c>
      <c r="D45" s="8">
        <v>-547112.26</v>
      </c>
      <c r="E45" s="9">
        <v>1617844.08</v>
      </c>
      <c r="F45" s="8">
        <v>1534655.3</v>
      </c>
      <c r="G45" s="7">
        <f>E45</f>
        <v>1617844.08</v>
      </c>
      <c r="H45" s="17">
        <f>D45-E45+F45</f>
        <v>-630301.0399999998</v>
      </c>
      <c r="I45" s="48">
        <f>H45</f>
        <v>-630301.0399999998</v>
      </c>
    </row>
    <row r="46" spans="1:9" x14ac:dyDescent="0.25">
      <c r="A46" s="2"/>
      <c r="B46" s="2" t="s">
        <v>72</v>
      </c>
      <c r="C46" s="2"/>
      <c r="D46" s="2"/>
      <c r="E46" s="2"/>
      <c r="F46" s="2" t="s">
        <v>72</v>
      </c>
      <c r="G46" s="2"/>
      <c r="H46" s="2"/>
      <c r="I46" s="2"/>
    </row>
    <row r="47" spans="1:9" x14ac:dyDescent="0.25">
      <c r="A47" s="1" t="s">
        <v>326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327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4" t="s">
        <v>12</v>
      </c>
      <c r="B49" s="5" t="s">
        <v>103</v>
      </c>
      <c r="C49" s="46" t="s">
        <v>104</v>
      </c>
      <c r="D49" s="54"/>
      <c r="E49" s="54"/>
      <c r="F49" s="54"/>
      <c r="G49" s="5" t="s">
        <v>105</v>
      </c>
      <c r="H49" s="47" t="s">
        <v>200</v>
      </c>
      <c r="I49" s="47" t="s">
        <v>107</v>
      </c>
    </row>
    <row r="50" spans="1:9" x14ac:dyDescent="0.25">
      <c r="A50" s="43" t="s">
        <v>108</v>
      </c>
      <c r="B50" s="6"/>
      <c r="C50" s="49"/>
      <c r="D50" s="43"/>
      <c r="E50" s="43"/>
      <c r="F50" s="43"/>
      <c r="G50" s="6"/>
      <c r="H50" s="56"/>
      <c r="I50" s="56" t="s">
        <v>109</v>
      </c>
    </row>
    <row r="51" spans="1:9" x14ac:dyDescent="0.25">
      <c r="A51" s="43"/>
      <c r="B51" s="17"/>
      <c r="C51" s="50"/>
      <c r="D51" s="61"/>
      <c r="E51" s="61"/>
      <c r="F51" s="61"/>
      <c r="G51" s="17"/>
      <c r="H51" s="51"/>
      <c r="I51" s="56"/>
    </row>
    <row r="52" spans="1:9" x14ac:dyDescent="0.25">
      <c r="A52" s="197"/>
      <c r="B52" s="39"/>
      <c r="C52" s="53" t="s">
        <v>110</v>
      </c>
      <c r="D52" s="159"/>
      <c r="E52" s="159"/>
      <c r="F52" s="47"/>
      <c r="G52" s="6"/>
      <c r="H52" s="56"/>
      <c r="I52" s="47"/>
    </row>
    <row r="53" spans="1:9" x14ac:dyDescent="0.25">
      <c r="A53" s="198" t="s">
        <v>111</v>
      </c>
      <c r="B53" s="65">
        <v>43186</v>
      </c>
      <c r="C53" s="49" t="s">
        <v>167</v>
      </c>
      <c r="D53" s="43"/>
      <c r="E53" s="43"/>
      <c r="F53" s="56" t="s">
        <v>72</v>
      </c>
      <c r="G53" s="6" t="s">
        <v>203</v>
      </c>
      <c r="H53" s="56">
        <v>120</v>
      </c>
      <c r="I53" s="56">
        <v>24000</v>
      </c>
    </row>
    <row r="54" spans="1:9" x14ac:dyDescent="0.25">
      <c r="A54" s="198" t="s">
        <v>114</v>
      </c>
      <c r="B54" s="65">
        <v>43404</v>
      </c>
      <c r="C54" s="49" t="s">
        <v>328</v>
      </c>
      <c r="D54" s="43"/>
      <c r="E54" s="43"/>
      <c r="F54" s="56"/>
      <c r="G54" s="26" t="s">
        <v>116</v>
      </c>
      <c r="H54" s="56">
        <v>11.6</v>
      </c>
      <c r="I54" s="56">
        <v>10507.33</v>
      </c>
    </row>
    <row r="55" spans="1:9" x14ac:dyDescent="0.25">
      <c r="A55" s="198" t="s">
        <v>170</v>
      </c>
      <c r="B55" s="65">
        <v>43404</v>
      </c>
      <c r="C55" s="49" t="s">
        <v>329</v>
      </c>
      <c r="D55" s="43"/>
      <c r="E55" s="43"/>
      <c r="F55" s="56"/>
      <c r="G55" s="26" t="s">
        <v>116</v>
      </c>
      <c r="H55" s="56">
        <v>145</v>
      </c>
      <c r="I55" s="56">
        <v>29000</v>
      </c>
    </row>
    <row r="56" spans="1:9" x14ac:dyDescent="0.25">
      <c r="A56" s="198" t="s">
        <v>173</v>
      </c>
      <c r="B56" s="65">
        <v>43411</v>
      </c>
      <c r="C56" s="49" t="s">
        <v>330</v>
      </c>
      <c r="D56" s="43"/>
      <c r="E56" s="43"/>
      <c r="F56" s="56"/>
      <c r="G56" s="199"/>
      <c r="H56" s="56"/>
      <c r="I56" s="56">
        <v>59546</v>
      </c>
    </row>
    <row r="57" spans="1:9" x14ac:dyDescent="0.25">
      <c r="A57" s="198"/>
      <c r="B57" s="65"/>
      <c r="C57" s="49" t="s">
        <v>331</v>
      </c>
      <c r="D57" s="43"/>
      <c r="E57" s="43"/>
      <c r="F57" s="56"/>
      <c r="G57" s="199" t="s">
        <v>169</v>
      </c>
      <c r="H57" s="56">
        <v>6.1</v>
      </c>
      <c r="I57" s="56"/>
    </row>
    <row r="58" spans="1:9" x14ac:dyDescent="0.25">
      <c r="A58" s="198"/>
      <c r="B58" s="65"/>
      <c r="C58" s="49" t="s">
        <v>332</v>
      </c>
      <c r="D58" s="43"/>
      <c r="E58" s="43"/>
      <c r="F58" s="56"/>
      <c r="G58" s="199" t="s">
        <v>205</v>
      </c>
      <c r="H58" s="56">
        <v>1</v>
      </c>
      <c r="I58" s="56"/>
    </row>
    <row r="59" spans="1:9" x14ac:dyDescent="0.25">
      <c r="A59" s="198"/>
      <c r="B59" s="65"/>
      <c r="C59" s="49" t="s">
        <v>333</v>
      </c>
      <c r="D59" s="43"/>
      <c r="E59" s="43"/>
      <c r="F59" s="56"/>
      <c r="G59" s="199" t="s">
        <v>205</v>
      </c>
      <c r="H59" s="56">
        <v>1</v>
      </c>
      <c r="I59" s="56"/>
    </row>
    <row r="60" spans="1:9" x14ac:dyDescent="0.25">
      <c r="A60" s="198"/>
      <c r="B60" s="65"/>
      <c r="C60" s="49"/>
      <c r="D60" s="43"/>
      <c r="E60" s="43"/>
      <c r="F60" s="56"/>
      <c r="G60" s="199"/>
      <c r="H60" s="56"/>
      <c r="I60" s="56"/>
    </row>
    <row r="61" spans="1:9" x14ac:dyDescent="0.25">
      <c r="A61" s="192"/>
      <c r="B61" s="17"/>
      <c r="C61" s="14" t="s">
        <v>117</v>
      </c>
      <c r="D61" s="13"/>
      <c r="E61" s="13"/>
      <c r="F61" s="67"/>
      <c r="G61" s="16"/>
      <c r="H61" s="51"/>
      <c r="I61" s="67">
        <f>SUM(I52:I60)</f>
        <v>123053.33</v>
      </c>
    </row>
    <row r="62" spans="1:9" x14ac:dyDescent="0.25">
      <c r="A62" s="2" t="s">
        <v>334</v>
      </c>
      <c r="B62" s="2"/>
      <c r="C62" s="2"/>
      <c r="D62" s="2"/>
      <c r="E62" s="2"/>
      <c r="F62" s="2"/>
      <c r="G62" s="200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8" x14ac:dyDescent="0.25">
      <c r="A65" s="166"/>
      <c r="B65" s="166"/>
      <c r="C65" s="166"/>
      <c r="D65" s="166"/>
      <c r="E65" s="166"/>
      <c r="F65" s="166"/>
      <c r="G65" s="166"/>
      <c r="H65" s="166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8"/>
  <sheetViews>
    <sheetView topLeftCell="A31" workbookViewId="0">
      <selection activeCell="C1" sqref="C1"/>
    </sheetView>
  </sheetViews>
  <sheetFormatPr defaultRowHeight="15" x14ac:dyDescent="0.25"/>
  <cols>
    <col min="1" max="1" width="6.42578125" customWidth="1"/>
    <col min="2" max="2" width="32.42578125" customWidth="1"/>
    <col min="3" max="3" width="13.5703125" customWidth="1"/>
    <col min="5" max="5" width="10.7109375" customWidth="1"/>
    <col min="6" max="6" width="11.7109375" customWidth="1"/>
    <col min="8" max="8" width="12.7109375" customWidth="1"/>
    <col min="9" max="9" width="19.5703125" customWidth="1"/>
  </cols>
  <sheetData>
    <row r="2" spans="1:27" x14ac:dyDescent="0.2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27" x14ac:dyDescent="0.25">
      <c r="A3" s="1" t="s">
        <v>1</v>
      </c>
      <c r="B3" s="2"/>
      <c r="C3" s="2"/>
      <c r="D3" s="2"/>
      <c r="E3" s="2"/>
      <c r="F3" s="2"/>
      <c r="G3" s="2"/>
      <c r="H3" s="2"/>
      <c r="I3" s="3"/>
    </row>
    <row r="4" spans="1:27" x14ac:dyDescent="0.25">
      <c r="A4" s="1" t="s">
        <v>2</v>
      </c>
      <c r="B4" s="2"/>
      <c r="C4" s="2"/>
      <c r="D4" s="2"/>
      <c r="E4" s="2"/>
      <c r="F4" s="2"/>
      <c r="G4" s="2"/>
      <c r="H4" s="2"/>
      <c r="I4" s="2"/>
    </row>
    <row r="5" spans="1:27" x14ac:dyDescent="0.25">
      <c r="A5" s="1" t="s">
        <v>317</v>
      </c>
      <c r="B5" s="2"/>
      <c r="C5" s="2"/>
      <c r="D5" s="2"/>
      <c r="E5" s="2"/>
      <c r="F5" s="2"/>
      <c r="G5" s="2"/>
      <c r="H5" s="2"/>
      <c r="I5" s="2"/>
    </row>
    <row r="6" spans="1:27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27" x14ac:dyDescent="0.25">
      <c r="A7" s="1" t="s">
        <v>335</v>
      </c>
      <c r="B7" s="2"/>
      <c r="C7" s="2"/>
      <c r="D7" s="2"/>
      <c r="E7" s="2"/>
      <c r="F7" s="2"/>
      <c r="G7" s="2"/>
      <c r="H7" s="2"/>
      <c r="I7" s="2"/>
    </row>
    <row r="8" spans="1:27" x14ac:dyDescent="0.25">
      <c r="A8" s="2" t="s">
        <v>336</v>
      </c>
      <c r="B8" s="2"/>
      <c r="C8" s="2"/>
      <c r="D8" s="2"/>
      <c r="E8" s="2"/>
      <c r="F8" s="2"/>
      <c r="G8" s="2"/>
      <c r="H8" s="2"/>
      <c r="I8" s="2"/>
    </row>
    <row r="9" spans="1:27" x14ac:dyDescent="0.25">
      <c r="A9" s="2" t="s">
        <v>337</v>
      </c>
      <c r="B9" s="2"/>
      <c r="C9" s="2"/>
      <c r="D9" s="2"/>
      <c r="E9" s="2"/>
      <c r="F9" s="2"/>
      <c r="G9" s="2"/>
      <c r="H9" s="2"/>
      <c r="I9" s="2"/>
    </row>
    <row r="10" spans="1:27" x14ac:dyDescent="0.25">
      <c r="A10" s="2" t="s">
        <v>338</v>
      </c>
      <c r="B10" s="2"/>
      <c r="C10" s="2"/>
      <c r="D10" s="2"/>
      <c r="E10" s="2"/>
      <c r="F10" s="2"/>
      <c r="G10" s="2"/>
      <c r="H10" s="2"/>
      <c r="I10" s="2"/>
    </row>
    <row r="11" spans="1:27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27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27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27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27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  <c r="P15" s="2"/>
      <c r="Q15" s="2"/>
      <c r="R15" s="2" t="s">
        <v>72</v>
      </c>
      <c r="S15" s="2"/>
      <c r="T15" s="2"/>
      <c r="U15" s="2"/>
      <c r="V15" s="2"/>
      <c r="W15" s="2"/>
      <c r="X15" s="2"/>
    </row>
    <row r="16" spans="1:27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</row>
    <row r="17" spans="1:27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34</v>
      </c>
      <c r="O17" s="166"/>
      <c r="P17" s="4"/>
      <c r="Q17" s="43"/>
      <c r="R17" s="43"/>
      <c r="S17" s="43"/>
      <c r="T17" s="43"/>
      <c r="U17" s="43"/>
      <c r="V17" s="43"/>
      <c r="W17" s="43"/>
      <c r="X17" s="43"/>
      <c r="Y17" s="166"/>
      <c r="Z17" s="166"/>
      <c r="AA17" s="166"/>
    </row>
    <row r="18" spans="1:27" x14ac:dyDescent="0.25">
      <c r="A18" s="9">
        <v>1</v>
      </c>
      <c r="B18" s="8">
        <v>2</v>
      </c>
      <c r="C18" s="54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  <c r="O18" s="166"/>
      <c r="P18" s="4"/>
      <c r="Q18" s="43"/>
      <c r="R18" s="43"/>
      <c r="S18" s="43"/>
      <c r="T18" s="43"/>
      <c r="U18" s="43"/>
      <c r="V18" s="43"/>
      <c r="W18" s="43"/>
      <c r="X18" s="201"/>
      <c r="Y18" s="166"/>
      <c r="Z18" s="166"/>
      <c r="AA18" s="166"/>
    </row>
    <row r="19" spans="1:27" x14ac:dyDescent="0.25">
      <c r="A19" s="53">
        <v>1</v>
      </c>
      <c r="B19" s="53" t="s">
        <v>186</v>
      </c>
      <c r="C19" s="202"/>
      <c r="D19" s="195"/>
      <c r="E19" s="203" t="s">
        <v>72</v>
      </c>
      <c r="F19" s="63" t="s">
        <v>72</v>
      </c>
      <c r="G19" s="159"/>
      <c r="H19" s="63" t="s">
        <v>72</v>
      </c>
      <c r="I19" s="160" t="s">
        <v>72</v>
      </c>
      <c r="O19" s="166"/>
      <c r="P19" s="4"/>
      <c r="Q19" s="43"/>
      <c r="R19" s="43"/>
      <c r="S19" s="43"/>
      <c r="T19" s="43"/>
      <c r="U19" s="43"/>
      <c r="V19" s="43"/>
      <c r="W19" s="43"/>
      <c r="X19" s="43"/>
      <c r="Y19" s="166"/>
      <c r="Z19" s="166"/>
      <c r="AA19" s="166"/>
    </row>
    <row r="20" spans="1:27" x14ac:dyDescent="0.25">
      <c r="A20" s="14"/>
      <c r="B20" s="14" t="s">
        <v>187</v>
      </c>
      <c r="C20" s="11">
        <v>8.9600000000000009</v>
      </c>
      <c r="D20" s="16">
        <v>-41079.17</v>
      </c>
      <c r="E20" s="13">
        <v>361073.52</v>
      </c>
      <c r="F20" s="16">
        <v>363068.36</v>
      </c>
      <c r="G20" s="13">
        <f t="shared" ref="G20:G26" si="0">E20</f>
        <v>361073.52</v>
      </c>
      <c r="H20" s="204">
        <f>D20+F20-G20</f>
        <v>-39084.330000000016</v>
      </c>
      <c r="I20" s="16">
        <f>H20</f>
        <v>-39084.330000000016</v>
      </c>
      <c r="O20" s="166"/>
      <c r="P20" s="4"/>
      <c r="Q20" s="43"/>
      <c r="R20" s="43"/>
      <c r="S20" s="43"/>
      <c r="T20" s="43"/>
      <c r="U20" s="43"/>
      <c r="V20" s="43"/>
      <c r="W20" s="43"/>
      <c r="X20" s="43"/>
      <c r="Y20" s="166"/>
      <c r="Z20" s="166"/>
      <c r="AA20" s="166"/>
    </row>
    <row r="21" spans="1:27" x14ac:dyDescent="0.25">
      <c r="A21" s="6" t="s">
        <v>36</v>
      </c>
      <c r="B21" s="17" t="s">
        <v>37</v>
      </c>
      <c r="C21" s="43">
        <v>3.08</v>
      </c>
      <c r="D21" s="187"/>
      <c r="E21" s="162">
        <f>E20*34.4%</f>
        <v>124209.29088</v>
      </c>
      <c r="F21" s="21">
        <f>F20*34.4/100</f>
        <v>124895.51583999999</v>
      </c>
      <c r="G21" s="61">
        <f t="shared" si="0"/>
        <v>124209.29088</v>
      </c>
      <c r="H21" s="187"/>
      <c r="I21" s="26"/>
      <c r="O21" s="166"/>
      <c r="P21" s="4"/>
      <c r="Q21" s="43"/>
      <c r="R21" s="43"/>
      <c r="S21" s="43"/>
      <c r="T21" s="43"/>
      <c r="U21" s="43"/>
      <c r="V21" s="43"/>
      <c r="W21" s="43"/>
      <c r="X21" s="43"/>
      <c r="Y21" s="166"/>
      <c r="Z21" s="166"/>
      <c r="AA21" s="166"/>
    </row>
    <row r="22" spans="1:27" x14ac:dyDescent="0.25">
      <c r="A22" s="22" t="s">
        <v>38</v>
      </c>
      <c r="B22" s="5" t="s">
        <v>39</v>
      </c>
      <c r="C22" s="54">
        <v>1.47</v>
      </c>
      <c r="D22" s="205"/>
      <c r="E22" s="24">
        <f>E20*16.4%</f>
        <v>59216.057279999994</v>
      </c>
      <c r="F22" s="33">
        <f>F20*16.4%</f>
        <v>59543.211039999987</v>
      </c>
      <c r="G22" s="54">
        <f t="shared" si="0"/>
        <v>59216.057279999994</v>
      </c>
      <c r="H22" s="205"/>
      <c r="I22" s="30"/>
      <c r="O22" s="166"/>
      <c r="P22" s="4"/>
      <c r="Q22" s="43"/>
      <c r="R22" s="43"/>
      <c r="S22" s="43"/>
      <c r="T22" s="43"/>
      <c r="U22" s="43"/>
      <c r="V22" s="43"/>
      <c r="W22" s="43"/>
      <c r="X22" s="43"/>
      <c r="Y22" s="166"/>
      <c r="Z22" s="166"/>
      <c r="AA22" s="166"/>
    </row>
    <row r="23" spans="1:27" x14ac:dyDescent="0.25">
      <c r="A23" s="22" t="s">
        <v>40</v>
      </c>
      <c r="B23" s="5" t="s">
        <v>41</v>
      </c>
      <c r="C23" s="54">
        <v>1.81</v>
      </c>
      <c r="D23" s="206"/>
      <c r="E23" s="24">
        <f>E20*20.2%</f>
        <v>72936.851039999994</v>
      </c>
      <c r="F23" s="33">
        <f>F20*20.2%</f>
        <v>73339.808719999986</v>
      </c>
      <c r="G23" s="207">
        <f t="shared" si="0"/>
        <v>72936.851039999994</v>
      </c>
      <c r="H23" s="206"/>
      <c r="I23" s="26"/>
      <c r="O23" s="166"/>
      <c r="P23" s="43"/>
      <c r="Q23" s="43"/>
      <c r="R23" s="43"/>
      <c r="S23" s="43"/>
      <c r="T23" s="43"/>
      <c r="U23" s="43"/>
      <c r="V23" s="43"/>
      <c r="W23" s="43"/>
      <c r="X23" s="43"/>
      <c r="Y23" s="166"/>
      <c r="Z23" s="166"/>
      <c r="AA23" s="166"/>
    </row>
    <row r="24" spans="1:27" x14ac:dyDescent="0.25">
      <c r="A24" s="22" t="s">
        <v>42</v>
      </c>
      <c r="B24" s="5" t="s">
        <v>43</v>
      </c>
      <c r="C24" s="54">
        <v>2.6</v>
      </c>
      <c r="D24" s="199"/>
      <c r="E24" s="24">
        <f>E20*29%</f>
        <v>104711.3208</v>
      </c>
      <c r="F24" s="33">
        <f>F20*29%</f>
        <v>105289.82439999998</v>
      </c>
      <c r="G24" s="54">
        <f t="shared" si="0"/>
        <v>104711.3208</v>
      </c>
      <c r="H24" s="199"/>
      <c r="I24" s="33"/>
      <c r="O24" s="166"/>
      <c r="P24" s="43"/>
      <c r="Q24" s="43"/>
      <c r="R24" s="43"/>
      <c r="S24" s="43"/>
      <c r="T24" s="43"/>
      <c r="U24" s="43"/>
      <c r="V24" s="43"/>
      <c r="W24" s="43"/>
      <c r="X24" s="43"/>
      <c r="Y24" s="166"/>
      <c r="Z24" s="166"/>
      <c r="AA24" s="166"/>
    </row>
    <row r="25" spans="1:27" x14ac:dyDescent="0.25">
      <c r="A25" s="22" t="s">
        <v>44</v>
      </c>
      <c r="B25" s="5" t="s">
        <v>47</v>
      </c>
      <c r="C25" s="54" t="s">
        <v>48</v>
      </c>
      <c r="D25" s="206">
        <v>-4173.8100000000004</v>
      </c>
      <c r="E25" s="9">
        <v>25340.94</v>
      </c>
      <c r="F25" s="8">
        <v>24512.05</v>
      </c>
      <c r="G25" s="8">
        <f>E25</f>
        <v>25340.94</v>
      </c>
      <c r="H25" s="208">
        <f>D25+F25-E25</f>
        <v>-5002.7000000000007</v>
      </c>
      <c r="I25" s="10">
        <f>H25</f>
        <v>-5002.7000000000007</v>
      </c>
      <c r="O25" s="166"/>
      <c r="P25" s="43"/>
      <c r="Q25" s="43"/>
      <c r="R25" s="43"/>
      <c r="S25" s="43"/>
      <c r="T25" s="43"/>
      <c r="U25" s="43"/>
      <c r="V25" s="43"/>
      <c r="W25" s="43"/>
      <c r="X25" s="43"/>
      <c r="Y25" s="166"/>
      <c r="Z25" s="166"/>
      <c r="AA25" s="166"/>
    </row>
    <row r="26" spans="1:27" x14ac:dyDescent="0.25">
      <c r="A26" s="10" t="s">
        <v>49</v>
      </c>
      <c r="B26" s="10" t="s">
        <v>50</v>
      </c>
      <c r="C26" s="35">
        <v>4.5999999999999996</v>
      </c>
      <c r="D26" s="10">
        <v>-32513.21</v>
      </c>
      <c r="E26" s="42">
        <v>185372.64</v>
      </c>
      <c r="F26" s="10">
        <v>186261.94</v>
      </c>
      <c r="G26" s="35">
        <f t="shared" si="0"/>
        <v>185372.64</v>
      </c>
      <c r="H26" s="10">
        <f>D26+F26-G26</f>
        <v>-31623.910000000003</v>
      </c>
      <c r="I26" s="10">
        <f>H26</f>
        <v>-31623.910000000003</v>
      </c>
      <c r="O26" s="166"/>
      <c r="P26" s="4"/>
      <c r="Q26" s="43"/>
      <c r="R26" s="43"/>
      <c r="S26" s="43"/>
      <c r="T26" s="43"/>
      <c r="U26" s="43"/>
      <c r="V26" s="43"/>
      <c r="W26" s="43"/>
      <c r="X26" s="43"/>
      <c r="Y26" s="166"/>
      <c r="Z26" s="166"/>
      <c r="AA26" s="166"/>
    </row>
    <row r="27" spans="1:27" x14ac:dyDescent="0.25">
      <c r="A27" s="63" t="s">
        <v>51</v>
      </c>
      <c r="B27" s="63" t="s">
        <v>192</v>
      </c>
      <c r="C27" s="13">
        <v>1.82</v>
      </c>
      <c r="D27" s="11">
        <v>38865.82</v>
      </c>
      <c r="E27" s="13">
        <v>73343.28</v>
      </c>
      <c r="F27" s="11">
        <f>F28+F29+F30</f>
        <v>90972.13</v>
      </c>
      <c r="G27" s="14">
        <f>I60</f>
        <v>144700.16</v>
      </c>
      <c r="H27" s="11">
        <f>D27+F27-G27</f>
        <v>-14862.209999999992</v>
      </c>
      <c r="I27" s="63">
        <f>H27</f>
        <v>-14862.209999999992</v>
      </c>
      <c r="O27" s="166"/>
      <c r="P27" s="4"/>
      <c r="Q27" s="43"/>
      <c r="R27" s="43"/>
      <c r="S27" s="43"/>
      <c r="T27" s="43"/>
      <c r="U27" s="43"/>
      <c r="V27" s="43"/>
      <c r="W27" s="43"/>
      <c r="X27" s="43"/>
      <c r="Y27" s="166"/>
      <c r="Z27" s="166"/>
      <c r="AA27" s="166"/>
    </row>
    <row r="28" spans="1:27" x14ac:dyDescent="0.25">
      <c r="A28" s="10"/>
      <c r="B28" s="8" t="s">
        <v>53</v>
      </c>
      <c r="C28" s="13"/>
      <c r="D28" s="17"/>
      <c r="E28" s="13"/>
      <c r="F28" s="11">
        <v>75414.13</v>
      </c>
      <c r="G28" s="14">
        <f>I60</f>
        <v>144700.16</v>
      </c>
      <c r="H28" s="17"/>
      <c r="I28" s="10"/>
      <c r="O28" s="166"/>
      <c r="P28" s="4"/>
      <c r="Q28" s="43"/>
      <c r="R28" s="43"/>
      <c r="S28" s="43"/>
      <c r="T28" s="43"/>
      <c r="U28" s="43"/>
      <c r="V28" s="43"/>
      <c r="W28" s="43"/>
      <c r="X28" s="43"/>
      <c r="Y28" s="166"/>
      <c r="Z28" s="166"/>
      <c r="AA28" s="166"/>
    </row>
    <row r="29" spans="1:27" x14ac:dyDescent="0.25">
      <c r="A29" s="11"/>
      <c r="B29" s="8" t="s">
        <v>54</v>
      </c>
      <c r="C29" s="13"/>
      <c r="D29" s="8"/>
      <c r="E29" s="8"/>
      <c r="F29" s="35">
        <v>2367.46</v>
      </c>
      <c r="G29" s="8"/>
      <c r="H29" s="48"/>
      <c r="I29" s="10"/>
      <c r="O29" s="166"/>
      <c r="P29" s="43"/>
      <c r="Q29" s="43"/>
      <c r="R29" s="43"/>
      <c r="S29" s="43"/>
      <c r="T29" s="43"/>
      <c r="U29" s="43"/>
      <c r="V29" s="43"/>
      <c r="W29" s="43"/>
      <c r="X29" s="43"/>
      <c r="Y29" s="166"/>
      <c r="Z29" s="166"/>
      <c r="AA29" s="166"/>
    </row>
    <row r="30" spans="1:27" x14ac:dyDescent="0.25">
      <c r="A30" s="11"/>
      <c r="B30" s="8" t="s">
        <v>58</v>
      </c>
      <c r="C30" s="13"/>
      <c r="D30" s="8"/>
      <c r="E30" s="7"/>
      <c r="F30" s="10">
        <v>13190.54</v>
      </c>
      <c r="G30" s="48"/>
      <c r="H30" s="48"/>
      <c r="I30" s="10"/>
      <c r="O30" s="166"/>
      <c r="P30" s="43"/>
      <c r="Q30" s="43"/>
      <c r="R30" s="43"/>
      <c r="S30" s="43"/>
      <c r="T30" s="43"/>
      <c r="U30" s="43"/>
      <c r="V30" s="43"/>
      <c r="W30" s="43"/>
      <c r="X30" s="43"/>
      <c r="Y30" s="166"/>
      <c r="Z30" s="166"/>
      <c r="AA30" s="166"/>
    </row>
    <row r="31" spans="1:27" x14ac:dyDescent="0.25">
      <c r="A31" s="10" t="s">
        <v>56</v>
      </c>
      <c r="B31" s="10" t="s">
        <v>57</v>
      </c>
      <c r="C31" s="13"/>
      <c r="D31" s="10">
        <v>13190.54</v>
      </c>
      <c r="E31" s="35">
        <v>0</v>
      </c>
      <c r="F31" s="10">
        <v>-13190.54</v>
      </c>
      <c r="G31" s="35">
        <f>G32</f>
        <v>0</v>
      </c>
      <c r="H31" s="10">
        <v>0</v>
      </c>
      <c r="I31" s="8"/>
      <c r="O31" s="166"/>
      <c r="P31" s="43"/>
      <c r="Q31" s="43"/>
      <c r="R31" s="43"/>
      <c r="S31" s="43"/>
      <c r="T31" s="43"/>
      <c r="U31" s="43"/>
      <c r="V31" s="43"/>
      <c r="W31" s="43"/>
      <c r="X31" s="43"/>
      <c r="Y31" s="166"/>
      <c r="Z31" s="166"/>
      <c r="AA31" s="166"/>
    </row>
    <row r="32" spans="1:27" x14ac:dyDescent="0.25">
      <c r="A32" s="8"/>
      <c r="B32" s="8" t="s">
        <v>58</v>
      </c>
      <c r="C32" s="9"/>
      <c r="D32" s="8"/>
      <c r="E32" s="209"/>
      <c r="F32" s="9">
        <v>13190.54</v>
      </c>
      <c r="G32" s="8">
        <v>0</v>
      </c>
      <c r="H32" s="8"/>
      <c r="I32" s="209"/>
      <c r="O32" s="166"/>
      <c r="P32" s="43"/>
      <c r="Q32" s="43"/>
      <c r="R32" s="43"/>
      <c r="S32" s="43"/>
      <c r="T32" s="43"/>
      <c r="U32" s="43"/>
      <c r="V32" s="43"/>
      <c r="W32" s="43"/>
      <c r="X32" s="43"/>
      <c r="Y32" s="166"/>
      <c r="Z32" s="166"/>
      <c r="AA32" s="166"/>
    </row>
    <row r="33" spans="1:27" x14ac:dyDescent="0.25">
      <c r="A33" s="1" t="s">
        <v>59</v>
      </c>
      <c r="B33" s="2"/>
      <c r="C33" s="2"/>
      <c r="D33" s="210"/>
      <c r="E33" s="200"/>
      <c r="F33" s="200"/>
      <c r="G33" s="2"/>
      <c r="H33" s="211"/>
      <c r="I33" s="2"/>
      <c r="O33" s="166"/>
      <c r="P33" s="43"/>
      <c r="Q33" s="43"/>
      <c r="R33" s="43"/>
      <c r="S33" s="43"/>
      <c r="T33" s="43"/>
      <c r="U33" s="43"/>
      <c r="V33" s="43"/>
      <c r="W33" s="43"/>
      <c r="X33" s="43"/>
      <c r="Y33" s="166"/>
      <c r="Z33" s="166"/>
      <c r="AA33" s="166"/>
    </row>
    <row r="34" spans="1:27" x14ac:dyDescent="0.25">
      <c r="A34" s="1"/>
      <c r="B34" s="2"/>
      <c r="C34" s="2"/>
      <c r="D34" s="210"/>
      <c r="E34" s="2"/>
      <c r="F34" s="200"/>
      <c r="G34" s="2"/>
      <c r="H34" s="211"/>
      <c r="I34" s="2"/>
      <c r="O34" s="166"/>
      <c r="P34" s="4"/>
      <c r="Q34" s="4"/>
      <c r="R34" s="166"/>
      <c r="S34" s="4"/>
      <c r="T34" s="165"/>
      <c r="U34" s="4"/>
      <c r="V34" s="4"/>
      <c r="W34" s="4"/>
      <c r="X34" s="165"/>
      <c r="Y34" s="166"/>
      <c r="Z34" s="166"/>
      <c r="AA34" s="166"/>
    </row>
    <row r="35" spans="1:27" x14ac:dyDescent="0.25">
      <c r="A35" s="63" t="s">
        <v>60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 t="s">
        <v>151</v>
      </c>
      <c r="H35" s="54" t="s">
        <v>195</v>
      </c>
      <c r="I35" s="47"/>
      <c r="O35" s="166"/>
      <c r="P35" s="4"/>
      <c r="Q35" s="4"/>
      <c r="R35" s="4"/>
      <c r="S35" s="165"/>
      <c r="T35" s="4"/>
      <c r="U35" s="165"/>
      <c r="V35" s="4"/>
      <c r="W35" s="212"/>
      <c r="X35" s="165"/>
      <c r="Y35" s="166"/>
      <c r="Z35" s="166"/>
      <c r="AA35" s="166"/>
    </row>
    <row r="36" spans="1:27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  <c r="O36" s="166"/>
      <c r="P36" s="43"/>
      <c r="Q36" s="43"/>
      <c r="R36" s="43"/>
      <c r="S36" s="213"/>
      <c r="T36" s="19"/>
      <c r="U36" s="19"/>
      <c r="V36" s="43"/>
      <c r="W36" s="213"/>
      <c r="X36" s="19"/>
      <c r="Y36" s="166"/>
      <c r="Z36" s="166"/>
      <c r="AA36" s="166"/>
    </row>
    <row r="37" spans="1:27" x14ac:dyDescent="0.25">
      <c r="A37" s="11"/>
      <c r="B37" s="61" t="s">
        <v>69</v>
      </c>
      <c r="C37" s="8">
        <v>15620.55</v>
      </c>
      <c r="D37" s="8">
        <v>6000</v>
      </c>
      <c r="E37" s="162">
        <f>D37*15%</f>
        <v>900</v>
      </c>
      <c r="F37" s="21">
        <f>C37+D37-E37</f>
        <v>20720.55</v>
      </c>
      <c r="G37" s="21">
        <v>0</v>
      </c>
      <c r="H37" s="162">
        <f>F37</f>
        <v>20720.55</v>
      </c>
      <c r="I37" s="51"/>
      <c r="O37" s="166"/>
      <c r="P37" s="68"/>
      <c r="Q37" s="43"/>
      <c r="R37" s="43"/>
      <c r="S37" s="213"/>
      <c r="T37" s="19"/>
      <c r="U37" s="19"/>
      <c r="V37" s="43"/>
      <c r="W37" s="213"/>
      <c r="X37" s="19"/>
      <c r="Y37" s="166"/>
      <c r="Z37" s="166"/>
      <c r="AA37" s="166"/>
    </row>
    <row r="38" spans="1:27" x14ac:dyDescent="0.25">
      <c r="A38" s="4" t="s">
        <v>70</v>
      </c>
      <c r="B38" s="2"/>
      <c r="C38" s="2"/>
      <c r="D38" s="210"/>
      <c r="E38" s="2"/>
      <c r="F38" s="200"/>
      <c r="G38" s="2"/>
      <c r="H38" s="211"/>
      <c r="I38" s="2"/>
      <c r="O38" s="166"/>
      <c r="P38" s="68"/>
      <c r="Q38" s="43"/>
      <c r="R38" s="43"/>
      <c r="S38" s="213"/>
      <c r="T38" s="19"/>
      <c r="U38" s="19"/>
      <c r="V38" s="213"/>
      <c r="W38" s="213"/>
      <c r="X38" s="19"/>
      <c r="Y38" s="166"/>
      <c r="Z38" s="166"/>
      <c r="AA38" s="166"/>
    </row>
    <row r="39" spans="1:27" x14ac:dyDescent="0.25">
      <c r="A39" s="1" t="s">
        <v>71</v>
      </c>
      <c r="B39" s="2"/>
      <c r="C39" s="2"/>
      <c r="E39" s="2"/>
      <c r="F39" s="2"/>
      <c r="G39" s="2"/>
      <c r="H39" s="2"/>
      <c r="I39" s="2"/>
      <c r="O39" s="166"/>
      <c r="P39" s="68"/>
      <c r="Q39" s="43"/>
      <c r="R39" s="43"/>
      <c r="S39" s="213"/>
      <c r="T39" s="19"/>
      <c r="U39" s="19"/>
      <c r="V39" s="43"/>
      <c r="W39" s="213"/>
      <c r="X39" s="19"/>
      <c r="Y39" s="166"/>
      <c r="Z39" s="166"/>
      <c r="AA39" s="166"/>
    </row>
    <row r="40" spans="1:27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  <c r="O40" s="166"/>
      <c r="P40" s="68"/>
      <c r="Q40" s="43"/>
      <c r="R40" s="43"/>
      <c r="S40" s="213"/>
      <c r="T40" s="43"/>
      <c r="U40" s="43"/>
      <c r="V40" s="43"/>
      <c r="W40" s="213"/>
      <c r="X40" s="4"/>
      <c r="Y40" s="166"/>
      <c r="Z40" s="166"/>
      <c r="AA40" s="166"/>
    </row>
    <row r="41" spans="1:27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197</v>
      </c>
      <c r="O41" s="166"/>
      <c r="P41" s="4"/>
      <c r="Q41" s="4"/>
      <c r="R41" s="4"/>
      <c r="S41" s="4"/>
      <c r="T41" s="4"/>
      <c r="U41" s="4"/>
      <c r="V41" s="4"/>
      <c r="W41" s="4"/>
      <c r="X41" s="4"/>
      <c r="Y41" s="166"/>
      <c r="Z41" s="166"/>
      <c r="AA41" s="166"/>
    </row>
    <row r="42" spans="1:27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/>
      <c r="I42" s="6" t="s">
        <v>339</v>
      </c>
      <c r="O42" s="166"/>
      <c r="P42" s="4"/>
      <c r="Q42" s="4"/>
      <c r="R42" s="4"/>
      <c r="S42" s="4"/>
      <c r="T42" s="4"/>
      <c r="U42" s="4"/>
      <c r="V42" s="4"/>
      <c r="W42" s="4"/>
      <c r="X42" s="4"/>
      <c r="Y42" s="166"/>
      <c r="Z42" s="166"/>
      <c r="AA42" s="166"/>
    </row>
    <row r="43" spans="1:27" x14ac:dyDescent="0.25">
      <c r="A43" s="8"/>
      <c r="B43" s="7"/>
      <c r="C43" s="8"/>
      <c r="D43" s="8"/>
      <c r="E43" s="9"/>
      <c r="F43" s="8"/>
      <c r="G43" s="8"/>
      <c r="H43" s="9"/>
      <c r="I43" s="8"/>
      <c r="O43" s="166"/>
      <c r="P43" s="4"/>
      <c r="Q43" s="43"/>
      <c r="R43" s="4"/>
      <c r="S43" s="43"/>
      <c r="T43" s="4"/>
      <c r="U43" s="4"/>
      <c r="V43" s="4"/>
      <c r="W43" s="43"/>
      <c r="X43" s="4"/>
      <c r="Y43" s="166"/>
      <c r="Z43" s="166"/>
      <c r="AA43" s="166"/>
    </row>
    <row r="44" spans="1:27" x14ac:dyDescent="0.25">
      <c r="A44" s="8">
        <v>1</v>
      </c>
      <c r="B44" s="8" t="s">
        <v>340</v>
      </c>
      <c r="C44" s="35" t="s">
        <v>92</v>
      </c>
      <c r="D44" s="8">
        <v>-59786.11</v>
      </c>
      <c r="E44" s="59">
        <v>332617.13</v>
      </c>
      <c r="F44" s="8">
        <v>328057.89</v>
      </c>
      <c r="G44" s="5">
        <f>E44</f>
        <v>332617.13</v>
      </c>
      <c r="H44" s="5">
        <f>D44+F44-G44</f>
        <v>-64345.349999999977</v>
      </c>
      <c r="I44" s="8">
        <f>H44</f>
        <v>-64345.349999999977</v>
      </c>
      <c r="O44" s="166"/>
      <c r="P44" s="4"/>
      <c r="Q44" s="43"/>
      <c r="R44" s="4"/>
      <c r="S44" s="43"/>
      <c r="T44" s="43"/>
      <c r="U44" s="4"/>
      <c r="V44" s="43"/>
      <c r="W44" s="43"/>
      <c r="X44" s="4"/>
      <c r="Y44" s="166"/>
      <c r="Z44" s="166"/>
      <c r="AA44" s="166"/>
    </row>
    <row r="45" spans="1:27" x14ac:dyDescent="0.25">
      <c r="A45" s="8"/>
      <c r="B45" s="8" t="s">
        <v>341</v>
      </c>
      <c r="C45" s="35" t="s">
        <v>94</v>
      </c>
      <c r="D45" s="8"/>
      <c r="E45" s="59"/>
      <c r="F45" s="7"/>
      <c r="G45" s="7"/>
      <c r="H45" s="8"/>
      <c r="I45" s="48"/>
      <c r="O45" s="166"/>
      <c r="P45" s="4"/>
      <c r="Q45" s="43"/>
      <c r="R45" s="4"/>
      <c r="S45" s="43"/>
      <c r="T45" s="43"/>
      <c r="U45" s="4"/>
      <c r="V45" s="43"/>
      <c r="W45" s="43"/>
      <c r="X45" s="4"/>
      <c r="Y45" s="166"/>
      <c r="Z45" s="166"/>
      <c r="AA45" s="166"/>
    </row>
    <row r="46" spans="1:27" x14ac:dyDescent="0.25">
      <c r="A46" s="6">
        <v>2</v>
      </c>
      <c r="B46" s="6" t="s">
        <v>95</v>
      </c>
      <c r="C46" s="1" t="s">
        <v>96</v>
      </c>
      <c r="D46" s="6">
        <v>-181085.85</v>
      </c>
      <c r="E46" s="2">
        <v>578564.17000000004</v>
      </c>
      <c r="F46" s="49">
        <v>566962.64</v>
      </c>
      <c r="G46" s="50">
        <f>E46</f>
        <v>578564.17000000004</v>
      </c>
      <c r="H46" s="17">
        <f>D46+F46-G46</f>
        <v>-192687.38</v>
      </c>
      <c r="I46" s="56">
        <f>H46</f>
        <v>-192687.38</v>
      </c>
      <c r="O46" s="166"/>
      <c r="P46" s="4"/>
      <c r="Q46" s="4"/>
      <c r="R46" s="4"/>
      <c r="S46" s="4"/>
      <c r="T46" s="4"/>
      <c r="U46" s="4"/>
      <c r="V46" s="4"/>
      <c r="W46" s="4"/>
      <c r="X46" s="43"/>
      <c r="Y46" s="166"/>
      <c r="Z46" s="166"/>
      <c r="AA46" s="166"/>
    </row>
    <row r="47" spans="1:27" x14ac:dyDescent="0.25">
      <c r="A47" s="8"/>
      <c r="B47" s="8" t="s">
        <v>97</v>
      </c>
      <c r="C47" s="35" t="s">
        <v>94</v>
      </c>
      <c r="D47" s="5" t="s">
        <v>72</v>
      </c>
      <c r="E47" s="9"/>
      <c r="F47" s="8"/>
      <c r="G47" s="43" t="s">
        <v>72</v>
      </c>
      <c r="H47" s="17" t="s">
        <v>72</v>
      </c>
      <c r="I47" s="5" t="s">
        <v>72</v>
      </c>
      <c r="O47" s="166"/>
      <c r="P47" s="43"/>
      <c r="Q47" s="43"/>
      <c r="R47" s="43"/>
      <c r="S47" s="43"/>
      <c r="T47" s="166"/>
      <c r="U47" s="43"/>
      <c r="V47" s="43"/>
      <c r="W47" s="43"/>
      <c r="X47" s="166"/>
      <c r="Y47" s="166"/>
      <c r="Z47" s="166"/>
      <c r="AA47" s="166"/>
    </row>
    <row r="48" spans="1:27" x14ac:dyDescent="0.25">
      <c r="A48" s="8">
        <v>3</v>
      </c>
      <c r="B48" s="8" t="s">
        <v>99</v>
      </c>
      <c r="C48" s="35" t="s">
        <v>100</v>
      </c>
      <c r="D48" s="8">
        <v>-510323.68</v>
      </c>
      <c r="E48" s="9">
        <v>1213932.02</v>
      </c>
      <c r="F48" s="8">
        <v>1208485.23</v>
      </c>
      <c r="G48" s="8">
        <f>E48</f>
        <v>1213932.02</v>
      </c>
      <c r="H48" s="8">
        <f>D48+F48-G48</f>
        <v>-515770.47</v>
      </c>
      <c r="I48" s="8">
        <f>H48</f>
        <v>-515770.47</v>
      </c>
      <c r="O48" s="166"/>
      <c r="P48" s="4"/>
      <c r="Q48" s="43"/>
      <c r="R48" s="43"/>
      <c r="S48" s="214"/>
      <c r="T48" s="19"/>
      <c r="U48" s="19"/>
      <c r="V48" s="43"/>
      <c r="W48" s="213"/>
      <c r="X48" s="43"/>
      <c r="Y48" s="166"/>
      <c r="Z48" s="166"/>
      <c r="AA48" s="166"/>
    </row>
    <row r="49" spans="1:27" x14ac:dyDescent="0.25">
      <c r="A49" s="1"/>
      <c r="B49" s="1"/>
      <c r="C49" s="1"/>
      <c r="D49" s="1"/>
      <c r="E49" s="1"/>
      <c r="F49" s="1"/>
      <c r="G49" s="1"/>
      <c r="H49" s="2"/>
      <c r="I49" s="2"/>
      <c r="O49" s="166"/>
      <c r="P49" s="4"/>
      <c r="Q49" s="43"/>
      <c r="R49" s="43"/>
      <c r="S49" s="214"/>
      <c r="T49" s="43"/>
      <c r="U49" s="19"/>
      <c r="V49" s="43"/>
      <c r="W49" s="213"/>
      <c r="X49" s="43"/>
      <c r="Y49" s="166"/>
      <c r="Z49" s="166"/>
      <c r="AA49" s="166"/>
    </row>
    <row r="50" spans="1:27" x14ac:dyDescent="0.25">
      <c r="A50" s="1"/>
      <c r="B50" s="1"/>
      <c r="C50" s="1" t="s">
        <v>342</v>
      </c>
      <c r="D50" s="1"/>
      <c r="E50" s="1"/>
      <c r="F50" s="1"/>
      <c r="G50" s="45"/>
      <c r="O50" s="166"/>
      <c r="P50" s="4"/>
      <c r="Q50" s="43"/>
      <c r="R50" s="43"/>
      <c r="S50" s="43"/>
      <c r="T50" s="43"/>
      <c r="U50" s="43"/>
      <c r="V50" s="43"/>
      <c r="W50" s="43"/>
      <c r="X50" s="43"/>
      <c r="Y50" s="166"/>
      <c r="Z50" s="166"/>
      <c r="AA50" s="166"/>
    </row>
    <row r="51" spans="1:27" x14ac:dyDescent="0.25">
      <c r="A51" s="4" t="s">
        <v>343</v>
      </c>
      <c r="B51" s="2"/>
      <c r="C51" s="2"/>
      <c r="D51" s="2"/>
      <c r="E51" s="2"/>
      <c r="F51" s="2"/>
      <c r="G51" s="2"/>
      <c r="H51" s="2"/>
      <c r="I51" s="2"/>
      <c r="O51" s="166"/>
      <c r="P51" s="43"/>
      <c r="Q51" s="43"/>
      <c r="R51" s="43"/>
      <c r="S51" s="43"/>
      <c r="T51" s="43"/>
      <c r="U51" s="43"/>
      <c r="V51" s="43"/>
      <c r="W51" s="43"/>
      <c r="X51" s="43"/>
      <c r="Y51" s="166"/>
      <c r="Z51" s="166"/>
      <c r="AA51" s="166"/>
    </row>
    <row r="52" spans="1:27" x14ac:dyDescent="0.25">
      <c r="A52" s="46" t="s">
        <v>12</v>
      </c>
      <c r="B52" s="5" t="s">
        <v>103</v>
      </c>
      <c r="C52" s="46" t="s">
        <v>104</v>
      </c>
      <c r="D52" s="54"/>
      <c r="E52" s="54"/>
      <c r="F52" s="54"/>
      <c r="G52" s="5" t="s">
        <v>105</v>
      </c>
      <c r="H52" s="47" t="s">
        <v>106</v>
      </c>
      <c r="I52" s="47" t="s">
        <v>107</v>
      </c>
      <c r="O52" s="166"/>
      <c r="P52" s="4"/>
      <c r="Q52" s="43"/>
      <c r="R52" s="43"/>
      <c r="S52" s="43"/>
      <c r="T52" s="19"/>
      <c r="U52" s="19"/>
      <c r="V52" s="19"/>
      <c r="W52" s="19"/>
      <c r="X52" s="43"/>
      <c r="Y52" s="166"/>
      <c r="Z52" s="166"/>
      <c r="AA52" s="166"/>
    </row>
    <row r="53" spans="1:27" x14ac:dyDescent="0.25">
      <c r="A53" s="49" t="s">
        <v>108</v>
      </c>
      <c r="B53" s="6" t="s">
        <v>72</v>
      </c>
      <c r="C53" s="49"/>
      <c r="D53" s="43"/>
      <c r="E53" s="43"/>
      <c r="F53" s="43"/>
      <c r="G53" s="6"/>
      <c r="H53" s="56"/>
      <c r="I53" s="56" t="s">
        <v>109</v>
      </c>
      <c r="O53" s="166"/>
      <c r="P53" s="4"/>
      <c r="Q53" s="43"/>
      <c r="R53" s="43"/>
      <c r="S53" s="214"/>
      <c r="T53" s="43"/>
      <c r="U53" s="19"/>
      <c r="V53" s="43"/>
      <c r="W53" s="213"/>
      <c r="X53" s="43"/>
      <c r="Y53" s="166"/>
      <c r="Z53" s="166"/>
      <c r="AA53" s="166"/>
    </row>
    <row r="54" spans="1:27" x14ac:dyDescent="0.25">
      <c r="A54" s="49"/>
      <c r="B54" s="17"/>
      <c r="C54" s="50"/>
      <c r="D54" s="61"/>
      <c r="E54" s="61"/>
      <c r="F54" s="61"/>
      <c r="G54" s="17"/>
      <c r="H54" s="51"/>
      <c r="I54" s="51"/>
      <c r="O54" s="166"/>
      <c r="P54" s="4"/>
      <c r="Q54" s="43"/>
      <c r="R54" s="43"/>
      <c r="S54" s="166"/>
      <c r="T54" s="43"/>
      <c r="U54" s="43"/>
      <c r="V54" s="43"/>
      <c r="W54" s="43"/>
      <c r="X54" s="43"/>
      <c r="Y54" s="166"/>
      <c r="Z54" s="166"/>
      <c r="AA54" s="166"/>
    </row>
    <row r="55" spans="1:27" x14ac:dyDescent="0.25">
      <c r="A55" s="62"/>
      <c r="B55" s="215"/>
      <c r="C55" s="55" t="s">
        <v>110</v>
      </c>
      <c r="D55" s="4"/>
      <c r="E55" s="4"/>
      <c r="F55" s="43"/>
      <c r="G55" s="6"/>
      <c r="H55" s="56"/>
      <c r="I55" s="5"/>
      <c r="O55" s="166"/>
      <c r="P55" s="43"/>
      <c r="Q55" s="4"/>
      <c r="R55" s="43"/>
      <c r="S55" s="43"/>
      <c r="T55" s="43"/>
      <c r="U55" s="43"/>
      <c r="V55" s="43"/>
      <c r="W55" s="43"/>
      <c r="X55" s="43"/>
      <c r="Y55" s="166"/>
      <c r="Z55" s="166"/>
      <c r="AA55" s="166"/>
    </row>
    <row r="56" spans="1:27" x14ac:dyDescent="0.25">
      <c r="A56" s="185" t="s">
        <v>344</v>
      </c>
      <c r="B56" s="216">
        <v>43315</v>
      </c>
      <c r="C56" s="49" t="s">
        <v>254</v>
      </c>
      <c r="D56" s="43"/>
      <c r="E56" s="43"/>
      <c r="F56" s="43"/>
      <c r="G56" s="6" t="s">
        <v>255</v>
      </c>
      <c r="H56" s="56">
        <v>1</v>
      </c>
      <c r="I56" s="6">
        <v>1400</v>
      </c>
      <c r="O56" s="166"/>
      <c r="P56" s="43"/>
      <c r="Q56" s="4"/>
      <c r="R56" s="43"/>
      <c r="S56" s="43"/>
      <c r="T56" s="43"/>
      <c r="U56" s="43"/>
      <c r="V56" s="43"/>
      <c r="W56" s="43"/>
      <c r="X56" s="43"/>
      <c r="Y56" s="166"/>
      <c r="Z56" s="166"/>
      <c r="AA56" s="166"/>
    </row>
    <row r="57" spans="1:27" x14ac:dyDescent="0.25">
      <c r="A57" s="185" t="s">
        <v>49</v>
      </c>
      <c r="B57" s="216">
        <v>43343</v>
      </c>
      <c r="C57" s="49" t="s">
        <v>345</v>
      </c>
      <c r="D57" s="43"/>
      <c r="E57" s="43"/>
      <c r="F57" s="43"/>
      <c r="G57" s="6" t="s">
        <v>169</v>
      </c>
      <c r="H57" s="56">
        <v>300</v>
      </c>
      <c r="I57" s="6">
        <v>114412.16</v>
      </c>
      <c r="O57" s="166"/>
      <c r="P57" s="43"/>
      <c r="Q57" s="43"/>
      <c r="R57" s="43"/>
      <c r="S57" s="43"/>
      <c r="T57" s="43"/>
      <c r="U57" s="43"/>
      <c r="V57" s="43"/>
      <c r="W57" s="43"/>
      <c r="X57" s="43"/>
      <c r="Y57" s="166"/>
      <c r="Z57" s="166"/>
      <c r="AA57" s="166"/>
    </row>
    <row r="58" spans="1:27" x14ac:dyDescent="0.25">
      <c r="A58" s="185" t="s">
        <v>51</v>
      </c>
      <c r="B58" s="216">
        <v>43434</v>
      </c>
      <c r="C58" s="49" t="s">
        <v>346</v>
      </c>
      <c r="D58" s="43"/>
      <c r="E58" s="43"/>
      <c r="F58" s="43"/>
      <c r="G58" s="6" t="s">
        <v>169</v>
      </c>
      <c r="H58" s="56">
        <v>21</v>
      </c>
      <c r="I58" s="6">
        <v>28888</v>
      </c>
      <c r="O58" s="166"/>
      <c r="P58" s="43"/>
      <c r="Q58" s="43"/>
      <c r="R58" s="43"/>
      <c r="S58" s="43"/>
      <c r="T58" s="43"/>
      <c r="U58" s="43"/>
      <c r="V58" s="43"/>
      <c r="W58" s="43"/>
      <c r="X58" s="43"/>
      <c r="Y58" s="166"/>
      <c r="Z58" s="166"/>
      <c r="AA58" s="166"/>
    </row>
    <row r="59" spans="1:27" x14ac:dyDescent="0.25">
      <c r="A59" s="185"/>
      <c r="B59" s="216"/>
      <c r="C59" s="49"/>
      <c r="D59" s="43"/>
      <c r="E59" s="43"/>
      <c r="F59" s="43"/>
      <c r="G59" s="6"/>
      <c r="H59" s="56"/>
      <c r="I59" s="6"/>
      <c r="O59" s="166"/>
      <c r="P59" s="43"/>
      <c r="Q59" s="43"/>
      <c r="R59" s="4"/>
      <c r="S59" s="43"/>
      <c r="T59" s="217"/>
      <c r="U59" s="43"/>
      <c r="V59" s="43"/>
      <c r="W59" s="43"/>
      <c r="X59" s="43"/>
      <c r="Y59" s="166"/>
      <c r="Z59" s="166"/>
      <c r="AA59" s="166"/>
    </row>
    <row r="60" spans="1:27" x14ac:dyDescent="0.25">
      <c r="A60" s="66"/>
      <c r="B60" s="51"/>
      <c r="C60" s="14" t="s">
        <v>117</v>
      </c>
      <c r="D60" s="13"/>
      <c r="E60" s="13"/>
      <c r="F60" s="13"/>
      <c r="G60" s="16"/>
      <c r="H60" s="51"/>
      <c r="I60" s="11">
        <f>SUM(I55:I59)</f>
        <v>144700.16</v>
      </c>
      <c r="O60" s="166"/>
      <c r="P60" s="43"/>
      <c r="Q60" s="43"/>
      <c r="R60" s="4"/>
      <c r="S60" s="43"/>
      <c r="T60" s="217"/>
      <c r="U60" s="43"/>
      <c r="V60" s="43"/>
      <c r="W60" s="43"/>
      <c r="X60" s="43"/>
      <c r="Y60" s="166"/>
      <c r="Z60" s="166"/>
      <c r="AA60" s="166"/>
    </row>
    <row r="61" spans="1:27" x14ac:dyDescent="0.25">
      <c r="A61" s="43"/>
      <c r="B61" s="43"/>
      <c r="C61" s="43"/>
      <c r="D61" s="43"/>
      <c r="E61" s="43"/>
      <c r="F61" s="43"/>
      <c r="G61" s="43"/>
      <c r="H61" s="43"/>
      <c r="I61" s="43"/>
      <c r="O61" s="166"/>
      <c r="P61" s="43"/>
      <c r="Q61" s="43"/>
      <c r="R61" s="4"/>
      <c r="S61" s="43"/>
      <c r="T61" s="43"/>
      <c r="U61" s="43"/>
      <c r="V61" s="43"/>
      <c r="W61" s="43"/>
      <c r="X61" s="43"/>
      <c r="Y61" s="166"/>
      <c r="Z61" s="166"/>
      <c r="AA61" s="166"/>
    </row>
    <row r="62" spans="1:27" x14ac:dyDescent="0.25">
      <c r="A62" s="2"/>
      <c r="B62" s="2"/>
      <c r="C62" s="2"/>
      <c r="D62" s="2"/>
      <c r="E62" s="2"/>
      <c r="F62" s="2"/>
      <c r="G62" s="200"/>
      <c r="H62" s="2"/>
      <c r="I62" s="2"/>
      <c r="O62" s="166"/>
      <c r="P62" s="4"/>
      <c r="Q62" s="4"/>
      <c r="R62" s="4"/>
      <c r="S62" s="4"/>
      <c r="T62" s="4"/>
      <c r="U62" s="4"/>
      <c r="V62" s="52"/>
      <c r="W62" s="166"/>
      <c r="X62" s="166"/>
      <c r="Y62" s="166"/>
      <c r="Z62" s="166"/>
      <c r="AA62" s="166"/>
    </row>
    <row r="63" spans="1:27" x14ac:dyDescent="0.25">
      <c r="A63" s="2" t="s">
        <v>347</v>
      </c>
      <c r="B63" s="2"/>
      <c r="C63" s="2"/>
      <c r="D63" s="2" t="s">
        <v>348</v>
      </c>
      <c r="E63" s="2"/>
      <c r="F63" s="2"/>
      <c r="G63" s="2"/>
      <c r="H63" s="2"/>
      <c r="I63" s="2"/>
      <c r="O63" s="166"/>
      <c r="P63" s="4"/>
      <c r="Q63" s="43"/>
      <c r="R63" s="43"/>
      <c r="S63" s="43"/>
      <c r="T63" s="43"/>
      <c r="U63" s="43"/>
      <c r="V63" s="43"/>
      <c r="W63" s="43"/>
      <c r="X63" s="43"/>
      <c r="Y63" s="166"/>
      <c r="Z63" s="166"/>
      <c r="AA63" s="166"/>
    </row>
    <row r="64" spans="1:27" x14ac:dyDescent="0.25">
      <c r="O64" s="166"/>
      <c r="P64" s="43"/>
      <c r="Q64" s="43"/>
      <c r="R64" s="43"/>
      <c r="S64" s="43"/>
      <c r="T64" s="43"/>
      <c r="U64" s="43"/>
      <c r="V64" s="43"/>
      <c r="W64" s="43"/>
      <c r="X64" s="43"/>
      <c r="Y64" s="166"/>
      <c r="Z64" s="166"/>
      <c r="AA64" s="166"/>
    </row>
    <row r="65" spans="15:27" x14ac:dyDescent="0.25">
      <c r="O65" s="166"/>
      <c r="P65" s="43"/>
      <c r="Q65" s="43"/>
      <c r="R65" s="43"/>
      <c r="S65" s="43"/>
      <c r="T65" s="43"/>
      <c r="U65" s="43"/>
      <c r="V65" s="43"/>
      <c r="W65" s="43"/>
      <c r="X65" s="43"/>
      <c r="Y65" s="166"/>
      <c r="Z65" s="166"/>
      <c r="AA65" s="166"/>
    </row>
    <row r="66" spans="15:27" x14ac:dyDescent="0.25">
      <c r="O66" s="166"/>
      <c r="P66" s="43"/>
      <c r="Q66" s="43"/>
      <c r="R66" s="43"/>
      <c r="S66" s="43"/>
      <c r="T66" s="43"/>
      <c r="U66" s="43"/>
      <c r="V66" s="43"/>
      <c r="W66" s="43"/>
      <c r="X66" s="43"/>
      <c r="Y66" s="166"/>
      <c r="Z66" s="166"/>
      <c r="AA66" s="166"/>
    </row>
    <row r="67" spans="15:27" x14ac:dyDescent="0.25">
      <c r="O67" s="166"/>
      <c r="P67" s="218"/>
      <c r="Q67" s="219"/>
      <c r="R67" s="4"/>
      <c r="S67" s="4"/>
      <c r="T67" s="4"/>
      <c r="U67" s="43"/>
      <c r="V67" s="43"/>
      <c r="W67" s="43"/>
      <c r="X67" s="43"/>
      <c r="Y67" s="166"/>
      <c r="Z67" s="166"/>
      <c r="AA67" s="166"/>
    </row>
    <row r="68" spans="15:27" x14ac:dyDescent="0.25">
      <c r="O68" s="166"/>
      <c r="P68" s="189"/>
      <c r="Q68" s="69"/>
      <c r="R68" s="43"/>
      <c r="S68" s="43"/>
      <c r="T68" s="43"/>
      <c r="U68" s="43"/>
      <c r="V68" s="43"/>
      <c r="W68" s="43"/>
      <c r="X68" s="43"/>
      <c r="Y68" s="166"/>
      <c r="Z68" s="166"/>
      <c r="AA68" s="166"/>
    </row>
    <row r="69" spans="15:27" x14ac:dyDescent="0.25">
      <c r="O69" s="166"/>
      <c r="P69" s="189"/>
      <c r="Q69" s="69"/>
      <c r="R69" s="43"/>
      <c r="S69" s="43"/>
      <c r="T69" s="43"/>
      <c r="U69" s="43"/>
      <c r="V69" s="43"/>
      <c r="W69" s="43"/>
      <c r="X69" s="43"/>
      <c r="Y69" s="166"/>
      <c r="Z69" s="166"/>
      <c r="AA69" s="166"/>
    </row>
    <row r="70" spans="15:27" x14ac:dyDescent="0.25">
      <c r="O70" s="166"/>
      <c r="P70" s="189"/>
      <c r="Q70" s="69"/>
      <c r="R70" s="43"/>
      <c r="S70" s="43"/>
      <c r="T70" s="43"/>
      <c r="U70" s="43"/>
      <c r="V70" s="43"/>
      <c r="W70" s="43"/>
      <c r="X70" s="43"/>
      <c r="Y70" s="166"/>
      <c r="Z70" s="166"/>
      <c r="AA70" s="166"/>
    </row>
    <row r="71" spans="15:27" x14ac:dyDescent="0.25">
      <c r="O71" s="166"/>
      <c r="P71" s="189"/>
      <c r="Q71" s="69"/>
      <c r="R71" s="43"/>
      <c r="S71" s="43"/>
      <c r="T71" s="43"/>
      <c r="U71" s="43"/>
      <c r="V71" s="43"/>
      <c r="W71" s="43"/>
      <c r="X71" s="43"/>
      <c r="Y71" s="166"/>
      <c r="Z71" s="166"/>
      <c r="AA71" s="166"/>
    </row>
    <row r="72" spans="15:27" x14ac:dyDescent="0.25">
      <c r="O72" s="166"/>
      <c r="P72" s="68"/>
      <c r="Q72" s="43"/>
      <c r="R72" s="4"/>
      <c r="S72" s="4"/>
      <c r="T72" s="4"/>
      <c r="U72" s="4"/>
      <c r="V72" s="165"/>
      <c r="W72" s="43"/>
      <c r="X72" s="4"/>
      <c r="Y72" s="166"/>
      <c r="Z72" s="166"/>
      <c r="AA72" s="166"/>
    </row>
    <row r="73" spans="15:27" x14ac:dyDescent="0.25">
      <c r="O73" s="166"/>
      <c r="P73" s="43"/>
      <c r="Q73" s="43"/>
      <c r="R73" s="43"/>
      <c r="S73" s="43"/>
      <c r="T73" s="43"/>
      <c r="U73" s="43"/>
      <c r="V73" s="43"/>
      <c r="W73" s="43"/>
      <c r="X73" s="43"/>
      <c r="Y73" s="166"/>
      <c r="Z73" s="166"/>
      <c r="AA73" s="166"/>
    </row>
    <row r="74" spans="15:27" x14ac:dyDescent="0.25">
      <c r="O74" s="166"/>
      <c r="P74" s="43"/>
      <c r="Q74" s="4"/>
      <c r="R74" s="4"/>
      <c r="S74" s="43"/>
      <c r="T74" s="43"/>
      <c r="U74" s="43"/>
      <c r="V74" s="43"/>
      <c r="W74" s="43"/>
      <c r="X74" s="43"/>
      <c r="Y74" s="166"/>
      <c r="Z74" s="166"/>
      <c r="AA74" s="166"/>
    </row>
    <row r="75" spans="15:27" x14ac:dyDescent="0.25">
      <c r="O75" s="166"/>
      <c r="P75" s="68"/>
      <c r="Q75" s="69"/>
      <c r="R75" s="43"/>
      <c r="S75" s="43"/>
      <c r="T75" s="43"/>
      <c r="U75" s="43"/>
      <c r="V75" s="19"/>
      <c r="W75" s="43"/>
      <c r="X75" s="43"/>
      <c r="Y75" s="166"/>
      <c r="Z75" s="166"/>
      <c r="AA75" s="166"/>
    </row>
    <row r="76" spans="15:27" x14ac:dyDescent="0.25">
      <c r="O76" s="166"/>
      <c r="P76" s="68"/>
      <c r="Q76" s="43"/>
      <c r="R76" s="43"/>
      <c r="S76" s="43"/>
      <c r="T76" s="43"/>
      <c r="U76" s="43"/>
      <c r="V76" s="165"/>
      <c r="W76" s="4"/>
      <c r="X76" s="4"/>
      <c r="Y76" s="166"/>
      <c r="Z76" s="166"/>
      <c r="AA76" s="166"/>
    </row>
    <row r="77" spans="15:27" x14ac:dyDescent="0.25">
      <c r="O77" s="166"/>
      <c r="P77" s="43"/>
      <c r="Q77" s="43"/>
      <c r="R77" s="43"/>
      <c r="S77" s="43"/>
      <c r="T77" s="43"/>
      <c r="U77" s="43"/>
      <c r="V77" s="19"/>
      <c r="W77" s="43"/>
      <c r="X77" s="43"/>
      <c r="Y77" s="166"/>
      <c r="Z77" s="166"/>
      <c r="AA77" s="166"/>
    </row>
    <row r="78" spans="15:27" x14ac:dyDescent="0.25">
      <c r="O78" s="166"/>
      <c r="P78" s="43"/>
      <c r="Q78" s="43"/>
      <c r="R78" s="43"/>
      <c r="S78" s="43"/>
      <c r="T78" s="43"/>
      <c r="U78" s="43"/>
      <c r="V78" s="43"/>
      <c r="W78" s="43"/>
      <c r="X78" s="43"/>
      <c r="Y78" s="166"/>
      <c r="Z78" s="166"/>
      <c r="AA78" s="166"/>
    </row>
    <row r="79" spans="15:27" x14ac:dyDescent="0.25"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</row>
    <row r="80" spans="15:27" x14ac:dyDescent="0.25"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</row>
    <row r="81" spans="15:27" x14ac:dyDescent="0.25"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</row>
    <row r="82" spans="15:27" x14ac:dyDescent="0.25"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</row>
    <row r="83" spans="15:27" x14ac:dyDescent="0.25"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</row>
    <row r="84" spans="15:27" x14ac:dyDescent="0.25"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</row>
    <row r="85" spans="15:27" x14ac:dyDescent="0.25"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</row>
    <row r="86" spans="15:27" x14ac:dyDescent="0.25"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</row>
    <row r="87" spans="15:27" x14ac:dyDescent="0.25"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</row>
    <row r="88" spans="15:27" x14ac:dyDescent="0.25"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opLeftCell="A4" workbookViewId="0">
      <selection activeCell="D19" sqref="D19"/>
    </sheetView>
  </sheetViews>
  <sheetFormatPr defaultRowHeight="15" x14ac:dyDescent="0.25"/>
  <cols>
    <col min="1" max="1" width="5.42578125" customWidth="1"/>
    <col min="2" max="2" width="32.42578125" customWidth="1"/>
    <col min="3" max="3" width="12.140625" customWidth="1"/>
    <col min="4" max="4" width="13" customWidth="1"/>
    <col min="5" max="5" width="11.140625" customWidth="1"/>
    <col min="6" max="6" width="14.85546875" customWidth="1"/>
    <col min="7" max="7" width="8.5703125" customWidth="1"/>
    <col min="8" max="8" width="12.85546875" customWidth="1"/>
    <col min="9" max="9" width="19.2851562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7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27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27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27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27" x14ac:dyDescent="0.25">
      <c r="A6" s="1" t="s">
        <v>349</v>
      </c>
      <c r="B6" s="2"/>
      <c r="C6" s="2"/>
      <c r="D6" s="2"/>
      <c r="E6" s="2"/>
      <c r="F6" s="2"/>
      <c r="G6" s="2"/>
      <c r="H6" s="2"/>
      <c r="I6" s="2"/>
    </row>
    <row r="7" spans="1:27" x14ac:dyDescent="0.25">
      <c r="A7" s="2" t="s">
        <v>350</v>
      </c>
      <c r="B7" s="2"/>
      <c r="C7" s="2"/>
      <c r="D7" s="2"/>
      <c r="E7" s="2"/>
      <c r="F7" s="2"/>
      <c r="G7" s="2"/>
      <c r="H7" s="2"/>
      <c r="I7" s="2"/>
    </row>
    <row r="8" spans="1:27" x14ac:dyDescent="0.25">
      <c r="A8" s="2" t="s">
        <v>351</v>
      </c>
      <c r="B8" s="2"/>
      <c r="C8" s="2"/>
      <c r="D8" s="2"/>
      <c r="E8" s="2"/>
      <c r="F8" s="2"/>
      <c r="G8" s="2"/>
      <c r="H8" s="2"/>
      <c r="I8" s="2"/>
    </row>
    <row r="9" spans="1:27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27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27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27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27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27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</row>
    <row r="15" spans="1:27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</row>
    <row r="16" spans="1:27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  <c r="P16" s="4"/>
      <c r="Q16" s="4"/>
      <c r="R16" s="4"/>
      <c r="S16" s="4"/>
      <c r="T16" s="4"/>
      <c r="U16" s="4"/>
      <c r="V16" s="4"/>
      <c r="W16" s="4"/>
      <c r="X16" s="4"/>
      <c r="Y16" s="166"/>
      <c r="Z16" s="166"/>
      <c r="AA16" s="166"/>
    </row>
    <row r="17" spans="1:27" x14ac:dyDescent="0.25">
      <c r="A17" s="7">
        <v>1</v>
      </c>
      <c r="B17" s="8">
        <v>2</v>
      </c>
      <c r="C17" s="7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  <c r="P17" s="4"/>
      <c r="Q17" s="4"/>
      <c r="R17" s="4"/>
      <c r="S17" s="4"/>
      <c r="T17" s="4"/>
      <c r="U17" s="4"/>
      <c r="V17" s="4"/>
      <c r="W17" s="4"/>
      <c r="X17" s="220"/>
      <c r="Y17" s="166"/>
      <c r="Z17" s="166"/>
      <c r="AA17" s="166"/>
    </row>
    <row r="18" spans="1:27" x14ac:dyDescent="0.25">
      <c r="A18" s="14">
        <v>1</v>
      </c>
      <c r="B18" s="14" t="s">
        <v>323</v>
      </c>
      <c r="C18" s="11">
        <v>8.9600000000000009</v>
      </c>
      <c r="D18" s="16">
        <v>-64893.79</v>
      </c>
      <c r="E18" s="11">
        <v>419715.24</v>
      </c>
      <c r="F18" s="67">
        <v>416989.17</v>
      </c>
      <c r="G18" s="13">
        <f t="shared" ref="G18:G27" si="0">E18</f>
        <v>419715.24</v>
      </c>
      <c r="H18" s="16">
        <f>D18+F18-G18</f>
        <v>-67619.859999999986</v>
      </c>
      <c r="I18" s="16">
        <f>H18</f>
        <v>-67619.859999999986</v>
      </c>
      <c r="P18" s="4"/>
      <c r="Q18" s="4"/>
      <c r="R18" s="4"/>
      <c r="S18" s="4"/>
      <c r="T18" s="4"/>
      <c r="U18" s="4"/>
      <c r="V18" s="4"/>
      <c r="W18" s="4"/>
      <c r="X18" s="4"/>
      <c r="Y18" s="166"/>
      <c r="Z18" s="166"/>
      <c r="AA18" s="166"/>
    </row>
    <row r="19" spans="1:27" x14ac:dyDescent="0.25">
      <c r="A19" s="66" t="s">
        <v>138</v>
      </c>
      <c r="B19" s="17" t="s">
        <v>352</v>
      </c>
      <c r="C19" s="61">
        <v>3.08</v>
      </c>
      <c r="D19" s="21"/>
      <c r="E19" s="162">
        <f>E18*34.4%</f>
        <v>144382.04255999997</v>
      </c>
      <c r="F19" s="21">
        <f>F18*34.4%</f>
        <v>143444.27447999999</v>
      </c>
      <c r="G19" s="162">
        <f t="shared" si="0"/>
        <v>144382.04255999997</v>
      </c>
      <c r="H19" s="21"/>
      <c r="I19" s="21"/>
      <c r="P19" s="4"/>
      <c r="Q19" s="4"/>
      <c r="R19" s="4"/>
      <c r="S19" s="4"/>
      <c r="T19" s="4"/>
      <c r="U19" s="4"/>
      <c r="V19" s="4"/>
      <c r="W19" s="4"/>
      <c r="X19" s="4"/>
      <c r="Y19" s="166"/>
      <c r="Z19" s="166"/>
      <c r="AA19" s="166"/>
    </row>
    <row r="20" spans="1:27" x14ac:dyDescent="0.25">
      <c r="A20" s="22" t="s">
        <v>38</v>
      </c>
      <c r="B20" s="5" t="s">
        <v>353</v>
      </c>
      <c r="C20" s="54">
        <v>1.47</v>
      </c>
      <c r="D20" s="33"/>
      <c r="E20" s="24">
        <f>E18*16.4%</f>
        <v>68833.29935999999</v>
      </c>
      <c r="F20" s="33">
        <f>F18*16.4%</f>
        <v>68386.22387999999</v>
      </c>
      <c r="G20" s="24">
        <f t="shared" si="0"/>
        <v>68833.29935999999</v>
      </c>
      <c r="H20" s="33"/>
      <c r="I20" s="33"/>
      <c r="P20" s="4"/>
      <c r="Q20" s="43"/>
      <c r="R20" s="43"/>
      <c r="S20" s="43"/>
      <c r="T20" s="43"/>
      <c r="U20" s="43"/>
      <c r="V20" s="43"/>
      <c r="W20" s="43"/>
      <c r="X20" s="43"/>
      <c r="Y20" s="166"/>
      <c r="Z20" s="166"/>
      <c r="AA20" s="166"/>
    </row>
    <row r="21" spans="1:27" x14ac:dyDescent="0.25">
      <c r="A21" s="22" t="s">
        <v>40</v>
      </c>
      <c r="B21" s="5" t="s">
        <v>41</v>
      </c>
      <c r="C21" s="54">
        <v>1.81</v>
      </c>
      <c r="D21" s="33"/>
      <c r="E21" s="28">
        <f>E18*20.2%</f>
        <v>84782.478479999991</v>
      </c>
      <c r="F21" s="30">
        <f>F18*20.2%</f>
        <v>84231.812339999989</v>
      </c>
      <c r="G21" s="208">
        <f t="shared" si="0"/>
        <v>84782.478479999991</v>
      </c>
      <c r="H21" s="30"/>
      <c r="I21" s="33"/>
      <c r="P21" s="4"/>
      <c r="Q21" s="43"/>
      <c r="R21" s="43"/>
      <c r="S21" s="43"/>
      <c r="T21" s="43"/>
      <c r="U21" s="43"/>
      <c r="V21" s="43"/>
      <c r="W21" s="43"/>
      <c r="X21" s="43"/>
      <c r="Y21" s="166"/>
      <c r="Z21" s="166"/>
      <c r="AA21" s="166"/>
    </row>
    <row r="22" spans="1:27" x14ac:dyDescent="0.25">
      <c r="A22" s="31" t="s">
        <v>42</v>
      </c>
      <c r="B22" s="8" t="s">
        <v>43</v>
      </c>
      <c r="C22" s="9">
        <v>2.6</v>
      </c>
      <c r="D22" s="30"/>
      <c r="E22" s="28">
        <f>E18*29%</f>
        <v>121717.41959999999</v>
      </c>
      <c r="F22" s="30">
        <f>F18*29%</f>
        <v>120926.85929999998</v>
      </c>
      <c r="G22" s="28">
        <f t="shared" si="0"/>
        <v>121717.41959999999</v>
      </c>
      <c r="H22" s="30"/>
      <c r="I22" s="30"/>
      <c r="P22" s="43"/>
      <c r="Q22" s="43"/>
      <c r="R22" s="43"/>
      <c r="S22" s="43"/>
      <c r="T22" s="43"/>
      <c r="U22" s="43"/>
      <c r="V22" s="43"/>
      <c r="W22" s="43"/>
      <c r="X22" s="43"/>
      <c r="Y22" s="166"/>
      <c r="Z22" s="166"/>
      <c r="AA22" s="166"/>
    </row>
    <row r="23" spans="1:27" x14ac:dyDescent="0.25">
      <c r="A23" s="66" t="s">
        <v>44</v>
      </c>
      <c r="B23" s="17" t="s">
        <v>45</v>
      </c>
      <c r="C23" s="61">
        <v>1755.25</v>
      </c>
      <c r="D23" s="21">
        <v>1239.7</v>
      </c>
      <c r="E23" s="162">
        <v>12403.17</v>
      </c>
      <c r="F23" s="21">
        <v>12406.62</v>
      </c>
      <c r="G23" s="162">
        <f t="shared" si="0"/>
        <v>12403.17</v>
      </c>
      <c r="H23" s="21">
        <f>D23+F23-E23</f>
        <v>1243.1500000000015</v>
      </c>
      <c r="I23" s="21"/>
      <c r="P23" s="43"/>
      <c r="Q23" s="43"/>
      <c r="R23" s="43"/>
      <c r="S23" s="43"/>
      <c r="T23" s="43"/>
      <c r="U23" s="43"/>
      <c r="V23" s="43"/>
      <c r="W23" s="43"/>
      <c r="X23" s="43"/>
      <c r="Y23" s="166"/>
      <c r="Z23" s="166"/>
      <c r="AA23" s="166"/>
    </row>
    <row r="24" spans="1:27" x14ac:dyDescent="0.25">
      <c r="A24" s="66" t="s">
        <v>46</v>
      </c>
      <c r="B24" s="17" t="s">
        <v>47</v>
      </c>
      <c r="C24" s="61" t="s">
        <v>48</v>
      </c>
      <c r="D24" s="8">
        <v>-20852.54</v>
      </c>
      <c r="E24" s="8">
        <v>165647.82</v>
      </c>
      <c r="F24" s="9">
        <v>164644.07999999999</v>
      </c>
      <c r="G24" s="8">
        <f>E24</f>
        <v>165647.82</v>
      </c>
      <c r="H24" s="9">
        <f>D24+F24-E24</f>
        <v>-21856.280000000028</v>
      </c>
      <c r="I24" s="8">
        <f>H24</f>
        <v>-21856.280000000028</v>
      </c>
      <c r="P24" s="43"/>
      <c r="Q24" s="43"/>
      <c r="R24" s="43"/>
      <c r="S24" s="43"/>
      <c r="T24" s="43"/>
      <c r="U24" s="43"/>
      <c r="V24" s="43"/>
      <c r="W24" s="43"/>
      <c r="X24" s="43"/>
      <c r="Y24" s="166"/>
      <c r="Z24" s="166"/>
      <c r="AA24" s="166"/>
    </row>
    <row r="25" spans="1:27" x14ac:dyDescent="0.25">
      <c r="A25" s="11" t="s">
        <v>49</v>
      </c>
      <c r="B25" s="11" t="s">
        <v>140</v>
      </c>
      <c r="C25" s="13">
        <v>3.43</v>
      </c>
      <c r="D25" s="16">
        <v>-32091.31</v>
      </c>
      <c r="E25" s="13">
        <v>159598.85999999999</v>
      </c>
      <c r="F25" s="11">
        <v>158887.43</v>
      </c>
      <c r="G25" s="13">
        <f t="shared" si="0"/>
        <v>159598.85999999999</v>
      </c>
      <c r="H25" s="16">
        <f>D25+F25-G25</f>
        <v>-32802.739999999991</v>
      </c>
      <c r="I25" s="16">
        <f>H25</f>
        <v>-32802.739999999991</v>
      </c>
      <c r="P25" s="4"/>
      <c r="Q25" s="43"/>
      <c r="R25" s="43"/>
      <c r="S25" s="43"/>
      <c r="T25" s="43"/>
      <c r="U25" s="43"/>
      <c r="V25" s="43"/>
      <c r="W25" s="43"/>
      <c r="X25" s="43"/>
      <c r="Y25" s="166"/>
      <c r="Z25" s="166"/>
      <c r="AA25" s="166"/>
    </row>
    <row r="26" spans="1:27" x14ac:dyDescent="0.25">
      <c r="A26" s="10" t="s">
        <v>51</v>
      </c>
      <c r="B26" s="10" t="s">
        <v>50</v>
      </c>
      <c r="C26" s="35">
        <v>4.5999999999999996</v>
      </c>
      <c r="D26" s="16">
        <v>-31530.5</v>
      </c>
      <c r="E26" s="35">
        <v>215478.72</v>
      </c>
      <c r="F26" s="10">
        <v>215469.28</v>
      </c>
      <c r="G26" s="35">
        <f t="shared" si="0"/>
        <v>215478.72</v>
      </c>
      <c r="H26" s="38">
        <f>+D26+F26-G26</f>
        <v>-31539.940000000002</v>
      </c>
      <c r="I26" s="16">
        <f>H26</f>
        <v>-31539.940000000002</v>
      </c>
      <c r="P26" s="4"/>
      <c r="Q26" s="43"/>
      <c r="R26" s="43"/>
      <c r="S26" s="43"/>
      <c r="T26" s="43"/>
      <c r="U26" s="43"/>
      <c r="V26" s="43"/>
      <c r="W26" s="43"/>
      <c r="X26" s="43"/>
      <c r="Y26" s="166"/>
      <c r="Z26" s="166"/>
      <c r="AA26" s="166"/>
    </row>
    <row r="27" spans="1:27" x14ac:dyDescent="0.25">
      <c r="A27" s="10" t="s">
        <v>56</v>
      </c>
      <c r="B27" s="10" t="s">
        <v>191</v>
      </c>
      <c r="C27" s="193">
        <v>1</v>
      </c>
      <c r="D27" s="16">
        <v>-30.33</v>
      </c>
      <c r="E27" s="35">
        <v>46843.199999999997</v>
      </c>
      <c r="F27" s="10">
        <v>46327.66</v>
      </c>
      <c r="G27" s="35">
        <f t="shared" si="0"/>
        <v>46843.199999999997</v>
      </c>
      <c r="H27" s="38">
        <f>D27+F27-G27</f>
        <v>-545.86999999999534</v>
      </c>
      <c r="I27" s="16">
        <f>H27</f>
        <v>-545.86999999999534</v>
      </c>
      <c r="P27" s="4"/>
      <c r="Q27" s="43"/>
      <c r="R27" s="43"/>
      <c r="S27" s="43"/>
      <c r="T27" s="43"/>
      <c r="U27" s="43"/>
      <c r="V27" s="43"/>
      <c r="W27" s="43"/>
      <c r="X27" s="43"/>
      <c r="Y27" s="166"/>
      <c r="Z27" s="166"/>
      <c r="AA27" s="166"/>
    </row>
    <row r="28" spans="1:27" x14ac:dyDescent="0.25">
      <c r="A28" s="10" t="s">
        <v>60</v>
      </c>
      <c r="B28" s="11" t="s">
        <v>310</v>
      </c>
      <c r="C28" s="11">
        <v>1.82</v>
      </c>
      <c r="D28" s="11">
        <v>118012.25</v>
      </c>
      <c r="E28" s="11">
        <v>85254.84</v>
      </c>
      <c r="F28" s="11">
        <f>F29+F30</f>
        <v>90992.33</v>
      </c>
      <c r="G28" s="14">
        <f>G30+I62</f>
        <v>50199.09</v>
      </c>
      <c r="H28" s="11">
        <f>D28-D30+F28-G28</f>
        <v>158805.49000000002</v>
      </c>
      <c r="I28" s="11"/>
      <c r="P28" s="43"/>
      <c r="Q28" s="43"/>
      <c r="R28" s="43"/>
      <c r="S28" s="43"/>
      <c r="T28" s="43"/>
      <c r="U28" s="43"/>
      <c r="V28" s="43"/>
      <c r="W28" s="43"/>
      <c r="X28" s="43"/>
      <c r="Y28" s="166"/>
      <c r="Z28" s="166"/>
      <c r="AA28" s="166"/>
    </row>
    <row r="29" spans="1:27" x14ac:dyDescent="0.25">
      <c r="A29" s="10"/>
      <c r="B29" s="8" t="s">
        <v>354</v>
      </c>
      <c r="C29" s="13"/>
      <c r="D29" s="11">
        <v>0</v>
      </c>
      <c r="E29" s="13"/>
      <c r="F29" s="11">
        <v>87120.75</v>
      </c>
      <c r="G29" s="13"/>
      <c r="H29" s="11"/>
      <c r="I29" s="11"/>
      <c r="P29" s="43"/>
      <c r="Q29" s="43"/>
      <c r="R29" s="43"/>
      <c r="S29" s="43"/>
      <c r="T29" s="43"/>
      <c r="U29" s="43"/>
      <c r="V29" s="43"/>
      <c r="W29" s="43"/>
      <c r="X29" s="43"/>
      <c r="Y29" s="166"/>
      <c r="Z29" s="166"/>
      <c r="AA29" s="166"/>
    </row>
    <row r="30" spans="1:27" x14ac:dyDescent="0.25">
      <c r="A30" s="39"/>
      <c r="B30" s="17" t="s">
        <v>58</v>
      </c>
      <c r="C30" s="13"/>
      <c r="D30" s="11"/>
      <c r="E30" s="13"/>
      <c r="F30" s="11">
        <v>3871.58</v>
      </c>
      <c r="G30" s="13"/>
      <c r="H30" s="11"/>
      <c r="I30" s="11"/>
      <c r="P30" s="43"/>
      <c r="Q30" s="43"/>
      <c r="R30" s="43"/>
      <c r="S30" s="43"/>
      <c r="T30" s="43"/>
      <c r="U30" s="43"/>
      <c r="V30" s="43"/>
      <c r="W30" s="43"/>
      <c r="X30" s="43"/>
      <c r="Y30" s="166"/>
      <c r="Z30" s="166"/>
      <c r="AA30" s="166"/>
    </row>
    <row r="31" spans="1:27" x14ac:dyDescent="0.25">
      <c r="A31" s="10" t="s">
        <v>355</v>
      </c>
      <c r="B31" s="10" t="s">
        <v>57</v>
      </c>
      <c r="C31" s="13"/>
      <c r="D31" s="10">
        <v>2807.21</v>
      </c>
      <c r="E31" s="35">
        <v>0</v>
      </c>
      <c r="F31" s="10">
        <v>3871.58</v>
      </c>
      <c r="G31" s="35">
        <f>G32</f>
        <v>0</v>
      </c>
      <c r="H31" s="10">
        <v>0</v>
      </c>
      <c r="I31" s="11" t="s">
        <v>72</v>
      </c>
      <c r="P31" s="43"/>
      <c r="Q31" s="43"/>
      <c r="R31" s="43"/>
      <c r="S31" s="43"/>
      <c r="T31" s="43"/>
      <c r="U31" s="43"/>
      <c r="V31" s="43"/>
      <c r="W31" s="43"/>
      <c r="X31" s="43"/>
      <c r="Y31" s="166"/>
      <c r="Z31" s="166"/>
      <c r="AA31" s="166"/>
    </row>
    <row r="32" spans="1:27" x14ac:dyDescent="0.25">
      <c r="A32" s="8"/>
      <c r="B32" s="8" t="s">
        <v>354</v>
      </c>
      <c r="C32" s="9"/>
      <c r="D32" s="8">
        <v>0</v>
      </c>
      <c r="E32" s="9">
        <v>0</v>
      </c>
      <c r="F32" s="8">
        <v>1064.3699999999999</v>
      </c>
      <c r="G32" s="9">
        <v>0</v>
      </c>
      <c r="H32" s="8"/>
      <c r="I32" s="8"/>
      <c r="P32" s="43"/>
      <c r="Q32" s="43"/>
      <c r="R32" s="43"/>
      <c r="S32" s="43"/>
      <c r="T32" s="43"/>
      <c r="U32" s="43"/>
      <c r="V32" s="43"/>
      <c r="W32" s="43"/>
      <c r="X32" s="43"/>
      <c r="Y32" s="166"/>
      <c r="Z32" s="166"/>
      <c r="AA32" s="166"/>
    </row>
    <row r="33" spans="1:27" x14ac:dyDescent="0.25">
      <c r="A33" s="7"/>
      <c r="B33" s="17" t="s">
        <v>58</v>
      </c>
      <c r="C33" s="7"/>
      <c r="D33" s="7"/>
      <c r="E33" s="8"/>
      <c r="F33" s="8">
        <f>D31+F32</f>
        <v>3871.58</v>
      </c>
      <c r="G33" s="48"/>
      <c r="H33" s="48"/>
      <c r="I33" s="48"/>
      <c r="P33" s="4"/>
      <c r="Q33" s="4"/>
      <c r="R33" s="4"/>
      <c r="S33" s="165"/>
      <c r="T33" s="4"/>
      <c r="U33" s="4"/>
      <c r="V33" s="4"/>
      <c r="W33" s="165"/>
      <c r="X33" s="165"/>
      <c r="Y33" s="166"/>
      <c r="Z33" s="166"/>
      <c r="AA33" s="166"/>
    </row>
    <row r="34" spans="1:27" x14ac:dyDescent="0.25">
      <c r="A34" s="1" t="s">
        <v>59</v>
      </c>
      <c r="B34" s="2"/>
      <c r="C34" s="2"/>
      <c r="E34" s="2"/>
      <c r="F34" s="2"/>
      <c r="G34" s="2"/>
      <c r="H34" s="2"/>
      <c r="I34" s="2"/>
      <c r="P34" s="68"/>
      <c r="Q34" s="43"/>
      <c r="R34" s="43"/>
      <c r="S34" s="19"/>
      <c r="T34" s="19"/>
      <c r="U34" s="19"/>
      <c r="V34" s="19"/>
      <c r="W34" s="19"/>
      <c r="X34" s="19"/>
      <c r="Y34" s="166"/>
      <c r="Z34" s="166"/>
      <c r="AA34" s="166"/>
    </row>
    <row r="35" spans="1:27" x14ac:dyDescent="0.25">
      <c r="A35" s="63" t="s">
        <v>193</v>
      </c>
      <c r="B35" s="54" t="s">
        <v>61</v>
      </c>
      <c r="C35" s="5" t="s">
        <v>356</v>
      </c>
      <c r="D35" s="5" t="s">
        <v>63</v>
      </c>
      <c r="E35" s="54" t="s">
        <v>64</v>
      </c>
      <c r="F35" s="5" t="s">
        <v>62</v>
      </c>
      <c r="G35" s="5" t="s">
        <v>151</v>
      </c>
      <c r="H35" s="54" t="s">
        <v>195</v>
      </c>
      <c r="I35" s="47"/>
      <c r="P35" s="68"/>
      <c r="Q35" s="43"/>
      <c r="R35" s="43"/>
      <c r="S35" s="19"/>
      <c r="T35" s="19"/>
      <c r="U35" s="19"/>
      <c r="V35" s="19"/>
      <c r="W35" s="19"/>
      <c r="X35" s="19"/>
      <c r="Y35" s="166"/>
      <c r="Z35" s="166"/>
      <c r="AA35" s="166"/>
    </row>
    <row r="36" spans="1:27" x14ac:dyDescent="0.25">
      <c r="A36" s="6"/>
      <c r="B36" s="43"/>
      <c r="C36" s="6" t="s">
        <v>67</v>
      </c>
      <c r="D36" s="17" t="s">
        <v>357</v>
      </c>
      <c r="E36" s="61" t="s">
        <v>312</v>
      </c>
      <c r="F36" s="6" t="s">
        <v>30</v>
      </c>
      <c r="G36" s="6"/>
      <c r="H36" s="61"/>
      <c r="I36" s="51"/>
      <c r="P36" s="68"/>
      <c r="Q36" s="43"/>
      <c r="R36" s="43"/>
      <c r="S36" s="19"/>
      <c r="T36" s="19"/>
      <c r="U36" s="19"/>
      <c r="V36" s="213"/>
      <c r="W36" s="19"/>
      <c r="X36" s="19"/>
      <c r="Y36" s="166"/>
      <c r="Z36" s="166"/>
      <c r="AA36" s="166"/>
    </row>
    <row r="37" spans="1:27" x14ac:dyDescent="0.25">
      <c r="A37" s="11"/>
      <c r="B37" s="61" t="s">
        <v>69</v>
      </c>
      <c r="C37" s="8">
        <v>15620.55</v>
      </c>
      <c r="D37" s="51">
        <v>6000</v>
      </c>
      <c r="E37" s="162">
        <f>D37*15%</f>
        <v>900</v>
      </c>
      <c r="F37" s="29">
        <f>C37+(D37-E37)</f>
        <v>20720.55</v>
      </c>
      <c r="G37" s="30">
        <f ca="1">G:G=F37</f>
        <v>0</v>
      </c>
      <c r="H37" s="162">
        <f>F37</f>
        <v>20720.55</v>
      </c>
      <c r="I37" s="51"/>
      <c r="P37" s="68"/>
      <c r="Q37" s="43"/>
      <c r="R37" s="43"/>
      <c r="S37" s="19"/>
      <c r="T37" s="19"/>
      <c r="U37" s="19"/>
      <c r="V37" s="19"/>
      <c r="W37" s="19"/>
      <c r="X37" s="19"/>
      <c r="Y37" s="166"/>
      <c r="Z37" s="166"/>
      <c r="AA37" s="166"/>
    </row>
    <row r="38" spans="1:27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3"/>
      <c r="P38" s="68"/>
      <c r="Q38" s="43"/>
      <c r="R38" s="43"/>
      <c r="S38" s="19"/>
      <c r="T38" s="19"/>
      <c r="U38" s="19"/>
      <c r="V38" s="19"/>
      <c r="W38" s="19"/>
      <c r="X38" s="19"/>
      <c r="Y38" s="166"/>
      <c r="Z38" s="166"/>
      <c r="AA38" s="166"/>
    </row>
    <row r="39" spans="1:27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2"/>
      <c r="P39" s="68"/>
      <c r="Q39" s="43"/>
      <c r="R39" s="43"/>
      <c r="S39" s="43"/>
      <c r="T39" s="43"/>
      <c r="U39" s="43"/>
      <c r="V39" s="43"/>
      <c r="W39" s="43"/>
      <c r="X39" s="43"/>
      <c r="Y39" s="166"/>
      <c r="Z39" s="166"/>
      <c r="AA39" s="166"/>
    </row>
    <row r="40" spans="1:27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  <c r="P40" s="4"/>
      <c r="Q40" s="4"/>
      <c r="R40" s="4"/>
      <c r="S40" s="165"/>
      <c r="T40" s="4"/>
      <c r="U40" s="4"/>
      <c r="V40" s="4"/>
      <c r="W40" s="165"/>
      <c r="X40" s="165"/>
      <c r="Y40" s="166"/>
      <c r="Z40" s="166"/>
      <c r="AA40" s="166"/>
    </row>
    <row r="41" spans="1:27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  <c r="P41" s="4"/>
      <c r="Q41" s="4"/>
      <c r="R41" s="4"/>
      <c r="S41" s="165"/>
      <c r="T41" s="4"/>
      <c r="U41" s="4"/>
      <c r="V41" s="4"/>
      <c r="W41" s="165"/>
      <c r="X41" s="165"/>
      <c r="Y41" s="166"/>
      <c r="Z41" s="166"/>
      <c r="AA41" s="166"/>
    </row>
    <row r="42" spans="1:27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/>
      <c r="I42" s="6" t="s">
        <v>221</v>
      </c>
      <c r="P42" s="4"/>
      <c r="Q42" s="4"/>
      <c r="R42" s="165"/>
      <c r="S42" s="165"/>
      <c r="T42" s="4"/>
      <c r="U42" s="4"/>
      <c r="V42" s="4"/>
      <c r="W42" s="165"/>
      <c r="X42" s="165"/>
      <c r="Y42" s="166"/>
      <c r="Z42" s="166"/>
      <c r="AA42" s="166"/>
    </row>
    <row r="43" spans="1:27" x14ac:dyDescent="0.25">
      <c r="A43" s="6"/>
      <c r="B43" s="49"/>
      <c r="C43" s="6"/>
      <c r="D43" s="43"/>
      <c r="E43" s="6"/>
      <c r="F43" s="43"/>
      <c r="G43" s="6"/>
      <c r="H43" s="43"/>
      <c r="I43" s="6"/>
      <c r="P43" s="4"/>
      <c r="Q43" s="4"/>
      <c r="R43" s="4"/>
      <c r="S43" s="4"/>
      <c r="T43" s="4"/>
      <c r="U43" s="4"/>
      <c r="V43" s="4"/>
      <c r="W43" s="4"/>
      <c r="X43" s="4"/>
      <c r="Y43" s="166"/>
      <c r="Z43" s="166"/>
      <c r="AA43" s="166"/>
    </row>
    <row r="44" spans="1:27" x14ac:dyDescent="0.25">
      <c r="A44" s="8"/>
      <c r="B44" s="7"/>
      <c r="C44" s="8"/>
      <c r="D44" s="9"/>
      <c r="E44" s="8"/>
      <c r="F44" s="9"/>
      <c r="G44" s="8"/>
      <c r="H44" s="9"/>
      <c r="I44" s="8"/>
      <c r="P44" s="4"/>
      <c r="Q44" s="43"/>
      <c r="R44" s="4"/>
      <c r="S44" s="4"/>
      <c r="T44" s="4"/>
      <c r="U44" s="4"/>
      <c r="V44" s="4"/>
      <c r="W44" s="4"/>
      <c r="X44" s="4"/>
      <c r="Y44" s="166"/>
      <c r="Z44" s="166"/>
      <c r="AA44" s="166"/>
    </row>
    <row r="45" spans="1:27" x14ac:dyDescent="0.25">
      <c r="A45" s="6">
        <v>1</v>
      </c>
      <c r="B45" s="6" t="s">
        <v>91</v>
      </c>
      <c r="C45" s="4" t="s">
        <v>92</v>
      </c>
      <c r="D45" s="6">
        <v>-94131.24</v>
      </c>
      <c r="E45" s="217">
        <v>322640.96999999997</v>
      </c>
      <c r="F45" s="6">
        <v>320912.08</v>
      </c>
      <c r="G45" s="43">
        <f>E45</f>
        <v>322640.96999999997</v>
      </c>
      <c r="H45" s="6">
        <f>F45-G45+D45</f>
        <v>-95860.129999999961</v>
      </c>
      <c r="I45" s="6">
        <f>H45</f>
        <v>-95860.129999999961</v>
      </c>
      <c r="P45" s="4"/>
      <c r="Q45" s="43"/>
      <c r="R45" s="4"/>
      <c r="S45" s="4"/>
      <c r="T45" s="4"/>
      <c r="U45" s="4"/>
      <c r="V45" s="4"/>
      <c r="W45" s="4"/>
      <c r="X45" s="4"/>
      <c r="Y45" s="166"/>
      <c r="Z45" s="166"/>
      <c r="AA45" s="166"/>
    </row>
    <row r="46" spans="1:27" x14ac:dyDescent="0.25">
      <c r="A46" s="8"/>
      <c r="B46" s="8" t="s">
        <v>93</v>
      </c>
      <c r="C46" s="35" t="s">
        <v>94</v>
      </c>
      <c r="D46" s="8"/>
      <c r="E46" s="59"/>
      <c r="F46" s="8"/>
      <c r="G46" s="9"/>
      <c r="H46" s="8"/>
      <c r="I46" s="8"/>
      <c r="P46" s="4"/>
      <c r="Q46" s="4"/>
      <c r="R46" s="4"/>
      <c r="S46" s="4"/>
      <c r="T46" s="4"/>
      <c r="U46" s="4"/>
      <c r="V46" s="4"/>
      <c r="W46" s="4"/>
      <c r="X46" s="4"/>
      <c r="Y46" s="166"/>
      <c r="Z46" s="166"/>
      <c r="AA46" s="166"/>
    </row>
    <row r="47" spans="1:27" x14ac:dyDescent="0.25">
      <c r="A47" s="6">
        <v>2</v>
      </c>
      <c r="B47" s="6" t="s">
        <v>160</v>
      </c>
      <c r="C47" s="1" t="s">
        <v>96</v>
      </c>
      <c r="D47" s="6">
        <v>-150464.57</v>
      </c>
      <c r="E47" s="2">
        <v>503828.67</v>
      </c>
      <c r="F47" s="6">
        <v>514034.18</v>
      </c>
      <c r="G47" s="6">
        <f>E47</f>
        <v>503828.67</v>
      </c>
      <c r="H47" s="6">
        <f>F47-G47+D47</f>
        <v>-140259.06</v>
      </c>
      <c r="I47" s="17">
        <f>D47+F47-G47</f>
        <v>-140259.06</v>
      </c>
      <c r="P47" s="43"/>
      <c r="Q47" s="43"/>
      <c r="R47" s="43"/>
      <c r="S47" s="43"/>
      <c r="T47" s="43"/>
      <c r="U47" s="43"/>
      <c r="V47" s="43"/>
      <c r="W47" s="43"/>
      <c r="X47" s="43"/>
      <c r="Y47" s="166"/>
      <c r="Z47" s="166"/>
      <c r="AA47" s="166"/>
    </row>
    <row r="48" spans="1:27" x14ac:dyDescent="0.25">
      <c r="A48" s="8"/>
      <c r="B48" s="8" t="s">
        <v>313</v>
      </c>
      <c r="C48" s="35" t="s">
        <v>94</v>
      </c>
      <c r="D48" s="8"/>
      <c r="E48" s="9"/>
      <c r="F48" s="8"/>
      <c r="G48" s="8"/>
      <c r="H48" s="8"/>
      <c r="I48" s="8"/>
      <c r="P48" s="43"/>
      <c r="Q48" s="43"/>
      <c r="R48" s="43"/>
      <c r="S48" s="43"/>
      <c r="T48" s="43"/>
      <c r="U48" s="43"/>
      <c r="V48" s="43"/>
      <c r="W48" s="43"/>
      <c r="X48" s="43"/>
      <c r="Y48" s="166"/>
      <c r="Z48" s="166"/>
      <c r="AA48" s="166"/>
    </row>
    <row r="49" spans="1:27" x14ac:dyDescent="0.25">
      <c r="A49" s="8">
        <v>3</v>
      </c>
      <c r="B49" s="8" t="s">
        <v>99</v>
      </c>
      <c r="C49" s="35" t="s">
        <v>100</v>
      </c>
      <c r="D49" s="8">
        <v>-400208.34</v>
      </c>
      <c r="E49" s="9">
        <v>1129785.3</v>
      </c>
      <c r="F49" s="8">
        <v>1095718.8999999999</v>
      </c>
      <c r="G49" s="8">
        <f>E49</f>
        <v>1129785.3</v>
      </c>
      <c r="H49" s="8">
        <f>F49-G49+D49</f>
        <v>-434274.74000000017</v>
      </c>
      <c r="I49" s="8">
        <f>H49</f>
        <v>-434274.74000000017</v>
      </c>
      <c r="P49" s="4"/>
      <c r="Q49" s="43"/>
      <c r="R49" s="43"/>
      <c r="S49" s="166"/>
      <c r="T49" s="43"/>
      <c r="U49" s="43"/>
      <c r="V49" s="43"/>
      <c r="W49" s="43"/>
      <c r="X49" s="43"/>
      <c r="Y49" s="166"/>
      <c r="Z49" s="166"/>
      <c r="AA49" s="166"/>
    </row>
    <row r="50" spans="1:27" x14ac:dyDescent="0.25">
      <c r="A50" s="2"/>
      <c r="B50" s="2"/>
      <c r="C50" s="2"/>
      <c r="D50" s="2"/>
      <c r="E50" s="2"/>
      <c r="F50" s="2"/>
      <c r="G50" s="2"/>
      <c r="H50" s="2"/>
      <c r="I50" s="2"/>
      <c r="P50" s="4"/>
      <c r="Q50" s="43"/>
      <c r="R50" s="43"/>
      <c r="S50" s="43"/>
      <c r="T50" s="43"/>
      <c r="U50" s="43"/>
      <c r="V50" s="43"/>
      <c r="W50" s="43"/>
      <c r="X50" s="43"/>
      <c r="Y50" s="166"/>
      <c r="Z50" s="166"/>
      <c r="AA50" s="166"/>
    </row>
    <row r="51" spans="1:27" x14ac:dyDescent="0.25">
      <c r="A51" s="1" t="s">
        <v>358</v>
      </c>
      <c r="B51" s="2"/>
      <c r="C51" s="2"/>
      <c r="D51" s="2"/>
      <c r="E51" s="2"/>
      <c r="F51" s="2"/>
      <c r="G51" s="2"/>
      <c r="H51" s="2"/>
      <c r="I51" s="2"/>
      <c r="P51" s="43"/>
      <c r="Q51" s="43"/>
      <c r="R51" s="43"/>
      <c r="S51" s="43"/>
      <c r="T51" s="43"/>
      <c r="U51" s="43"/>
      <c r="V51" s="43"/>
      <c r="W51" s="43"/>
      <c r="X51" s="43"/>
      <c r="Y51" s="166"/>
      <c r="Z51" s="166"/>
      <c r="AA51" s="166"/>
    </row>
    <row r="52" spans="1:27" x14ac:dyDescent="0.25">
      <c r="A52" s="4" t="s">
        <v>102</v>
      </c>
      <c r="B52" s="1"/>
      <c r="C52" s="1"/>
      <c r="D52" s="1"/>
      <c r="E52" s="1"/>
      <c r="F52" s="1"/>
      <c r="G52" s="1"/>
      <c r="H52" s="2"/>
      <c r="I52" s="2"/>
      <c r="P52" s="4"/>
      <c r="Q52" s="43"/>
      <c r="R52" s="43"/>
      <c r="S52" s="43"/>
      <c r="T52" s="19"/>
      <c r="U52" s="19"/>
      <c r="V52" s="19"/>
      <c r="W52" s="19"/>
      <c r="X52" s="43"/>
      <c r="Y52" s="166"/>
      <c r="Z52" s="166"/>
      <c r="AA52" s="166"/>
    </row>
    <row r="53" spans="1:27" x14ac:dyDescent="0.25">
      <c r="A53" s="46" t="s">
        <v>12</v>
      </c>
      <c r="B53" s="5" t="s">
        <v>103</v>
      </c>
      <c r="C53" s="46" t="s">
        <v>104</v>
      </c>
      <c r="D53" s="54"/>
      <c r="E53" s="54"/>
      <c r="F53" s="54"/>
      <c r="G53" s="46" t="s">
        <v>105</v>
      </c>
      <c r="H53" s="5" t="s">
        <v>106</v>
      </c>
      <c r="I53" s="47" t="s">
        <v>107</v>
      </c>
      <c r="P53" s="4"/>
      <c r="Q53" s="4"/>
      <c r="R53" s="4"/>
      <c r="S53" s="52"/>
      <c r="T53" s="4"/>
      <c r="U53" s="4"/>
      <c r="V53" s="4"/>
      <c r="W53" s="4"/>
      <c r="X53" s="43"/>
      <c r="Y53" s="166"/>
      <c r="Z53" s="166"/>
      <c r="AA53" s="166"/>
    </row>
    <row r="54" spans="1:27" x14ac:dyDescent="0.25">
      <c r="A54" s="49" t="s">
        <v>108</v>
      </c>
      <c r="B54" s="6"/>
      <c r="C54" s="49"/>
      <c r="D54" s="43"/>
      <c r="E54" s="43"/>
      <c r="F54" s="43"/>
      <c r="G54" s="49"/>
      <c r="H54" s="6"/>
      <c r="I54" s="56" t="s">
        <v>109</v>
      </c>
      <c r="P54" s="4"/>
      <c r="Q54" s="4"/>
      <c r="R54" s="4"/>
      <c r="S54" s="4"/>
      <c r="T54" s="4"/>
      <c r="U54" s="4"/>
      <c r="V54" s="4"/>
      <c r="W54" s="4"/>
      <c r="X54" s="43"/>
      <c r="Y54" s="166"/>
      <c r="Z54" s="166"/>
      <c r="AA54" s="166"/>
    </row>
    <row r="55" spans="1:27" x14ac:dyDescent="0.25">
      <c r="A55" s="49"/>
      <c r="B55" s="17"/>
      <c r="C55" s="50"/>
      <c r="D55" s="61"/>
      <c r="E55" s="61"/>
      <c r="F55" s="61"/>
      <c r="G55" s="50"/>
      <c r="H55" s="17"/>
      <c r="I55" s="51"/>
      <c r="P55" s="43"/>
      <c r="Q55" s="4"/>
      <c r="R55" s="43"/>
      <c r="S55" s="43"/>
      <c r="T55" s="43"/>
      <c r="U55" s="43"/>
      <c r="V55" s="43"/>
      <c r="W55" s="43"/>
      <c r="X55" s="43"/>
      <c r="Y55" s="166"/>
      <c r="Z55" s="166"/>
      <c r="AA55" s="166"/>
    </row>
    <row r="56" spans="1:27" x14ac:dyDescent="0.25">
      <c r="A56" s="221"/>
      <c r="B56" s="63"/>
      <c r="C56" s="53" t="s">
        <v>110</v>
      </c>
      <c r="D56" s="159"/>
      <c r="E56" s="159"/>
      <c r="F56" s="47"/>
      <c r="G56" s="49"/>
      <c r="H56" s="6"/>
      <c r="I56" s="47"/>
      <c r="P56" s="43"/>
      <c r="Q56" s="4"/>
      <c r="R56" s="43"/>
      <c r="S56" s="43"/>
      <c r="T56" s="43"/>
      <c r="U56" s="43"/>
      <c r="V56" s="43"/>
      <c r="W56" s="43"/>
      <c r="X56" s="43"/>
      <c r="Y56" s="166"/>
      <c r="Z56" s="166"/>
      <c r="AA56" s="166"/>
    </row>
    <row r="57" spans="1:27" x14ac:dyDescent="0.25">
      <c r="A57" s="222">
        <v>1</v>
      </c>
      <c r="B57" s="65">
        <v>43315</v>
      </c>
      <c r="C57" s="49" t="s">
        <v>359</v>
      </c>
      <c r="D57" s="43"/>
      <c r="E57" s="43"/>
      <c r="F57" s="56"/>
      <c r="G57" s="49" t="s">
        <v>172</v>
      </c>
      <c r="H57" s="6">
        <v>1</v>
      </c>
      <c r="I57" s="56">
        <v>22000</v>
      </c>
      <c r="P57" s="43"/>
      <c r="Q57" s="43"/>
      <c r="R57" s="43"/>
      <c r="S57" s="43"/>
      <c r="T57" s="43"/>
      <c r="U57" s="43"/>
      <c r="V57" s="43"/>
      <c r="W57" s="43"/>
      <c r="X57" s="43"/>
      <c r="Y57" s="166"/>
      <c r="Z57" s="166"/>
      <c r="AA57" s="166"/>
    </row>
    <row r="58" spans="1:27" x14ac:dyDescent="0.25">
      <c r="A58" s="222">
        <v>2</v>
      </c>
      <c r="B58" s="65">
        <v>43409</v>
      </c>
      <c r="C58" s="49" t="s">
        <v>360</v>
      </c>
      <c r="D58" s="43"/>
      <c r="E58" s="43"/>
      <c r="F58" s="56"/>
      <c r="G58" s="44" t="s">
        <v>169</v>
      </c>
      <c r="H58" s="6">
        <v>6.5970000000000004</v>
      </c>
      <c r="I58" s="56">
        <v>4705</v>
      </c>
      <c r="P58" s="43"/>
      <c r="Q58" s="43"/>
      <c r="R58" s="43"/>
      <c r="S58" s="43"/>
      <c r="T58" s="43"/>
      <c r="U58" s="43"/>
      <c r="V58" s="43"/>
      <c r="W58" s="43"/>
      <c r="X58" s="43"/>
      <c r="Y58" s="166"/>
      <c r="Z58" s="166"/>
      <c r="AA58" s="166"/>
    </row>
    <row r="59" spans="1:27" x14ac:dyDescent="0.25">
      <c r="A59" s="222">
        <v>3</v>
      </c>
      <c r="B59" s="65">
        <v>43434</v>
      </c>
      <c r="C59" s="49" t="s">
        <v>361</v>
      </c>
      <c r="D59" s="43"/>
      <c r="E59" s="43"/>
      <c r="F59" s="56"/>
      <c r="G59" s="49" t="s">
        <v>116</v>
      </c>
      <c r="H59" s="6">
        <v>1.2</v>
      </c>
      <c r="I59" s="56">
        <v>2669.09</v>
      </c>
      <c r="P59" s="43"/>
      <c r="Q59" s="43"/>
      <c r="R59" s="43"/>
      <c r="S59" s="43"/>
      <c r="T59" s="43"/>
      <c r="U59" s="43"/>
      <c r="V59" s="43"/>
      <c r="W59" s="43"/>
      <c r="X59" s="43"/>
      <c r="Y59" s="166"/>
      <c r="Z59" s="166"/>
      <c r="AA59" s="166"/>
    </row>
    <row r="60" spans="1:27" x14ac:dyDescent="0.25">
      <c r="A60" s="222">
        <v>4</v>
      </c>
      <c r="B60" s="65">
        <v>43441</v>
      </c>
      <c r="C60" s="49" t="s">
        <v>362</v>
      </c>
      <c r="D60" s="43"/>
      <c r="E60" s="43"/>
      <c r="F60" s="56"/>
      <c r="G60" s="44" t="s">
        <v>205</v>
      </c>
      <c r="H60" s="6">
        <v>3</v>
      </c>
      <c r="I60" s="56">
        <v>20825</v>
      </c>
      <c r="P60" s="43"/>
      <c r="Q60" s="43"/>
      <c r="R60" s="4"/>
      <c r="S60" s="43"/>
      <c r="T60" s="217"/>
      <c r="U60" s="43"/>
      <c r="V60" s="43"/>
      <c r="W60" s="43"/>
      <c r="X60" s="43"/>
      <c r="Y60" s="166"/>
      <c r="Z60" s="166"/>
      <c r="AA60" s="166"/>
    </row>
    <row r="61" spans="1:27" x14ac:dyDescent="0.25">
      <c r="A61" s="222"/>
      <c r="B61" s="65"/>
      <c r="C61" s="49"/>
      <c r="D61" s="43"/>
      <c r="E61" s="43"/>
      <c r="F61" s="56"/>
      <c r="G61" s="44"/>
      <c r="H61" s="6"/>
      <c r="I61" s="56"/>
      <c r="P61" s="43"/>
      <c r="Q61" s="43"/>
      <c r="R61" s="4"/>
      <c r="S61" s="43"/>
      <c r="T61" s="217"/>
      <c r="U61" s="43"/>
      <c r="V61" s="43"/>
      <c r="W61" s="43"/>
      <c r="X61" s="43"/>
      <c r="Y61" s="166"/>
      <c r="Z61" s="166"/>
      <c r="AA61" s="166"/>
    </row>
    <row r="62" spans="1:27" x14ac:dyDescent="0.25">
      <c r="A62" s="223"/>
      <c r="B62" s="17"/>
      <c r="C62" s="14" t="s">
        <v>117</v>
      </c>
      <c r="D62" s="13"/>
      <c r="E62" s="13"/>
      <c r="F62" s="67"/>
      <c r="G62" s="15"/>
      <c r="H62" s="11"/>
      <c r="I62" s="67">
        <f>SUM(I56:I61)</f>
        <v>50199.09</v>
      </c>
      <c r="P62" s="43"/>
      <c r="Q62" s="43"/>
      <c r="R62" s="4"/>
      <c r="S62" s="43"/>
      <c r="T62" s="43"/>
      <c r="U62" s="43"/>
      <c r="V62" s="43"/>
      <c r="W62" s="43"/>
      <c r="X62" s="43"/>
      <c r="Y62" s="166"/>
      <c r="Z62" s="166"/>
      <c r="AA62" s="166"/>
    </row>
    <row r="63" spans="1:27" x14ac:dyDescent="0.25">
      <c r="A63" s="43"/>
      <c r="B63" s="43"/>
      <c r="C63" s="43"/>
      <c r="D63" s="43"/>
      <c r="E63" s="43"/>
      <c r="F63" s="43"/>
      <c r="G63" s="19"/>
      <c r="H63" s="43"/>
      <c r="I63" s="43"/>
      <c r="P63" s="43"/>
      <c r="Q63" s="43"/>
      <c r="R63" s="4"/>
      <c r="S63" s="43"/>
      <c r="T63" s="43"/>
      <c r="U63" s="43"/>
      <c r="V63" s="43"/>
      <c r="W63" s="43"/>
      <c r="X63" s="43"/>
      <c r="Y63" s="166"/>
      <c r="Z63" s="166"/>
      <c r="AA63" s="166"/>
    </row>
    <row r="64" spans="1:27" x14ac:dyDescent="0.25">
      <c r="A64" s="43"/>
      <c r="B64" s="4"/>
      <c r="C64" s="4"/>
      <c r="D64" s="43"/>
      <c r="E64" s="43"/>
      <c r="F64" s="43"/>
      <c r="G64" s="43"/>
      <c r="H64" s="43"/>
      <c r="I64" s="43"/>
      <c r="P64" s="43"/>
      <c r="Q64" s="43"/>
      <c r="R64" s="4"/>
      <c r="S64" s="43"/>
      <c r="T64" s="43"/>
      <c r="U64" s="43"/>
      <c r="V64" s="43"/>
      <c r="W64" s="43"/>
      <c r="X64" s="43"/>
      <c r="Y64" s="166"/>
      <c r="Z64" s="166"/>
      <c r="AA64" s="166"/>
    </row>
    <row r="65" spans="1:27" x14ac:dyDescent="0.25">
      <c r="A65" s="43"/>
      <c r="B65" s="43"/>
      <c r="C65" s="4"/>
      <c r="D65" s="4"/>
      <c r="E65" s="4"/>
      <c r="F65" s="4"/>
      <c r="G65" s="165"/>
      <c r="H65" s="4"/>
      <c r="I65" s="4"/>
      <c r="P65" s="4"/>
      <c r="Q65" s="4"/>
      <c r="R65" s="4"/>
      <c r="S65" s="4"/>
      <c r="T65" s="4"/>
      <c r="U65" s="4"/>
      <c r="V65" s="4"/>
      <c r="W65" s="43"/>
      <c r="X65" s="43"/>
      <c r="Y65" s="166"/>
      <c r="Z65" s="166"/>
      <c r="AA65" s="166"/>
    </row>
    <row r="66" spans="1:27" x14ac:dyDescent="0.25">
      <c r="A66" s="2" t="s">
        <v>302</v>
      </c>
      <c r="B66" s="2"/>
      <c r="C66" s="2" t="s">
        <v>363</v>
      </c>
      <c r="D66" s="2"/>
      <c r="E66" s="2"/>
      <c r="F66" s="2"/>
      <c r="G66" s="2"/>
      <c r="H66" s="2"/>
      <c r="I66" s="2"/>
      <c r="P66" s="43"/>
      <c r="Q66" s="43"/>
      <c r="R66" s="43"/>
      <c r="S66" s="43"/>
      <c r="T66" s="43"/>
      <c r="U66" s="43"/>
      <c r="V66" s="43"/>
      <c r="W66" s="43"/>
      <c r="X66" s="43"/>
      <c r="Y66" s="166"/>
      <c r="Z66" s="166"/>
      <c r="AA66" s="166"/>
    </row>
    <row r="67" spans="1:27" x14ac:dyDescent="0.25">
      <c r="A67" s="2"/>
      <c r="B67" s="2"/>
      <c r="C67" s="2"/>
      <c r="D67" s="2"/>
      <c r="E67" s="2"/>
      <c r="F67" s="2"/>
      <c r="G67" s="2"/>
      <c r="H67" s="2"/>
      <c r="I67" s="2"/>
      <c r="P67" s="43"/>
      <c r="Q67" s="43"/>
      <c r="R67" s="43"/>
      <c r="S67" s="43"/>
      <c r="T67" s="43"/>
      <c r="U67" s="43"/>
      <c r="V67" s="43"/>
      <c r="W67" s="43"/>
      <c r="X67" s="43"/>
      <c r="Y67" s="166"/>
      <c r="Z67" s="166"/>
      <c r="AA67" s="166"/>
    </row>
    <row r="68" spans="1:27" x14ac:dyDescent="0.25">
      <c r="P68" s="43"/>
      <c r="Q68" s="43"/>
      <c r="R68" s="43"/>
      <c r="S68" s="43"/>
      <c r="T68" s="43"/>
      <c r="U68" s="43"/>
      <c r="V68" s="43"/>
      <c r="W68" s="43"/>
      <c r="X68" s="43"/>
      <c r="Y68" s="166"/>
      <c r="Z68" s="166"/>
      <c r="AA68" s="166"/>
    </row>
    <row r="69" spans="1:27" x14ac:dyDescent="0.25">
      <c r="P69" s="224"/>
      <c r="Q69" s="4"/>
      <c r="R69" s="4"/>
      <c r="S69" s="4"/>
      <c r="T69" s="4"/>
      <c r="U69" s="43"/>
      <c r="V69" s="43"/>
      <c r="W69" s="43"/>
      <c r="X69" s="43"/>
      <c r="Y69" s="166"/>
      <c r="Z69" s="166"/>
      <c r="AA69" s="166"/>
    </row>
    <row r="70" spans="1:27" x14ac:dyDescent="0.25">
      <c r="P70" s="225"/>
      <c r="Q70" s="69"/>
      <c r="R70" s="43"/>
      <c r="S70" s="43"/>
      <c r="T70" s="43"/>
      <c r="U70" s="43"/>
      <c r="V70" s="43"/>
      <c r="W70" s="43"/>
      <c r="X70" s="43"/>
      <c r="Y70" s="166"/>
      <c r="Z70" s="166"/>
      <c r="AA70" s="166"/>
    </row>
    <row r="71" spans="1:27" x14ac:dyDescent="0.25">
      <c r="P71" s="225"/>
      <c r="Q71" s="69"/>
      <c r="R71" s="43"/>
      <c r="S71" s="43"/>
      <c r="T71" s="43"/>
      <c r="U71" s="43"/>
      <c r="V71" s="19"/>
      <c r="W71" s="43"/>
      <c r="X71" s="43"/>
      <c r="Y71" s="166"/>
      <c r="Z71" s="166"/>
      <c r="AA71" s="166"/>
    </row>
    <row r="72" spans="1:27" x14ac:dyDescent="0.25">
      <c r="P72" s="225"/>
      <c r="Q72" s="69"/>
      <c r="R72" s="43"/>
      <c r="S72" s="43"/>
      <c r="T72" s="43"/>
      <c r="U72" s="43"/>
      <c r="V72" s="43"/>
      <c r="W72" s="43"/>
      <c r="X72" s="43"/>
      <c r="Y72" s="166"/>
      <c r="Z72" s="166"/>
      <c r="AA72" s="166"/>
    </row>
    <row r="73" spans="1:27" x14ac:dyDescent="0.25">
      <c r="P73" s="225"/>
      <c r="Q73" s="69"/>
      <c r="R73" s="43"/>
      <c r="S73" s="43"/>
      <c r="T73" s="43"/>
      <c r="U73" s="43"/>
      <c r="V73" s="19"/>
      <c r="W73" s="43"/>
      <c r="X73" s="43"/>
      <c r="Y73" s="166"/>
      <c r="Z73" s="166"/>
      <c r="AA73" s="166"/>
    </row>
    <row r="74" spans="1:27" x14ac:dyDescent="0.25">
      <c r="P74" s="225"/>
      <c r="Q74" s="69"/>
      <c r="R74" s="43"/>
      <c r="S74" s="43"/>
      <c r="T74" s="43"/>
      <c r="U74" s="43"/>
      <c r="V74" s="19"/>
      <c r="W74" s="43"/>
      <c r="X74" s="43"/>
      <c r="Y74" s="166"/>
      <c r="Z74" s="166"/>
      <c r="AA74" s="166"/>
    </row>
    <row r="75" spans="1:27" x14ac:dyDescent="0.25">
      <c r="P75" s="225"/>
      <c r="Q75" s="43"/>
      <c r="R75" s="4"/>
      <c r="S75" s="4"/>
      <c r="T75" s="4"/>
      <c r="U75" s="4"/>
      <c r="V75" s="165"/>
      <c r="W75" s="4"/>
      <c r="X75" s="4"/>
      <c r="Y75" s="166"/>
      <c r="Z75" s="166"/>
      <c r="AA75" s="166"/>
    </row>
    <row r="76" spans="1:27" x14ac:dyDescent="0.25">
      <c r="P76" s="43"/>
      <c r="Q76" s="43"/>
      <c r="R76" s="43"/>
      <c r="S76" s="43"/>
      <c r="T76" s="43"/>
      <c r="U76" s="43"/>
      <c r="V76" s="19"/>
      <c r="W76" s="43"/>
      <c r="X76" s="43"/>
      <c r="Y76" s="166"/>
      <c r="Z76" s="166"/>
      <c r="AA76" s="166"/>
    </row>
    <row r="77" spans="1:27" x14ac:dyDescent="0.25">
      <c r="P77" s="43"/>
      <c r="Q77" s="4"/>
      <c r="R77" s="4"/>
      <c r="S77" s="43"/>
      <c r="T77" s="43"/>
      <c r="U77" s="43"/>
      <c r="V77" s="43"/>
      <c r="W77" s="43"/>
      <c r="X77" s="43"/>
      <c r="Y77" s="166"/>
      <c r="Z77" s="166"/>
      <c r="AA77" s="166"/>
    </row>
    <row r="78" spans="1:27" x14ac:dyDescent="0.25">
      <c r="P78" s="68"/>
      <c r="Q78" s="69"/>
      <c r="R78" s="43"/>
      <c r="S78" s="43"/>
      <c r="T78" s="43"/>
      <c r="U78" s="43"/>
      <c r="V78" s="19"/>
      <c r="W78" s="43"/>
      <c r="X78" s="43"/>
      <c r="Y78" s="166"/>
      <c r="Z78" s="166"/>
      <c r="AA78" s="166"/>
    </row>
    <row r="79" spans="1:27" x14ac:dyDescent="0.25">
      <c r="P79" s="68"/>
      <c r="Q79" s="69"/>
      <c r="R79" s="43"/>
      <c r="S79" s="43"/>
      <c r="T79" s="43"/>
      <c r="U79" s="43"/>
      <c r="V79" s="19"/>
      <c r="W79" s="43"/>
      <c r="X79" s="43"/>
      <c r="Y79" s="166"/>
      <c r="Z79" s="166"/>
      <c r="AA79" s="166"/>
    </row>
    <row r="80" spans="1:27" x14ac:dyDescent="0.25">
      <c r="P80" s="43"/>
      <c r="Q80" s="43"/>
      <c r="R80" s="4"/>
      <c r="S80" s="4"/>
      <c r="T80" s="4"/>
      <c r="U80" s="4"/>
      <c r="V80" s="165"/>
      <c r="W80" s="4"/>
      <c r="X80" s="4"/>
      <c r="Y80" s="166"/>
      <c r="Z80" s="166"/>
      <c r="AA80" s="166"/>
    </row>
    <row r="81" spans="16:27" x14ac:dyDescent="0.25">
      <c r="P81" s="43"/>
      <c r="Q81" s="43"/>
      <c r="R81" s="43"/>
      <c r="S81" s="43"/>
      <c r="T81" s="43"/>
      <c r="U81" s="43"/>
      <c r="V81" s="43"/>
      <c r="W81" s="43"/>
      <c r="X81" s="43"/>
      <c r="Y81" s="166"/>
      <c r="Z81" s="166"/>
      <c r="AA81" s="166"/>
    </row>
    <row r="82" spans="16:27" x14ac:dyDescent="0.25">
      <c r="P82" s="43"/>
      <c r="Q82" s="43"/>
      <c r="R82" s="43"/>
      <c r="S82" s="43"/>
      <c r="T82" s="43"/>
      <c r="U82" s="43"/>
      <c r="V82" s="43"/>
      <c r="W82" s="43"/>
      <c r="X82" s="43"/>
      <c r="Y82" s="166"/>
      <c r="Z82" s="166"/>
      <c r="AA82" s="166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8" workbookViewId="0">
      <selection activeCell="A52" sqref="A52"/>
    </sheetView>
  </sheetViews>
  <sheetFormatPr defaultRowHeight="15" x14ac:dyDescent="0.25"/>
  <cols>
    <col min="1" max="1" width="6" customWidth="1"/>
    <col min="2" max="2" width="32.42578125" customWidth="1"/>
    <col min="3" max="3" width="14.42578125" customWidth="1"/>
    <col min="5" max="5" width="10.28515625" customWidth="1"/>
    <col min="6" max="6" width="9.85546875" customWidth="1"/>
    <col min="8" max="8" width="13.85546875" customWidth="1"/>
    <col min="9" max="9" width="18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364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365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366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270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132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134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5">
        <v>9</v>
      </c>
    </row>
    <row r="19" spans="1:9" x14ac:dyDescent="0.25">
      <c r="A19" s="53">
        <v>1</v>
      </c>
      <c r="B19" s="63" t="s">
        <v>186</v>
      </c>
      <c r="C19" s="159" t="s">
        <v>72</v>
      </c>
      <c r="D19" s="53"/>
      <c r="E19" s="160" t="s">
        <v>72</v>
      </c>
      <c r="F19" s="63" t="s">
        <v>72</v>
      </c>
      <c r="G19" s="53"/>
      <c r="H19" s="53" t="s">
        <v>72</v>
      </c>
      <c r="I19" s="160" t="s">
        <v>72</v>
      </c>
    </row>
    <row r="20" spans="1:9" x14ac:dyDescent="0.25">
      <c r="A20" s="14"/>
      <c r="B20" s="11" t="s">
        <v>187</v>
      </c>
      <c r="C20" s="161">
        <v>8.5500000000000007</v>
      </c>
      <c r="D20" s="16">
        <v>-11416.83</v>
      </c>
      <c r="E20" s="16">
        <v>49894.68</v>
      </c>
      <c r="F20" s="16">
        <v>45559.67</v>
      </c>
      <c r="G20" s="15">
        <f t="shared" ref="G20:G26" si="0">E20</f>
        <v>49894.68</v>
      </c>
      <c r="H20" s="15">
        <f>D20+F20-G20</f>
        <v>-15751.840000000004</v>
      </c>
      <c r="I20" s="16">
        <f>H20</f>
        <v>-15751.840000000004</v>
      </c>
    </row>
    <row r="21" spans="1:9" x14ac:dyDescent="0.25">
      <c r="A21" s="6" t="s">
        <v>36</v>
      </c>
      <c r="B21" s="17" t="s">
        <v>37</v>
      </c>
      <c r="C21" s="162">
        <v>3.08</v>
      </c>
      <c r="D21" s="26"/>
      <c r="E21" s="21">
        <f>E20*36%</f>
        <v>17962.084800000001</v>
      </c>
      <c r="F21" s="21">
        <f>F20*36%</f>
        <v>16401.481199999998</v>
      </c>
      <c r="G21" s="19">
        <f t="shared" si="0"/>
        <v>17962.084800000001</v>
      </c>
      <c r="H21" s="44"/>
      <c r="I21" s="26"/>
    </row>
    <row r="22" spans="1:9" x14ac:dyDescent="0.25">
      <c r="A22" s="22" t="s">
        <v>38</v>
      </c>
      <c r="B22" s="5" t="s">
        <v>39</v>
      </c>
      <c r="C22" s="24">
        <v>1.51</v>
      </c>
      <c r="D22" s="30"/>
      <c r="E22" s="30">
        <f>E20*17.7%</f>
        <v>8831.3583600000002</v>
      </c>
      <c r="F22" s="30">
        <f>F20*17.7%</f>
        <v>8064.0615899999993</v>
      </c>
      <c r="G22" s="29">
        <f t="shared" si="0"/>
        <v>8831.3583600000002</v>
      </c>
      <c r="H22" s="29"/>
      <c r="I22" s="30"/>
    </row>
    <row r="23" spans="1:9" x14ac:dyDescent="0.25">
      <c r="A23" s="22" t="s">
        <v>40</v>
      </c>
      <c r="B23" s="5" t="s">
        <v>41</v>
      </c>
      <c r="C23" s="24">
        <v>1.36</v>
      </c>
      <c r="D23" s="26"/>
      <c r="E23" s="26">
        <f xml:space="preserve"> E20*16%</f>
        <v>7983.1487999999999</v>
      </c>
      <c r="F23" s="26">
        <f>F20*16%</f>
        <v>7289.5472</v>
      </c>
      <c r="G23" s="19">
        <f t="shared" si="0"/>
        <v>7983.1487999999999</v>
      </c>
      <c r="H23" s="44"/>
      <c r="I23" s="26"/>
    </row>
    <row r="24" spans="1:9" x14ac:dyDescent="0.25">
      <c r="A24" s="22" t="s">
        <v>42</v>
      </c>
      <c r="B24" s="5" t="s">
        <v>43</v>
      </c>
      <c r="C24" s="24">
        <v>2.6</v>
      </c>
      <c r="D24" s="30"/>
      <c r="E24" s="30">
        <f>E20*30.3%</f>
        <v>15118.088040000001</v>
      </c>
      <c r="F24" s="30">
        <f>F20*30.3%</f>
        <v>13804.58001</v>
      </c>
      <c r="G24" s="29">
        <f t="shared" si="0"/>
        <v>15118.088040000001</v>
      </c>
      <c r="H24" s="29"/>
      <c r="I24" s="30"/>
    </row>
    <row r="25" spans="1:9" x14ac:dyDescent="0.25">
      <c r="A25" s="22" t="s">
        <v>44</v>
      </c>
      <c r="B25" s="5" t="s">
        <v>47</v>
      </c>
      <c r="C25" s="163" t="s">
        <v>48</v>
      </c>
      <c r="D25" s="30">
        <v>-1426.34</v>
      </c>
      <c r="E25" s="30">
        <v>7367.52</v>
      </c>
      <c r="F25" s="30">
        <v>6732.75</v>
      </c>
      <c r="G25" s="28">
        <f>E25</f>
        <v>7367.52</v>
      </c>
      <c r="H25" s="29">
        <f>D25+F25-E25</f>
        <v>-2061.1100000000006</v>
      </c>
      <c r="I25" s="38">
        <f>H25</f>
        <v>-2061.1100000000006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41">
        <v>-5224.3100000000004</v>
      </c>
      <c r="E26" s="39">
        <v>26843.759999999998</v>
      </c>
      <c r="F26" s="11">
        <v>24568.14</v>
      </c>
      <c r="G26" s="13">
        <f t="shared" si="0"/>
        <v>26843.759999999998</v>
      </c>
      <c r="H26" s="15">
        <f>D26+F26-G26</f>
        <v>-7499.93</v>
      </c>
      <c r="I26" s="41">
        <f>H26</f>
        <v>-7499.93</v>
      </c>
    </row>
    <row r="27" spans="1:9" x14ac:dyDescent="0.25">
      <c r="A27" s="63" t="s">
        <v>51</v>
      </c>
      <c r="B27" s="11" t="s">
        <v>310</v>
      </c>
      <c r="C27" s="11">
        <v>1.65</v>
      </c>
      <c r="D27" s="36">
        <v>-1731.67</v>
      </c>
      <c r="E27" s="10">
        <v>9629.0400000000009</v>
      </c>
      <c r="F27" s="11">
        <f>F28+F29</f>
        <v>23707.599999999999</v>
      </c>
      <c r="G27" s="11">
        <f>I51</f>
        <v>2800</v>
      </c>
      <c r="H27" s="14">
        <f>D27+F27-G27</f>
        <v>19175.93</v>
      </c>
      <c r="I27" s="38"/>
    </row>
    <row r="28" spans="1:9" x14ac:dyDescent="0.25">
      <c r="A28" s="63"/>
      <c r="B28" s="6" t="s">
        <v>53</v>
      </c>
      <c r="C28" s="13"/>
      <c r="D28" s="14"/>
      <c r="E28" s="11"/>
      <c r="F28" s="11">
        <v>8945.76</v>
      </c>
      <c r="G28" s="11"/>
      <c r="H28" s="14"/>
      <c r="I28" s="38"/>
    </row>
    <row r="29" spans="1:9" x14ac:dyDescent="0.25">
      <c r="A29" s="5"/>
      <c r="B29" s="5" t="s">
        <v>367</v>
      </c>
      <c r="C29" s="13"/>
      <c r="D29" s="14"/>
      <c r="E29" s="11"/>
      <c r="F29" s="10">
        <f>F31</f>
        <v>14761.84</v>
      </c>
      <c r="G29" s="10"/>
      <c r="H29" s="36"/>
      <c r="I29" s="38"/>
    </row>
    <row r="30" spans="1:9" x14ac:dyDescent="0.25">
      <c r="A30" s="10" t="s">
        <v>56</v>
      </c>
      <c r="B30" s="10" t="s">
        <v>144</v>
      </c>
      <c r="C30" s="13">
        <v>0</v>
      </c>
      <c r="D30" s="36">
        <v>14761.84</v>
      </c>
      <c r="E30" s="10">
        <v>0</v>
      </c>
      <c r="F30" s="10">
        <v>-14761.84</v>
      </c>
      <c r="G30" s="10">
        <v>0</v>
      </c>
      <c r="H30" s="36">
        <v>0</v>
      </c>
      <c r="I30" s="38"/>
    </row>
    <row r="31" spans="1:9" x14ac:dyDescent="0.25">
      <c r="A31" s="8"/>
      <c r="B31" s="8" t="s">
        <v>58</v>
      </c>
      <c r="C31" s="9">
        <v>0</v>
      </c>
      <c r="D31" s="7">
        <v>0</v>
      </c>
      <c r="E31" s="8">
        <v>0</v>
      </c>
      <c r="F31" s="8">
        <v>14761.84</v>
      </c>
      <c r="G31" s="8">
        <v>0</v>
      </c>
      <c r="H31" s="7"/>
      <c r="I31" s="30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3" spans="1:9" x14ac:dyDescent="0.25">
      <c r="A33" s="4" t="s">
        <v>70</v>
      </c>
    </row>
    <row r="34" spans="1:9" x14ac:dyDescent="0.25">
      <c r="A34" s="1" t="s">
        <v>71</v>
      </c>
      <c r="B34" s="4"/>
      <c r="C34" s="4"/>
      <c r="D34" s="52"/>
      <c r="E34" s="4"/>
      <c r="F34" s="4"/>
      <c r="G34" s="4"/>
      <c r="H34" s="4"/>
      <c r="I34" s="4"/>
    </row>
    <row r="35" spans="1:9" x14ac:dyDescent="0.25">
      <c r="A35" s="5" t="s">
        <v>72</v>
      </c>
      <c r="B35" s="159" t="s">
        <v>73</v>
      </c>
      <c r="C35" s="5" t="s">
        <v>74</v>
      </c>
      <c r="D35" s="54" t="s">
        <v>75</v>
      </c>
      <c r="E35" s="5" t="s">
        <v>76</v>
      </c>
      <c r="F35" s="54" t="s">
        <v>77</v>
      </c>
      <c r="G35" s="46" t="s">
        <v>78</v>
      </c>
      <c r="H35" s="33" t="s">
        <v>15</v>
      </c>
      <c r="I35" s="47" t="s">
        <v>19</v>
      </c>
    </row>
    <row r="36" spans="1:9" x14ac:dyDescent="0.25">
      <c r="A36" s="6"/>
      <c r="B36" s="4" t="s">
        <v>80</v>
      </c>
      <c r="C36" s="6" t="s">
        <v>81</v>
      </c>
      <c r="D36" s="43" t="s">
        <v>82</v>
      </c>
      <c r="E36" s="6" t="s">
        <v>83</v>
      </c>
      <c r="F36" s="43" t="s">
        <v>84</v>
      </c>
      <c r="G36" s="49" t="s">
        <v>85</v>
      </c>
      <c r="H36" s="26" t="s">
        <v>25</v>
      </c>
      <c r="I36" s="56" t="s">
        <v>87</v>
      </c>
    </row>
    <row r="37" spans="1:9" x14ac:dyDescent="0.25">
      <c r="A37" s="6"/>
      <c r="B37" s="43"/>
      <c r="C37" s="6"/>
      <c r="D37" s="43"/>
      <c r="E37" s="6"/>
      <c r="F37" s="43" t="s">
        <v>88</v>
      </c>
      <c r="G37" s="49" t="s">
        <v>89</v>
      </c>
      <c r="H37" s="26" t="s">
        <v>221</v>
      </c>
      <c r="I37" s="56" t="s">
        <v>221</v>
      </c>
    </row>
    <row r="38" spans="1:9" x14ac:dyDescent="0.25">
      <c r="A38" s="17"/>
      <c r="B38" s="61"/>
      <c r="C38" s="17"/>
      <c r="D38" s="61"/>
      <c r="E38" s="17"/>
      <c r="F38" s="61"/>
      <c r="G38" s="50"/>
      <c r="H38" s="21"/>
      <c r="I38" s="51"/>
    </row>
    <row r="39" spans="1:9" x14ac:dyDescent="0.25">
      <c r="A39" s="5"/>
      <c r="B39" s="5"/>
      <c r="C39" s="159"/>
      <c r="D39" s="5"/>
      <c r="E39" s="54"/>
      <c r="F39" s="5"/>
      <c r="G39" s="54"/>
      <c r="H39" s="5"/>
      <c r="I39" s="47"/>
    </row>
    <row r="40" spans="1:9" x14ac:dyDescent="0.25">
      <c r="A40" s="8">
        <v>1</v>
      </c>
      <c r="B40" s="8" t="s">
        <v>91</v>
      </c>
      <c r="C40" s="35" t="s">
        <v>92</v>
      </c>
      <c r="D40" s="30">
        <v>-6786.62</v>
      </c>
      <c r="E40" s="8">
        <v>42995.09</v>
      </c>
      <c r="F40" s="8">
        <v>38141.24</v>
      </c>
      <c r="G40" s="59">
        <f>E40</f>
        <v>42995.09</v>
      </c>
      <c r="H40" s="30">
        <f>D40+F40-E40</f>
        <v>-11640.469999999998</v>
      </c>
      <c r="I40" s="8">
        <f>H40</f>
        <v>-11640.469999999998</v>
      </c>
    </row>
    <row r="41" spans="1:9" x14ac:dyDescent="0.25">
      <c r="A41" s="7"/>
      <c r="B41" s="8" t="s">
        <v>93</v>
      </c>
      <c r="C41" s="35" t="s">
        <v>94</v>
      </c>
      <c r="D41" s="8"/>
      <c r="E41" s="8"/>
      <c r="F41" s="9"/>
      <c r="G41" s="196"/>
      <c r="H41" s="8"/>
      <c r="I41" s="48"/>
    </row>
    <row r="42" spans="1:9" x14ac:dyDescent="0.25">
      <c r="A42" s="1" t="s">
        <v>222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4" t="s">
        <v>223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6" t="s">
        <v>12</v>
      </c>
      <c r="B44" s="5" t="s">
        <v>103</v>
      </c>
      <c r="C44" s="46" t="s">
        <v>104</v>
      </c>
      <c r="D44" s="54"/>
      <c r="E44" s="54"/>
      <c r="F44" s="54"/>
      <c r="G44" s="5" t="s">
        <v>105</v>
      </c>
      <c r="H44" s="47" t="s">
        <v>106</v>
      </c>
      <c r="I44" s="47" t="s">
        <v>107</v>
      </c>
    </row>
    <row r="45" spans="1:9" x14ac:dyDescent="0.25">
      <c r="A45" s="49" t="s">
        <v>108</v>
      </c>
      <c r="B45" s="6"/>
      <c r="C45" s="49"/>
      <c r="D45" s="43"/>
      <c r="E45" s="43"/>
      <c r="F45" s="43"/>
      <c r="G45" s="6"/>
      <c r="H45" s="56"/>
      <c r="I45" s="56" t="s">
        <v>109</v>
      </c>
    </row>
    <row r="46" spans="1:9" x14ac:dyDescent="0.25">
      <c r="A46" s="49"/>
      <c r="B46" s="6"/>
      <c r="C46" s="49"/>
      <c r="D46" s="43"/>
      <c r="E46" s="43"/>
      <c r="F46" s="43"/>
      <c r="G46" s="6"/>
      <c r="H46" s="56"/>
      <c r="I46" s="56"/>
    </row>
    <row r="47" spans="1:9" x14ac:dyDescent="0.25">
      <c r="A47" s="62"/>
      <c r="B47" s="63"/>
      <c r="C47" s="53" t="s">
        <v>110</v>
      </c>
      <c r="D47" s="159"/>
      <c r="E47" s="159"/>
      <c r="F47" s="54"/>
      <c r="G47" s="5"/>
      <c r="H47" s="47"/>
      <c r="I47" s="47"/>
    </row>
    <row r="48" spans="1:9" x14ac:dyDescent="0.25">
      <c r="A48" s="64"/>
      <c r="B48" s="6"/>
      <c r="C48" s="49"/>
      <c r="D48" s="43"/>
      <c r="E48" s="43"/>
      <c r="F48" s="43"/>
      <c r="G48" s="26"/>
      <c r="H48" s="56"/>
      <c r="I48" s="56"/>
    </row>
    <row r="49" spans="1:9" x14ac:dyDescent="0.25">
      <c r="A49" s="64" t="s">
        <v>111</v>
      </c>
      <c r="B49" s="65">
        <v>43374</v>
      </c>
      <c r="C49" s="49" t="s">
        <v>254</v>
      </c>
      <c r="D49" s="43"/>
      <c r="E49" s="43"/>
      <c r="F49" s="43"/>
      <c r="G49" s="26" t="s">
        <v>255</v>
      </c>
      <c r="H49" s="56">
        <v>2</v>
      </c>
      <c r="I49" s="56">
        <v>2800</v>
      </c>
    </row>
    <row r="50" spans="1:9" x14ac:dyDescent="0.25">
      <c r="A50" s="64"/>
      <c r="B50" s="65"/>
      <c r="C50" s="49"/>
      <c r="D50" s="43"/>
      <c r="E50" s="43"/>
      <c r="F50" s="43"/>
      <c r="G50" s="26"/>
      <c r="H50" s="56"/>
      <c r="I50" s="56"/>
    </row>
    <row r="51" spans="1:9" x14ac:dyDescent="0.25">
      <c r="A51" s="66"/>
      <c r="B51" s="17"/>
      <c r="C51" s="14" t="s">
        <v>117</v>
      </c>
      <c r="D51" s="13"/>
      <c r="E51" s="13"/>
      <c r="F51" s="13"/>
      <c r="G51" s="16"/>
      <c r="H51" s="67"/>
      <c r="I51" s="67">
        <f>SUM(I49:I50)</f>
        <v>2800</v>
      </c>
    </row>
    <row r="52" spans="1:9" x14ac:dyDescent="0.25">
      <c r="A52" s="68"/>
      <c r="B52" s="43"/>
      <c r="C52" s="4"/>
      <c r="D52" s="4"/>
      <c r="E52" s="4"/>
      <c r="F52" s="4"/>
      <c r="G52" s="165"/>
      <c r="H52" s="4"/>
      <c r="I52" s="4"/>
    </row>
    <row r="53" spans="1:9" x14ac:dyDescent="0.25">
      <c r="A53" s="2" t="s">
        <v>302</v>
      </c>
      <c r="B53" s="2"/>
      <c r="C53" s="2" t="s">
        <v>72</v>
      </c>
      <c r="D53" s="2" t="s">
        <v>119</v>
      </c>
      <c r="E53" s="2"/>
      <c r="F53" s="2" t="s">
        <v>120</v>
      </c>
      <c r="G53" s="2"/>
      <c r="H53" s="2" t="s">
        <v>121</v>
      </c>
      <c r="I53" s="2" t="s">
        <v>122</v>
      </c>
    </row>
    <row r="54" spans="1:9" x14ac:dyDescent="0.25">
      <c r="B54" s="2"/>
      <c r="C54" s="2"/>
      <c r="D54" s="2"/>
      <c r="E54" s="2"/>
      <c r="F54" s="2"/>
      <c r="G54" s="2"/>
      <c r="H54" s="2"/>
      <c r="I54" s="2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E27" sqref="E27"/>
    </sheetView>
  </sheetViews>
  <sheetFormatPr defaultRowHeight="15" x14ac:dyDescent="0.25"/>
  <cols>
    <col min="1" max="1" width="4.28515625" customWidth="1"/>
    <col min="2" max="2" width="29.28515625" customWidth="1"/>
    <col min="3" max="3" width="13.28515625" customWidth="1"/>
    <col min="5" max="5" width="14.85546875" customWidth="1"/>
    <col min="6" max="6" width="11.28515625" customWidth="1"/>
    <col min="7" max="7" width="12.85546875" customWidth="1"/>
    <col min="8" max="8" width="12.140625" customWidth="1"/>
    <col min="9" max="9" width="19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1"/>
      <c r="I6" s="2"/>
    </row>
    <row r="7" spans="1:9" x14ac:dyDescent="0.25">
      <c r="A7" s="1" t="s">
        <v>369</v>
      </c>
      <c r="B7" s="2"/>
      <c r="C7" s="2"/>
      <c r="D7" s="2"/>
      <c r="E7" s="1"/>
      <c r="F7" s="2"/>
      <c r="G7" s="2"/>
      <c r="H7" s="1"/>
      <c r="I7" s="2"/>
    </row>
    <row r="8" spans="1:9" x14ac:dyDescent="0.25">
      <c r="A8" s="2" t="s">
        <v>370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371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9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1" t="s">
        <v>10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4" t="s">
        <v>11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17</v>
      </c>
      <c r="G15" s="5" t="s">
        <v>18</v>
      </c>
      <c r="H15" s="5" t="s">
        <v>15</v>
      </c>
      <c r="I15" s="5" t="s">
        <v>19</v>
      </c>
    </row>
    <row r="16" spans="1:9" x14ac:dyDescent="0.25">
      <c r="A16" s="6" t="s">
        <v>20</v>
      </c>
      <c r="B16" s="6"/>
      <c r="C16" s="6" t="s">
        <v>130</v>
      </c>
      <c r="D16" s="6" t="s">
        <v>22</v>
      </c>
      <c r="E16" s="6" t="s">
        <v>23</v>
      </c>
      <c r="F16" s="6" t="s">
        <v>23</v>
      </c>
      <c r="G16" s="6" t="s">
        <v>24</v>
      </c>
      <c r="H16" s="6" t="s">
        <v>25</v>
      </c>
      <c r="I16" s="6" t="s">
        <v>132</v>
      </c>
    </row>
    <row r="17" spans="1:11" x14ac:dyDescent="0.25">
      <c r="A17" s="6"/>
      <c r="B17" s="6"/>
      <c r="C17" s="6" t="s">
        <v>27</v>
      </c>
      <c r="D17" s="6" t="s">
        <v>28</v>
      </c>
      <c r="E17" s="6"/>
      <c r="F17" s="6"/>
      <c r="G17" s="6" t="s">
        <v>29</v>
      </c>
      <c r="H17" s="6" t="s">
        <v>30</v>
      </c>
      <c r="I17" s="6" t="s">
        <v>134</v>
      </c>
    </row>
    <row r="18" spans="1:11" x14ac:dyDescent="0.25">
      <c r="A18" s="6"/>
      <c r="B18" s="6"/>
      <c r="C18" s="6" t="s">
        <v>322</v>
      </c>
      <c r="D18" s="6" t="s">
        <v>33</v>
      </c>
      <c r="E18" s="6" t="s">
        <v>33</v>
      </c>
      <c r="F18" s="6" t="s">
        <v>33</v>
      </c>
      <c r="G18" s="6" t="s">
        <v>33</v>
      </c>
      <c r="H18" s="6" t="s">
        <v>33</v>
      </c>
      <c r="I18" s="6" t="s">
        <v>221</v>
      </c>
    </row>
    <row r="19" spans="1:11" x14ac:dyDescent="0.25">
      <c r="A19" s="7">
        <v>1</v>
      </c>
      <c r="B19" s="8">
        <v>2</v>
      </c>
      <c r="C19" s="9">
        <v>3</v>
      </c>
      <c r="D19" s="8">
        <v>4</v>
      </c>
      <c r="E19" s="9">
        <v>5</v>
      </c>
      <c r="F19" s="8">
        <v>6</v>
      </c>
      <c r="G19" s="9">
        <v>7</v>
      </c>
      <c r="H19" s="8">
        <v>8</v>
      </c>
      <c r="I19" s="48">
        <v>9</v>
      </c>
    </row>
    <row r="20" spans="1:11" x14ac:dyDescent="0.25">
      <c r="A20" s="53">
        <v>1</v>
      </c>
      <c r="B20" s="63" t="s">
        <v>186</v>
      </c>
      <c r="C20" s="159"/>
      <c r="D20" s="63"/>
      <c r="E20" s="203"/>
      <c r="F20" s="63"/>
      <c r="G20" s="159"/>
      <c r="H20" s="63"/>
      <c r="I20" s="160"/>
    </row>
    <row r="21" spans="1:11" x14ac:dyDescent="0.25">
      <c r="A21" s="14"/>
      <c r="B21" s="11" t="s">
        <v>187</v>
      </c>
      <c r="C21" s="13">
        <v>8.5500000000000007</v>
      </c>
      <c r="D21" s="16">
        <v>187.04</v>
      </c>
      <c r="E21" s="161">
        <v>30698.28</v>
      </c>
      <c r="F21" s="11">
        <v>30044.400000000001</v>
      </c>
      <c r="G21" s="161">
        <f>E21</f>
        <v>30698.28</v>
      </c>
      <c r="H21" s="16">
        <f>D21+F21-G21</f>
        <v>-466.83999999999651</v>
      </c>
      <c r="I21" s="16">
        <f>H21</f>
        <v>-466.83999999999651</v>
      </c>
    </row>
    <row r="22" spans="1:11" x14ac:dyDescent="0.25">
      <c r="A22" s="66" t="s">
        <v>138</v>
      </c>
      <c r="B22" s="17" t="s">
        <v>37</v>
      </c>
      <c r="C22" s="162">
        <v>3.08</v>
      </c>
      <c r="D22" s="21"/>
      <c r="E22" s="200">
        <f>E21*36%</f>
        <v>11051.380799999999</v>
      </c>
      <c r="F22" s="21">
        <f>F21*36%</f>
        <v>10815.984</v>
      </c>
      <c r="G22" s="20">
        <f>E22</f>
        <v>11051.380799999999</v>
      </c>
      <c r="H22" s="21"/>
      <c r="I22" s="21"/>
    </row>
    <row r="23" spans="1:11" x14ac:dyDescent="0.25">
      <c r="A23" s="22" t="s">
        <v>38</v>
      </c>
      <c r="B23" s="5" t="s">
        <v>188</v>
      </c>
      <c r="C23" s="24">
        <v>1.51</v>
      </c>
      <c r="D23" s="26"/>
      <c r="E23" s="24">
        <f>E21*17.7%</f>
        <v>5433.5955599999998</v>
      </c>
      <c r="F23" s="33">
        <f>F21*17.7%</f>
        <v>5317.8588</v>
      </c>
      <c r="G23" s="19">
        <f>E23</f>
        <v>5433.5955599999998</v>
      </c>
      <c r="H23" s="26"/>
      <c r="I23" s="26"/>
    </row>
    <row r="24" spans="1:11" x14ac:dyDescent="0.25">
      <c r="A24" s="17"/>
      <c r="B24" s="17" t="s">
        <v>189</v>
      </c>
      <c r="C24" s="162"/>
      <c r="D24" s="26"/>
      <c r="E24" s="162"/>
      <c r="F24" s="21"/>
      <c r="G24" s="19"/>
      <c r="H24" s="26"/>
      <c r="I24" s="26"/>
    </row>
    <row r="25" spans="1:11" x14ac:dyDescent="0.25">
      <c r="A25" s="22" t="s">
        <v>40</v>
      </c>
      <c r="B25" s="5" t="s">
        <v>41</v>
      </c>
      <c r="C25" s="24">
        <v>1.36</v>
      </c>
      <c r="D25" s="30"/>
      <c r="E25" s="28">
        <f>E21*16%</f>
        <v>4911.7248</v>
      </c>
      <c r="F25" s="30">
        <f>F21*16%</f>
        <v>4807.1040000000003</v>
      </c>
      <c r="G25" s="29">
        <f>E25</f>
        <v>4911.7248</v>
      </c>
      <c r="H25" s="30"/>
      <c r="I25" s="30"/>
      <c r="K25" s="210"/>
    </row>
    <row r="26" spans="1:11" x14ac:dyDescent="0.25">
      <c r="A26" s="22" t="s">
        <v>42</v>
      </c>
      <c r="B26" s="5" t="s">
        <v>43</v>
      </c>
      <c r="C26" s="24">
        <v>2.6</v>
      </c>
      <c r="D26" s="26"/>
      <c r="E26" s="19">
        <f>E21*30.3%</f>
        <v>9301.5788400000001</v>
      </c>
      <c r="F26" s="26">
        <f>F21*30.3%</f>
        <v>9103.4531999999999</v>
      </c>
      <c r="G26" s="19">
        <f>E26</f>
        <v>9301.5788400000001</v>
      </c>
      <c r="H26" s="26"/>
      <c r="I26" s="26"/>
    </row>
    <row r="27" spans="1:11" x14ac:dyDescent="0.25">
      <c r="A27" s="22" t="s">
        <v>44</v>
      </c>
      <c r="B27" s="5" t="s">
        <v>47</v>
      </c>
      <c r="C27" s="163" t="s">
        <v>48</v>
      </c>
      <c r="D27" s="30">
        <v>-478.27</v>
      </c>
      <c r="E27" s="28">
        <v>5837.88</v>
      </c>
      <c r="F27" s="30">
        <v>5751.51</v>
      </c>
      <c r="G27" s="28">
        <f>E27</f>
        <v>5837.88</v>
      </c>
      <c r="H27" s="30">
        <f>D27+F27-E27</f>
        <v>-564.64000000000033</v>
      </c>
      <c r="I27" s="30">
        <f>H27</f>
        <v>-564.64000000000033</v>
      </c>
    </row>
    <row r="28" spans="1:11" x14ac:dyDescent="0.25">
      <c r="A28" s="10" t="s">
        <v>49</v>
      </c>
      <c r="B28" s="10" t="s">
        <v>50</v>
      </c>
      <c r="C28" s="35">
        <v>4.5999999999999996</v>
      </c>
      <c r="D28" s="38">
        <v>161.26</v>
      </c>
      <c r="E28" s="35">
        <v>16515.84</v>
      </c>
      <c r="F28" s="10">
        <v>16323.78</v>
      </c>
      <c r="G28" s="35">
        <f>E28</f>
        <v>16515.84</v>
      </c>
      <c r="H28" s="38">
        <f>D28+F28-G28</f>
        <v>-30.799999999999272</v>
      </c>
      <c r="I28" s="38">
        <f>H28</f>
        <v>-30.799999999999272</v>
      </c>
    </row>
    <row r="29" spans="1:11" x14ac:dyDescent="0.25">
      <c r="A29" s="63" t="s">
        <v>51</v>
      </c>
      <c r="B29" s="63" t="s">
        <v>219</v>
      </c>
      <c r="C29" s="159"/>
      <c r="D29" s="63"/>
      <c r="E29" s="159"/>
      <c r="F29" s="63"/>
      <c r="G29" s="159"/>
      <c r="H29" s="63"/>
      <c r="I29" s="63"/>
    </row>
    <row r="30" spans="1:11" x14ac:dyDescent="0.25">
      <c r="A30" s="11"/>
      <c r="B30" s="11" t="s">
        <v>231</v>
      </c>
      <c r="C30" s="13">
        <v>1.65</v>
      </c>
      <c r="D30" s="16">
        <v>19111.650000000001</v>
      </c>
      <c r="E30" s="13">
        <v>5924.52</v>
      </c>
      <c r="F30" s="11">
        <v>5824</v>
      </c>
      <c r="G30" s="11">
        <f>I50</f>
        <v>0</v>
      </c>
      <c r="H30" s="16">
        <f>D30+F30-G30</f>
        <v>24935.65</v>
      </c>
      <c r="I30" s="11"/>
    </row>
    <row r="31" spans="1:11" x14ac:dyDescent="0.25">
      <c r="A31" s="1"/>
      <c r="B31" s="2"/>
      <c r="C31" s="2"/>
      <c r="E31" s="2"/>
      <c r="F31" s="2"/>
      <c r="G31" s="2"/>
      <c r="H31" s="2"/>
      <c r="I31" s="2"/>
    </row>
    <row r="32" spans="1:11" x14ac:dyDescent="0.25">
      <c r="A32" s="4" t="s">
        <v>70</v>
      </c>
      <c r="B32" s="2"/>
      <c r="C32" s="2"/>
      <c r="E32" s="2"/>
      <c r="F32" s="2"/>
      <c r="G32" s="2"/>
      <c r="H32" s="2"/>
      <c r="I32" s="2"/>
    </row>
    <row r="33" spans="1:9" x14ac:dyDescent="0.25">
      <c r="A33" s="1" t="s">
        <v>71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5" t="s">
        <v>72</v>
      </c>
      <c r="B34" s="53" t="s">
        <v>73</v>
      </c>
      <c r="C34" s="5" t="s">
        <v>74</v>
      </c>
      <c r="D34" s="54" t="s">
        <v>75</v>
      </c>
      <c r="E34" s="5" t="s">
        <v>76</v>
      </c>
      <c r="F34" s="54" t="s">
        <v>77</v>
      </c>
      <c r="G34" s="5" t="s">
        <v>78</v>
      </c>
      <c r="H34" s="54" t="s">
        <v>79</v>
      </c>
      <c r="I34" s="5" t="s">
        <v>19</v>
      </c>
    </row>
    <row r="35" spans="1:9" x14ac:dyDescent="0.25">
      <c r="A35" s="6"/>
      <c r="B35" s="55" t="s">
        <v>80</v>
      </c>
      <c r="C35" s="6" t="s">
        <v>81</v>
      </c>
      <c r="D35" s="43" t="s">
        <v>82</v>
      </c>
      <c r="E35" s="6" t="s">
        <v>83</v>
      </c>
      <c r="F35" s="43" t="s">
        <v>84</v>
      </c>
      <c r="G35" s="6" t="s">
        <v>85</v>
      </c>
      <c r="H35" s="43" t="s">
        <v>86</v>
      </c>
      <c r="I35" s="6" t="s">
        <v>87</v>
      </c>
    </row>
    <row r="36" spans="1:9" x14ac:dyDescent="0.25">
      <c r="A36" s="6"/>
      <c r="B36" s="49"/>
      <c r="C36" s="6"/>
      <c r="D36" s="43"/>
      <c r="E36" s="6"/>
      <c r="F36" s="43" t="s">
        <v>88</v>
      </c>
      <c r="G36" s="6" t="s">
        <v>89</v>
      </c>
      <c r="H36" s="43"/>
      <c r="I36" s="6" t="s">
        <v>372</v>
      </c>
    </row>
    <row r="37" spans="1:9" x14ac:dyDescent="0.25">
      <c r="A37" s="6"/>
      <c r="B37" s="49"/>
      <c r="C37" s="6"/>
      <c r="D37" s="43"/>
      <c r="E37" s="6"/>
      <c r="F37" s="43"/>
      <c r="G37" s="226"/>
      <c r="H37" s="43"/>
      <c r="I37" s="6"/>
    </row>
    <row r="38" spans="1:9" x14ac:dyDescent="0.25">
      <c r="A38" s="5"/>
      <c r="B38" s="46"/>
      <c r="C38" s="10"/>
      <c r="D38" s="48"/>
      <c r="E38" s="9"/>
      <c r="F38" s="8"/>
      <c r="G38" s="9"/>
      <c r="H38" s="8"/>
      <c r="I38" s="5"/>
    </row>
    <row r="39" spans="1:9" x14ac:dyDescent="0.25">
      <c r="A39" s="8">
        <v>1</v>
      </c>
      <c r="B39" s="8" t="s">
        <v>91</v>
      </c>
      <c r="C39" s="13" t="s">
        <v>92</v>
      </c>
      <c r="D39" s="30">
        <v>-3164.26</v>
      </c>
      <c r="E39" s="60">
        <v>48648.75</v>
      </c>
      <c r="F39" s="17">
        <v>45595.51</v>
      </c>
      <c r="G39" s="60">
        <f>E39</f>
        <v>48648.75</v>
      </c>
      <c r="H39" s="21">
        <f>D39+F39-G39</f>
        <v>-6217.5</v>
      </c>
      <c r="I39" s="30">
        <f>H39</f>
        <v>-6217.5</v>
      </c>
    </row>
    <row r="40" spans="1:9" x14ac:dyDescent="0.25">
      <c r="A40" s="8"/>
      <c r="B40" s="8" t="s">
        <v>93</v>
      </c>
      <c r="C40" s="13" t="s">
        <v>94</v>
      </c>
      <c r="D40" s="21"/>
      <c r="E40" s="60"/>
      <c r="F40" s="17"/>
      <c r="G40" s="60"/>
      <c r="H40" s="21"/>
      <c r="I40" s="30"/>
    </row>
    <row r="41" spans="1:9" x14ac:dyDescent="0.25">
      <c r="A41" s="8">
        <v>3</v>
      </c>
      <c r="B41" s="8" t="s">
        <v>99</v>
      </c>
      <c r="C41" s="35" t="s">
        <v>100</v>
      </c>
      <c r="D41" s="30">
        <v>-27110.89</v>
      </c>
      <c r="E41" s="9">
        <v>108155.74</v>
      </c>
      <c r="F41" s="8">
        <v>105339.28</v>
      </c>
      <c r="G41" s="9">
        <f>E41</f>
        <v>108155.74</v>
      </c>
      <c r="H41" s="30">
        <f>D41+F41-G41</f>
        <v>-29927.350000000006</v>
      </c>
      <c r="I41" s="30">
        <f>H41</f>
        <v>-29927.350000000006</v>
      </c>
    </row>
    <row r="42" spans="1:9" x14ac:dyDescent="0.25">
      <c r="A42" s="1"/>
      <c r="B42" s="1"/>
      <c r="C42" s="1"/>
      <c r="D42" s="45"/>
      <c r="E42" s="1"/>
      <c r="F42" s="1"/>
      <c r="G42" s="1"/>
      <c r="H42" s="1"/>
      <c r="I42" s="1"/>
    </row>
    <row r="43" spans="1:9" x14ac:dyDescent="0.25">
      <c r="A43" s="1" t="s">
        <v>373</v>
      </c>
      <c r="B43" s="1"/>
      <c r="C43" s="2"/>
      <c r="D43" s="2"/>
      <c r="E43" s="2"/>
      <c r="F43" s="2"/>
      <c r="G43" s="2"/>
      <c r="H43" s="2"/>
      <c r="I43" s="2"/>
    </row>
    <row r="44" spans="1:9" x14ac:dyDescent="0.25">
      <c r="A44" s="4" t="s">
        <v>223</v>
      </c>
      <c r="B44" s="1"/>
      <c r="C44" s="2"/>
      <c r="D44" s="2"/>
      <c r="E44" s="2"/>
      <c r="F44" s="2"/>
      <c r="G44" s="2"/>
      <c r="H44" s="2"/>
      <c r="I44" s="2"/>
    </row>
    <row r="45" spans="1:9" x14ac:dyDescent="0.25">
      <c r="A45" s="46" t="s">
        <v>12</v>
      </c>
      <c r="B45" s="5" t="s">
        <v>103</v>
      </c>
      <c r="C45" s="46" t="s">
        <v>104</v>
      </c>
      <c r="D45" s="54"/>
      <c r="E45" s="54"/>
      <c r="F45" s="54"/>
      <c r="G45" s="5" t="s">
        <v>199</v>
      </c>
      <c r="H45" s="47" t="s">
        <v>374</v>
      </c>
      <c r="I45" s="5" t="s">
        <v>107</v>
      </c>
    </row>
    <row r="46" spans="1:9" x14ac:dyDescent="0.25">
      <c r="A46" s="49" t="s">
        <v>108</v>
      </c>
      <c r="B46" s="6"/>
      <c r="C46" s="49"/>
      <c r="D46" s="43"/>
      <c r="E46" s="43"/>
      <c r="F46" s="43"/>
      <c r="G46" s="6" t="s">
        <v>201</v>
      </c>
      <c r="H46" s="56" t="s">
        <v>85</v>
      </c>
      <c r="I46" s="6" t="s">
        <v>109</v>
      </c>
    </row>
    <row r="47" spans="1:9" x14ac:dyDescent="0.25">
      <c r="A47" s="49"/>
      <c r="B47" s="17"/>
      <c r="C47" s="50"/>
      <c r="D47" s="61"/>
      <c r="E47" s="61"/>
      <c r="F47" s="61"/>
      <c r="G47" s="17"/>
      <c r="H47" s="56"/>
      <c r="I47" s="6"/>
    </row>
    <row r="48" spans="1:9" x14ac:dyDescent="0.25">
      <c r="A48" s="227"/>
      <c r="B48" s="194"/>
      <c r="C48" s="55" t="s">
        <v>110</v>
      </c>
      <c r="D48" s="4"/>
      <c r="E48" s="4"/>
      <c r="F48" s="43"/>
      <c r="G48" s="6"/>
      <c r="H48" s="47"/>
      <c r="I48" s="5"/>
    </row>
    <row r="49" spans="1:9" x14ac:dyDescent="0.25">
      <c r="A49" s="64"/>
      <c r="B49" s="56"/>
      <c r="C49" s="49"/>
      <c r="D49" s="43"/>
      <c r="E49" s="43"/>
      <c r="F49" s="43" t="s">
        <v>72</v>
      </c>
      <c r="G49" s="6"/>
      <c r="H49" s="56" t="s">
        <v>72</v>
      </c>
      <c r="I49" s="6"/>
    </row>
    <row r="50" spans="1:9" x14ac:dyDescent="0.25">
      <c r="A50" s="17"/>
      <c r="B50" s="51"/>
      <c r="C50" s="14" t="s">
        <v>117</v>
      </c>
      <c r="D50" s="13"/>
      <c r="E50" s="13"/>
      <c r="F50" s="13"/>
      <c r="G50" s="204"/>
      <c r="H50" s="67"/>
      <c r="I50" s="11"/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 t="s">
        <v>375</v>
      </c>
      <c r="B53" s="2"/>
      <c r="C53" s="2"/>
      <c r="D53" s="2" t="s">
        <v>119</v>
      </c>
      <c r="E53" s="2"/>
      <c r="F53" s="2" t="s">
        <v>376</v>
      </c>
      <c r="G53" s="2"/>
      <c r="I53" s="2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34" workbookViewId="0">
      <selection activeCell="H59" sqref="H59"/>
    </sheetView>
  </sheetViews>
  <sheetFormatPr defaultRowHeight="15" x14ac:dyDescent="0.25"/>
  <cols>
    <col min="1" max="1" width="4.7109375" customWidth="1"/>
    <col min="2" max="2" width="30" customWidth="1"/>
    <col min="3" max="3" width="13" customWidth="1"/>
    <col min="5" max="5" width="13.140625" customWidth="1"/>
    <col min="7" max="7" width="11.28515625" customWidth="1"/>
    <col min="8" max="8" width="13.85546875" customWidth="1"/>
    <col min="9" max="9" width="22.855468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166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166"/>
    </row>
    <row r="3" spans="1:1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166"/>
    </row>
    <row r="4" spans="1:10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  <c r="J4" s="166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66"/>
    </row>
    <row r="6" spans="1:10" x14ac:dyDescent="0.25">
      <c r="A6" s="1" t="s">
        <v>377</v>
      </c>
      <c r="B6" s="1"/>
      <c r="C6" s="1"/>
      <c r="D6" s="1"/>
      <c r="E6" s="1"/>
      <c r="F6" s="1"/>
      <c r="G6" s="2"/>
      <c r="H6" s="2"/>
      <c r="I6" s="2"/>
      <c r="J6" s="166"/>
    </row>
    <row r="7" spans="1:10" x14ac:dyDescent="0.25">
      <c r="A7" s="2" t="s">
        <v>378</v>
      </c>
      <c r="B7" s="2"/>
      <c r="C7" s="2"/>
      <c r="D7" s="2"/>
      <c r="E7" s="2"/>
      <c r="F7" s="2"/>
      <c r="G7" s="2"/>
      <c r="H7" s="2"/>
      <c r="I7" s="2"/>
      <c r="J7" s="166"/>
    </row>
    <row r="8" spans="1:10" x14ac:dyDescent="0.25">
      <c r="A8" s="2" t="s">
        <v>379</v>
      </c>
      <c r="B8" s="2"/>
      <c r="C8" s="2"/>
      <c r="D8" s="2"/>
      <c r="E8" s="2"/>
      <c r="F8" s="2"/>
      <c r="G8" s="2"/>
      <c r="H8" s="2"/>
      <c r="I8" s="2"/>
      <c r="J8" s="166"/>
    </row>
    <row r="9" spans="1:10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  <c r="J9" s="166"/>
    </row>
    <row r="10" spans="1:10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166"/>
    </row>
    <row r="11" spans="1:10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166"/>
    </row>
    <row r="12" spans="1:10" x14ac:dyDescent="0.25">
      <c r="A12" s="4" t="s">
        <v>270</v>
      </c>
      <c r="B12" s="2"/>
      <c r="C12" s="2"/>
      <c r="D12" s="2"/>
      <c r="E12" s="2"/>
      <c r="F12" s="2"/>
      <c r="G12" s="2"/>
      <c r="H12" s="2"/>
      <c r="I12" s="2"/>
      <c r="J12" s="166"/>
    </row>
    <row r="13" spans="1:10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  <c r="J13" s="166"/>
    </row>
    <row r="14" spans="1:10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  <c r="J14" s="166"/>
    </row>
    <row r="15" spans="1:10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380</v>
      </c>
      <c r="H15" s="6" t="s">
        <v>30</v>
      </c>
      <c r="I15" s="6" t="s">
        <v>134</v>
      </c>
      <c r="J15" s="166"/>
    </row>
    <row r="16" spans="1:10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221</v>
      </c>
      <c r="J16" s="166"/>
    </row>
    <row r="17" spans="1:10" x14ac:dyDescent="0.25">
      <c r="A17" s="54">
        <v>1</v>
      </c>
      <c r="B17" s="5">
        <v>2</v>
      </c>
      <c r="C17" s="54">
        <v>3</v>
      </c>
      <c r="D17" s="8">
        <v>4</v>
      </c>
      <c r="E17" s="54">
        <v>5</v>
      </c>
      <c r="F17" s="5">
        <v>6</v>
      </c>
      <c r="G17" s="54">
        <v>7</v>
      </c>
      <c r="H17" s="5">
        <v>8</v>
      </c>
      <c r="I17" s="5">
        <v>9</v>
      </c>
      <c r="J17" s="166"/>
    </row>
    <row r="18" spans="1:10" x14ac:dyDescent="0.25">
      <c r="A18" s="63">
        <v>1</v>
      </c>
      <c r="B18" s="159" t="s">
        <v>186</v>
      </c>
      <c r="C18" s="53"/>
      <c r="D18" s="164"/>
      <c r="E18" s="160"/>
      <c r="F18" s="159" t="s">
        <v>72</v>
      </c>
      <c r="G18" s="63"/>
      <c r="H18" s="63" t="s">
        <v>72</v>
      </c>
      <c r="I18" s="160" t="s">
        <v>72</v>
      </c>
      <c r="J18" s="166"/>
    </row>
    <row r="19" spans="1:10" x14ac:dyDescent="0.25">
      <c r="A19" s="11"/>
      <c r="B19" s="13" t="s">
        <v>187</v>
      </c>
      <c r="C19" s="14">
        <v>8.9600000000000009</v>
      </c>
      <c r="D19" s="15">
        <v>-126821.11</v>
      </c>
      <c r="E19" s="16">
        <v>310051.92</v>
      </c>
      <c r="F19" s="13">
        <v>313098.15000000002</v>
      </c>
      <c r="G19" s="11">
        <f t="shared" ref="G19:G27" si="0">E19</f>
        <v>310051.92</v>
      </c>
      <c r="H19" s="16">
        <f>D19+F19-G19</f>
        <v>-123774.87999999995</v>
      </c>
      <c r="I19" s="16">
        <f>H19</f>
        <v>-123774.87999999995</v>
      </c>
      <c r="J19" s="166"/>
    </row>
    <row r="20" spans="1:10" x14ac:dyDescent="0.25">
      <c r="A20" s="6" t="s">
        <v>36</v>
      </c>
      <c r="B20" s="6" t="s">
        <v>37</v>
      </c>
      <c r="C20" s="43">
        <v>3.08</v>
      </c>
      <c r="D20" s="30" t="s">
        <v>72</v>
      </c>
      <c r="E20" s="200">
        <f>E19*34.4%</f>
        <v>106657.86047999999</v>
      </c>
      <c r="F20" s="26">
        <f>F19*34.4%</f>
        <v>107705.76360000001</v>
      </c>
      <c r="G20" s="19">
        <f>E20</f>
        <v>106657.86047999999</v>
      </c>
      <c r="H20" s="26"/>
      <c r="I20" s="26" t="s">
        <v>72</v>
      </c>
      <c r="J20" s="166"/>
    </row>
    <row r="21" spans="1:10" x14ac:dyDescent="0.25">
      <c r="A21" s="22" t="s">
        <v>38</v>
      </c>
      <c r="B21" s="5" t="s">
        <v>381</v>
      </c>
      <c r="C21" s="5">
        <v>1.47</v>
      </c>
      <c r="D21" s="26"/>
      <c r="E21" s="24">
        <f>E19*16.4%</f>
        <v>50848.514879999988</v>
      </c>
      <c r="F21" s="33">
        <f>F19*16.4%</f>
        <v>51348.096599999997</v>
      </c>
      <c r="G21" s="24">
        <f t="shared" si="0"/>
        <v>50848.514879999988</v>
      </c>
      <c r="H21" s="33"/>
      <c r="I21" s="33"/>
      <c r="J21" s="166"/>
    </row>
    <row r="22" spans="1:10" x14ac:dyDescent="0.25">
      <c r="A22" s="22" t="s">
        <v>40</v>
      </c>
      <c r="B22" s="5" t="s">
        <v>41</v>
      </c>
      <c r="C22" s="5">
        <v>1.81</v>
      </c>
      <c r="D22" s="33"/>
      <c r="E22" s="24">
        <f>E19*20.2%</f>
        <v>62630.487839999994</v>
      </c>
      <c r="F22" s="33">
        <f>F19*20.2%</f>
        <v>63245.826300000001</v>
      </c>
      <c r="G22" s="24">
        <f t="shared" si="0"/>
        <v>62630.487839999994</v>
      </c>
      <c r="H22" s="33"/>
      <c r="I22" s="33"/>
      <c r="J22" s="166"/>
    </row>
    <row r="23" spans="1:10" x14ac:dyDescent="0.25">
      <c r="A23" s="31" t="s">
        <v>42</v>
      </c>
      <c r="B23" s="8" t="s">
        <v>43</v>
      </c>
      <c r="C23" s="8">
        <v>2.6</v>
      </c>
      <c r="D23" s="30"/>
      <c r="E23" s="28">
        <f>E19*29%</f>
        <v>89915.056799999991</v>
      </c>
      <c r="F23" s="30">
        <f>F19*29%</f>
        <v>90798.463499999998</v>
      </c>
      <c r="G23" s="28">
        <f t="shared" si="0"/>
        <v>89915.056799999991</v>
      </c>
      <c r="H23" s="30"/>
      <c r="I23" s="30"/>
      <c r="J23" s="166"/>
    </row>
    <row r="24" spans="1:10" x14ac:dyDescent="0.25">
      <c r="A24" s="66" t="s">
        <v>44</v>
      </c>
      <c r="B24" s="17" t="s">
        <v>45</v>
      </c>
      <c r="C24" s="17">
        <v>1755.25</v>
      </c>
      <c r="D24" s="21">
        <v>1638.13</v>
      </c>
      <c r="E24" s="162">
        <v>12824.67</v>
      </c>
      <c r="F24" s="21">
        <v>12445.08</v>
      </c>
      <c r="G24" s="162">
        <f>E24</f>
        <v>12824.67</v>
      </c>
      <c r="H24" s="21">
        <f>D24+F24-G24</f>
        <v>1258.5399999999991</v>
      </c>
      <c r="I24" s="21"/>
      <c r="J24" s="166"/>
    </row>
    <row r="25" spans="1:10" x14ac:dyDescent="0.25">
      <c r="A25" s="66" t="s">
        <v>46</v>
      </c>
      <c r="B25" s="17" t="s">
        <v>47</v>
      </c>
      <c r="C25" s="17" t="s">
        <v>48</v>
      </c>
      <c r="D25" s="8">
        <v>-14522.19</v>
      </c>
      <c r="E25" s="8">
        <v>73085.460000000006</v>
      </c>
      <c r="F25" s="8">
        <v>72332.13</v>
      </c>
      <c r="G25" s="9">
        <f>E25</f>
        <v>73085.460000000006</v>
      </c>
      <c r="H25" s="7">
        <f>D25+F25-G25</f>
        <v>-15275.520000000004</v>
      </c>
      <c r="I25" s="8">
        <f>H25</f>
        <v>-15275.520000000004</v>
      </c>
      <c r="J25" s="166"/>
    </row>
    <row r="26" spans="1:10" x14ac:dyDescent="0.25">
      <c r="A26" s="11" t="s">
        <v>49</v>
      </c>
      <c r="B26" s="11" t="s">
        <v>140</v>
      </c>
      <c r="C26" s="11">
        <v>3.43</v>
      </c>
      <c r="D26" s="16">
        <v>-39400.43</v>
      </c>
      <c r="E26" s="13">
        <v>118606.29</v>
      </c>
      <c r="F26" s="11">
        <v>116351.37</v>
      </c>
      <c r="G26" s="13">
        <f t="shared" si="0"/>
        <v>118606.29</v>
      </c>
      <c r="H26" s="16">
        <f>D26+F26-G26</f>
        <v>-41655.349999999991</v>
      </c>
      <c r="I26" s="16">
        <f>H26</f>
        <v>-41655.349999999991</v>
      </c>
      <c r="J26" s="166"/>
    </row>
    <row r="27" spans="1:10" x14ac:dyDescent="0.25">
      <c r="A27" s="10" t="s">
        <v>51</v>
      </c>
      <c r="B27" s="10" t="s">
        <v>50</v>
      </c>
      <c r="C27" s="10">
        <v>4.5999999999999996</v>
      </c>
      <c r="D27" s="38">
        <v>-41528.639999999999</v>
      </c>
      <c r="E27" s="35">
        <v>159467.28</v>
      </c>
      <c r="F27" s="10">
        <v>159698.25</v>
      </c>
      <c r="G27" s="35">
        <f t="shared" si="0"/>
        <v>159467.28</v>
      </c>
      <c r="H27" s="38">
        <f>D27+F27-G27</f>
        <v>-41297.67</v>
      </c>
      <c r="I27" s="41">
        <f>H27</f>
        <v>-41297.67</v>
      </c>
      <c r="J27" s="166"/>
    </row>
    <row r="28" spans="1:10" x14ac:dyDescent="0.25">
      <c r="A28" s="63" t="s">
        <v>56</v>
      </c>
      <c r="B28" s="63" t="s">
        <v>219</v>
      </c>
      <c r="C28" s="159"/>
      <c r="D28" s="160"/>
      <c r="E28" s="203"/>
      <c r="F28" s="160"/>
      <c r="G28" s="203"/>
      <c r="H28" s="160"/>
      <c r="I28" s="160" t="s">
        <v>72</v>
      </c>
      <c r="J28" s="166"/>
    </row>
    <row r="29" spans="1:10" x14ac:dyDescent="0.25">
      <c r="A29" s="11"/>
      <c r="B29" s="11" t="s">
        <v>231</v>
      </c>
      <c r="C29" s="13">
        <v>1.82</v>
      </c>
      <c r="D29" s="11">
        <v>223119.31</v>
      </c>
      <c r="E29" s="13">
        <v>62894.16</v>
      </c>
      <c r="F29" s="11">
        <f>F30+F31</f>
        <v>78551.63</v>
      </c>
      <c r="G29" s="14">
        <f>I60</f>
        <v>26960</v>
      </c>
      <c r="H29" s="11">
        <f>D29+F29-G29</f>
        <v>274710.94</v>
      </c>
      <c r="I29" s="16"/>
      <c r="J29" s="166"/>
    </row>
    <row r="30" spans="1:10" x14ac:dyDescent="0.25">
      <c r="A30" s="10"/>
      <c r="B30" s="8" t="s">
        <v>53</v>
      </c>
      <c r="C30" s="35"/>
      <c r="D30" s="36"/>
      <c r="E30" s="10"/>
      <c r="F30" s="35">
        <v>65043.23</v>
      </c>
      <c r="G30" s="10"/>
      <c r="H30" s="42"/>
      <c r="I30" s="16"/>
      <c r="J30" s="166"/>
    </row>
    <row r="31" spans="1:10" x14ac:dyDescent="0.25">
      <c r="A31" s="39"/>
      <c r="B31" s="17" t="s">
        <v>382</v>
      </c>
      <c r="C31" s="4"/>
      <c r="D31" s="14"/>
      <c r="E31" s="11"/>
      <c r="F31" s="13">
        <v>13508.4</v>
      </c>
      <c r="G31" s="11"/>
      <c r="H31" s="4"/>
      <c r="I31" s="16"/>
      <c r="J31" s="166"/>
    </row>
    <row r="32" spans="1:10" x14ac:dyDescent="0.25">
      <c r="A32" s="10" t="s">
        <v>60</v>
      </c>
      <c r="B32" s="35" t="s">
        <v>144</v>
      </c>
      <c r="C32" s="10"/>
      <c r="D32" s="35" t="s">
        <v>72</v>
      </c>
      <c r="E32" s="10"/>
      <c r="F32" s="35"/>
      <c r="G32" s="10" t="s">
        <v>145</v>
      </c>
      <c r="H32" s="35" t="s">
        <v>72</v>
      </c>
      <c r="I32" s="38" t="s">
        <v>72</v>
      </c>
      <c r="J32" s="166"/>
    </row>
    <row r="33" spans="1:10" x14ac:dyDescent="0.25">
      <c r="A33" s="10"/>
      <c r="B33" s="35" t="s">
        <v>383</v>
      </c>
      <c r="C33" s="10">
        <v>0</v>
      </c>
      <c r="D33" s="35">
        <v>13508.4</v>
      </c>
      <c r="E33" s="10">
        <v>0</v>
      </c>
      <c r="F33" s="35">
        <f>-F35</f>
        <v>-13508.4</v>
      </c>
      <c r="G33" s="10">
        <v>0</v>
      </c>
      <c r="H33" s="42">
        <f>D33+F33-G33</f>
        <v>0</v>
      </c>
      <c r="I33" s="41"/>
      <c r="J33" s="166"/>
    </row>
    <row r="34" spans="1:10" x14ac:dyDescent="0.25">
      <c r="A34" s="17"/>
      <c r="B34" s="17" t="s">
        <v>53</v>
      </c>
      <c r="C34" s="61">
        <v>0</v>
      </c>
      <c r="D34" s="17"/>
      <c r="E34" s="61">
        <v>0</v>
      </c>
      <c r="F34" s="17">
        <v>0</v>
      </c>
      <c r="G34" s="61">
        <v>0</v>
      </c>
      <c r="H34" s="17"/>
      <c r="I34" s="30"/>
      <c r="J34" s="166"/>
    </row>
    <row r="35" spans="1:10" x14ac:dyDescent="0.25">
      <c r="A35" s="8"/>
      <c r="B35" s="8" t="s">
        <v>58</v>
      </c>
      <c r="C35" s="9"/>
      <c r="D35" s="8"/>
      <c r="E35" s="9">
        <v>0</v>
      </c>
      <c r="F35" s="8">
        <v>13508.4</v>
      </c>
      <c r="G35" s="9">
        <v>0</v>
      </c>
      <c r="H35" s="8"/>
      <c r="I35" s="30"/>
      <c r="J35" s="166"/>
    </row>
    <row r="36" spans="1:10" x14ac:dyDescent="0.25">
      <c r="A36" s="1" t="s">
        <v>59</v>
      </c>
      <c r="B36" s="2"/>
      <c r="C36" s="2"/>
      <c r="D36" s="43"/>
      <c r="E36" s="2"/>
      <c r="F36" s="2"/>
      <c r="G36" s="2"/>
      <c r="H36" s="2"/>
      <c r="I36" s="2"/>
      <c r="J36" s="166"/>
    </row>
    <row r="37" spans="1:10" x14ac:dyDescent="0.25">
      <c r="A37" s="53" t="s">
        <v>355</v>
      </c>
      <c r="B37" s="46" t="s">
        <v>61</v>
      </c>
      <c r="C37" s="8" t="s">
        <v>66</v>
      </c>
      <c r="D37" s="9" t="s">
        <v>384</v>
      </c>
      <c r="E37" s="8" t="s">
        <v>64</v>
      </c>
      <c r="F37" s="8" t="s">
        <v>62</v>
      </c>
      <c r="G37" s="48"/>
      <c r="H37" s="9" t="s">
        <v>195</v>
      </c>
      <c r="I37" s="48"/>
      <c r="J37" s="166"/>
    </row>
    <row r="38" spans="1:10" x14ac:dyDescent="0.25">
      <c r="A38" s="55"/>
      <c r="B38" s="49"/>
      <c r="C38" s="17" t="s">
        <v>67</v>
      </c>
      <c r="D38" s="61" t="s">
        <v>23</v>
      </c>
      <c r="E38" s="17" t="s">
        <v>68</v>
      </c>
      <c r="F38" s="17" t="s">
        <v>30</v>
      </c>
      <c r="G38" s="51"/>
      <c r="H38" s="61"/>
      <c r="I38" s="51"/>
      <c r="J38" s="166"/>
    </row>
    <row r="39" spans="1:10" x14ac:dyDescent="0.25">
      <c r="A39" s="50"/>
      <c r="B39" s="50" t="s">
        <v>69</v>
      </c>
      <c r="C39" s="21">
        <v>1401.65</v>
      </c>
      <c r="D39" s="61">
        <v>2400</v>
      </c>
      <c r="E39" s="17">
        <f>D39*15%</f>
        <v>360</v>
      </c>
      <c r="F39" s="21">
        <f>C39+D39-E39</f>
        <v>3441.65</v>
      </c>
      <c r="G39" s="18"/>
      <c r="H39" s="162">
        <f>F39-G39</f>
        <v>3441.65</v>
      </c>
      <c r="I39" s="51"/>
      <c r="J39" s="166"/>
    </row>
    <row r="40" spans="1:10" x14ac:dyDescent="0.25">
      <c r="A40" s="4" t="s">
        <v>70</v>
      </c>
      <c r="B40" s="4"/>
      <c r="C40" s="4"/>
      <c r="D40" s="52"/>
      <c r="E40" s="4"/>
      <c r="F40" s="4"/>
      <c r="G40" s="4"/>
      <c r="H40" s="4"/>
      <c r="I40" s="2"/>
      <c r="J40" s="166"/>
    </row>
    <row r="41" spans="1:10" x14ac:dyDescent="0.25">
      <c r="A41" s="1" t="s">
        <v>71</v>
      </c>
      <c r="B41" s="1"/>
      <c r="C41" s="1"/>
      <c r="D41" s="52"/>
      <c r="E41" s="4"/>
      <c r="F41" s="4"/>
      <c r="G41" s="4"/>
      <c r="H41" s="4"/>
      <c r="I41" s="2"/>
      <c r="J41" s="166"/>
    </row>
    <row r="42" spans="1:10" x14ac:dyDescent="0.25">
      <c r="A42" s="5" t="s">
        <v>72</v>
      </c>
      <c r="B42" s="53" t="s">
        <v>73</v>
      </c>
      <c r="C42" s="5" t="s">
        <v>74</v>
      </c>
      <c r="D42" s="47" t="s">
        <v>75</v>
      </c>
      <c r="E42" s="5" t="s">
        <v>76</v>
      </c>
      <c r="F42" s="54" t="s">
        <v>77</v>
      </c>
      <c r="G42" s="5" t="s">
        <v>385</v>
      </c>
      <c r="H42" s="5" t="s">
        <v>79</v>
      </c>
      <c r="I42" s="5" t="s">
        <v>19</v>
      </c>
      <c r="J42" s="166"/>
    </row>
    <row r="43" spans="1:10" x14ac:dyDescent="0.25">
      <c r="A43" s="6"/>
      <c r="B43" s="55" t="s">
        <v>80</v>
      </c>
      <c r="C43" s="6" t="s">
        <v>81</v>
      </c>
      <c r="D43" s="56" t="s">
        <v>82</v>
      </c>
      <c r="E43" s="6" t="s">
        <v>83</v>
      </c>
      <c r="F43" s="43" t="s">
        <v>84</v>
      </c>
      <c r="G43" s="6" t="s">
        <v>85</v>
      </c>
      <c r="H43" s="6" t="s">
        <v>86</v>
      </c>
      <c r="I43" s="6" t="s">
        <v>87</v>
      </c>
      <c r="J43" s="166"/>
    </row>
    <row r="44" spans="1:10" x14ac:dyDescent="0.25">
      <c r="A44" s="6"/>
      <c r="B44" s="49"/>
      <c r="C44" s="6"/>
      <c r="D44" s="56"/>
      <c r="E44" s="6"/>
      <c r="F44" s="43" t="s">
        <v>88</v>
      </c>
      <c r="G44" s="6" t="s">
        <v>89</v>
      </c>
      <c r="H44" s="6"/>
      <c r="I44" s="6" t="s">
        <v>386</v>
      </c>
      <c r="J44" s="166"/>
    </row>
    <row r="45" spans="1:10" x14ac:dyDescent="0.25">
      <c r="A45" s="6"/>
      <c r="B45" s="49"/>
      <c r="C45" s="17"/>
      <c r="D45" s="51"/>
      <c r="E45" s="6"/>
      <c r="F45" s="43"/>
      <c r="G45" s="17"/>
      <c r="H45" s="17"/>
      <c r="I45" s="226"/>
      <c r="J45" s="166"/>
    </row>
    <row r="46" spans="1:10" x14ac:dyDescent="0.25">
      <c r="A46" s="8">
        <v>1</v>
      </c>
      <c r="B46" s="8" t="s">
        <v>91</v>
      </c>
      <c r="C46" s="10" t="s">
        <v>92</v>
      </c>
      <c r="D46" s="56">
        <v>-38511.58</v>
      </c>
      <c r="E46" s="196">
        <v>118517.64</v>
      </c>
      <c r="F46" s="8">
        <v>117560.39</v>
      </c>
      <c r="G46" s="59">
        <f>E46</f>
        <v>118517.64</v>
      </c>
      <c r="H46" s="6">
        <f>D46+F46-G46</f>
        <v>-39468.83</v>
      </c>
      <c r="I46" s="56">
        <f>H46</f>
        <v>-39468.83</v>
      </c>
      <c r="J46" s="166"/>
    </row>
    <row r="47" spans="1:10" x14ac:dyDescent="0.25">
      <c r="A47" s="8"/>
      <c r="B47" s="8" t="s">
        <v>387</v>
      </c>
      <c r="C47" s="35" t="s">
        <v>94</v>
      </c>
      <c r="D47" s="8"/>
      <c r="E47" s="9"/>
      <c r="F47" s="8"/>
      <c r="G47" s="9"/>
      <c r="H47" s="5"/>
      <c r="I47" s="8"/>
      <c r="J47" s="166"/>
    </row>
    <row r="48" spans="1:10" x14ac:dyDescent="0.25">
      <c r="A48" s="6">
        <v>2</v>
      </c>
      <c r="B48" s="6" t="s">
        <v>95</v>
      </c>
      <c r="C48" s="1" t="s">
        <v>96</v>
      </c>
      <c r="D48" s="5">
        <v>-114706.17</v>
      </c>
      <c r="E48" s="2">
        <v>181084.41</v>
      </c>
      <c r="F48" s="6">
        <v>200000.09</v>
      </c>
      <c r="G48" s="2">
        <f>E48</f>
        <v>181084.41</v>
      </c>
      <c r="H48" s="5">
        <f>D48+F48-G48</f>
        <v>-95790.49</v>
      </c>
      <c r="I48" s="47">
        <f>H48</f>
        <v>-95790.49</v>
      </c>
      <c r="J48" s="166"/>
    </row>
    <row r="49" spans="1:10" x14ac:dyDescent="0.25">
      <c r="A49" s="8"/>
      <c r="B49" s="8" t="s">
        <v>97</v>
      </c>
      <c r="C49" s="35"/>
      <c r="D49" s="8"/>
      <c r="E49" s="9"/>
      <c r="F49" s="8"/>
      <c r="G49" s="9"/>
      <c r="H49" s="5"/>
      <c r="I49" s="47"/>
      <c r="J49" s="166"/>
    </row>
    <row r="50" spans="1:10" x14ac:dyDescent="0.25">
      <c r="A50" s="8">
        <v>3</v>
      </c>
      <c r="B50" s="8" t="s">
        <v>99</v>
      </c>
      <c r="C50" s="35" t="s">
        <v>100</v>
      </c>
      <c r="D50" s="8">
        <v>-326127.67</v>
      </c>
      <c r="E50" s="9">
        <v>643306.44999999995</v>
      </c>
      <c r="F50" s="8">
        <v>598417.12</v>
      </c>
      <c r="G50" s="9">
        <f>E50</f>
        <v>643306.44999999995</v>
      </c>
      <c r="H50" s="8">
        <f>D50+F50-G50</f>
        <v>-371016.99999999994</v>
      </c>
      <c r="I50" s="8">
        <f>H50</f>
        <v>-371016.99999999994</v>
      </c>
      <c r="J50" s="166"/>
    </row>
    <row r="51" spans="1:10" x14ac:dyDescent="0.25">
      <c r="A51" s="1" t="s">
        <v>388</v>
      </c>
      <c r="B51" s="2"/>
      <c r="C51" s="2"/>
      <c r="D51" s="2"/>
      <c r="E51" s="2"/>
      <c r="F51" s="2"/>
      <c r="G51" s="2"/>
      <c r="H51" s="2"/>
      <c r="I51" s="2"/>
      <c r="J51" s="166"/>
    </row>
    <row r="52" spans="1:10" x14ac:dyDescent="0.25">
      <c r="A52" s="4" t="s">
        <v>389</v>
      </c>
      <c r="B52" s="2"/>
      <c r="C52" s="2"/>
      <c r="D52" s="2"/>
      <c r="E52" s="2"/>
      <c r="F52" s="2"/>
      <c r="G52" s="2"/>
      <c r="H52" s="2"/>
      <c r="I52" s="2"/>
      <c r="J52" s="166"/>
    </row>
    <row r="53" spans="1:10" x14ac:dyDescent="0.25">
      <c r="A53" s="46" t="s">
        <v>12</v>
      </c>
      <c r="B53" s="5" t="s">
        <v>103</v>
      </c>
      <c r="C53" s="46" t="s">
        <v>104</v>
      </c>
      <c r="D53" s="54"/>
      <c r="E53" s="54"/>
      <c r="F53" s="54"/>
      <c r="G53" s="5" t="s">
        <v>199</v>
      </c>
      <c r="H53" s="47" t="s">
        <v>200</v>
      </c>
      <c r="I53" s="47" t="s">
        <v>107</v>
      </c>
      <c r="J53" s="166"/>
    </row>
    <row r="54" spans="1:10" x14ac:dyDescent="0.25">
      <c r="A54" s="49" t="s">
        <v>108</v>
      </c>
      <c r="B54" s="6"/>
      <c r="C54" s="49"/>
      <c r="D54" s="43"/>
      <c r="E54" s="43"/>
      <c r="F54" s="43"/>
      <c r="G54" s="6" t="s">
        <v>201</v>
      </c>
      <c r="H54" s="56"/>
      <c r="I54" s="56" t="s">
        <v>109</v>
      </c>
      <c r="J54" s="166"/>
    </row>
    <row r="55" spans="1:10" x14ac:dyDescent="0.25">
      <c r="A55" s="50"/>
      <c r="B55" s="17"/>
      <c r="C55" s="50"/>
      <c r="D55" s="61"/>
      <c r="E55" s="61"/>
      <c r="F55" s="61"/>
      <c r="G55" s="17"/>
      <c r="H55" s="51"/>
      <c r="I55" s="56"/>
      <c r="J55" s="166"/>
    </row>
    <row r="56" spans="1:10" x14ac:dyDescent="0.25">
      <c r="A56" s="228"/>
      <c r="B56" s="39"/>
      <c r="C56" s="4"/>
      <c r="D56" s="4"/>
      <c r="E56" s="4"/>
      <c r="F56" s="43"/>
      <c r="G56" s="6"/>
      <c r="H56" s="56"/>
      <c r="I56" s="47"/>
      <c r="J56" s="166"/>
    </row>
    <row r="57" spans="1:10" x14ac:dyDescent="0.25">
      <c r="A57" s="64" t="s">
        <v>111</v>
      </c>
      <c r="B57" s="65">
        <v>43186</v>
      </c>
      <c r="C57" s="43" t="s">
        <v>237</v>
      </c>
      <c r="D57" s="43"/>
      <c r="E57" s="43"/>
      <c r="F57" s="43"/>
      <c r="G57" s="26" t="s">
        <v>390</v>
      </c>
      <c r="H57" s="56">
        <v>27</v>
      </c>
      <c r="I57" s="56">
        <v>5400</v>
      </c>
      <c r="J57" s="166"/>
    </row>
    <row r="58" spans="1:10" x14ac:dyDescent="0.25">
      <c r="A58" s="64" t="s">
        <v>114</v>
      </c>
      <c r="B58" s="65">
        <v>43315</v>
      </c>
      <c r="C58" s="43" t="s">
        <v>391</v>
      </c>
      <c r="D58" s="43"/>
      <c r="E58" s="43"/>
      <c r="F58" s="43"/>
      <c r="G58" s="26" t="s">
        <v>172</v>
      </c>
      <c r="H58" s="56">
        <v>1</v>
      </c>
      <c r="I58" s="56">
        <v>5000</v>
      </c>
      <c r="J58" s="166"/>
    </row>
    <row r="59" spans="1:10" x14ac:dyDescent="0.25">
      <c r="A59" s="64" t="s">
        <v>170</v>
      </c>
      <c r="B59" s="65" t="s">
        <v>29</v>
      </c>
      <c r="C59" s="43" t="s">
        <v>392</v>
      </c>
      <c r="D59" s="43"/>
      <c r="E59" s="43"/>
      <c r="F59" s="43"/>
      <c r="G59" s="26" t="s">
        <v>172</v>
      </c>
      <c r="H59" s="56">
        <v>1</v>
      </c>
      <c r="I59" s="56">
        <v>16560</v>
      </c>
      <c r="J59" s="166"/>
    </row>
    <row r="60" spans="1:10" x14ac:dyDescent="0.25">
      <c r="A60" s="66"/>
      <c r="B60" s="17"/>
      <c r="C60" s="13" t="s">
        <v>117</v>
      </c>
      <c r="D60" s="13"/>
      <c r="E60" s="13"/>
      <c r="F60" s="13"/>
      <c r="G60" s="16"/>
      <c r="H60" s="51"/>
      <c r="I60" s="67">
        <f>SUM(I56:I59)</f>
        <v>26960</v>
      </c>
      <c r="J60" s="166"/>
    </row>
    <row r="61" spans="1:10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166"/>
    </row>
    <row r="62" spans="1:10" x14ac:dyDescent="0.25">
      <c r="A62" s="43"/>
      <c r="B62" s="4"/>
      <c r="C62" s="4"/>
      <c r="D62" s="43"/>
      <c r="E62" s="43"/>
      <c r="F62" s="43"/>
      <c r="G62" s="43"/>
      <c r="H62" s="43"/>
      <c r="I62" s="43"/>
      <c r="J62" s="166"/>
    </row>
    <row r="63" spans="1:10" x14ac:dyDescent="0.25">
      <c r="A63" s="68"/>
      <c r="B63" s="43"/>
      <c r="C63" s="43"/>
      <c r="D63" s="43"/>
      <c r="E63" s="43"/>
      <c r="F63" s="43"/>
      <c r="G63" s="43"/>
      <c r="H63" s="43"/>
      <c r="I63" s="43"/>
      <c r="J63" s="166"/>
    </row>
    <row r="64" spans="1:10" x14ac:dyDescent="0.25">
      <c r="A64" s="2" t="s">
        <v>280</v>
      </c>
      <c r="B64" s="2"/>
      <c r="C64" s="2" t="s">
        <v>72</v>
      </c>
      <c r="D64" s="2" t="s">
        <v>393</v>
      </c>
      <c r="E64" s="2"/>
      <c r="F64" s="2"/>
      <c r="G64" s="2"/>
      <c r="H64" s="2"/>
      <c r="I64" s="2"/>
      <c r="J64" s="166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22" workbookViewId="0">
      <selection activeCell="G63" sqref="G63:H64"/>
    </sheetView>
  </sheetViews>
  <sheetFormatPr defaultRowHeight="15" x14ac:dyDescent="0.25"/>
  <cols>
    <col min="1" max="1" width="4.140625" customWidth="1"/>
    <col min="2" max="2" width="41.85546875" customWidth="1"/>
    <col min="6" max="6" width="20.42578125" customWidth="1"/>
    <col min="8" max="8" width="11.42578125" customWidth="1"/>
    <col min="9" max="9" width="13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  <c r="J4" s="166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66"/>
    </row>
    <row r="6" spans="1:10" x14ac:dyDescent="0.25">
      <c r="A6" s="1" t="s">
        <v>394</v>
      </c>
      <c r="B6" s="2"/>
      <c r="C6" s="2"/>
      <c r="D6" s="2"/>
      <c r="E6" s="2"/>
      <c r="F6" s="2"/>
      <c r="G6" s="2"/>
      <c r="H6" s="2"/>
      <c r="I6" s="2"/>
      <c r="J6" s="166"/>
    </row>
    <row r="7" spans="1:10" x14ac:dyDescent="0.25">
      <c r="A7" s="2" t="s">
        <v>395</v>
      </c>
      <c r="B7" s="2"/>
      <c r="C7" s="2"/>
      <c r="D7" s="2"/>
      <c r="E7" s="2"/>
      <c r="F7" s="2"/>
      <c r="G7" s="2"/>
      <c r="H7" s="2"/>
      <c r="I7" s="2"/>
      <c r="J7" s="166"/>
    </row>
    <row r="8" spans="1:10" x14ac:dyDescent="0.25">
      <c r="A8" s="2" t="s">
        <v>396</v>
      </c>
      <c r="B8" s="2"/>
      <c r="C8" s="2"/>
      <c r="D8" s="2"/>
      <c r="E8" s="2"/>
      <c r="F8" s="2"/>
      <c r="G8" s="2"/>
      <c r="H8" s="2"/>
      <c r="I8" s="2"/>
      <c r="J8" s="166"/>
    </row>
    <row r="9" spans="1:10" x14ac:dyDescent="0.25">
      <c r="A9" s="2" t="s">
        <v>397</v>
      </c>
      <c r="B9" s="2"/>
      <c r="C9" s="2"/>
      <c r="D9" s="2"/>
      <c r="E9" s="2"/>
      <c r="F9" s="2"/>
      <c r="G9" s="2"/>
      <c r="H9" s="2"/>
      <c r="I9" s="2"/>
      <c r="J9" s="166"/>
    </row>
    <row r="10" spans="1:10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166"/>
    </row>
    <row r="11" spans="1:10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166"/>
    </row>
    <row r="12" spans="1:10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  <c r="J12" s="166"/>
    </row>
    <row r="13" spans="1:10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  <c r="J13" s="166"/>
    </row>
    <row r="14" spans="1:10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  <c r="J14" s="166"/>
    </row>
    <row r="15" spans="1:10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  <c r="J15" s="166"/>
    </row>
    <row r="16" spans="1:10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17" t="s">
        <v>34</v>
      </c>
      <c r="J16" s="166"/>
    </row>
    <row r="17" spans="1:10" x14ac:dyDescent="0.25">
      <c r="A17" s="7">
        <v>1</v>
      </c>
      <c r="B17" s="8">
        <v>2</v>
      </c>
      <c r="C17" s="54">
        <v>3</v>
      </c>
      <c r="D17" s="8">
        <v>4</v>
      </c>
      <c r="E17" s="54">
        <v>5</v>
      </c>
      <c r="F17" s="5">
        <v>6</v>
      </c>
      <c r="G17" s="9">
        <v>7</v>
      </c>
      <c r="H17" s="8">
        <v>8</v>
      </c>
      <c r="I17" s="8">
        <v>9</v>
      </c>
      <c r="J17" s="166"/>
    </row>
    <row r="18" spans="1:10" x14ac:dyDescent="0.25">
      <c r="A18" s="53">
        <v>1</v>
      </c>
      <c r="B18" s="53" t="s">
        <v>186</v>
      </c>
      <c r="C18" s="63" t="s">
        <v>72</v>
      </c>
      <c r="D18" s="159"/>
      <c r="E18" s="164" t="s">
        <v>72</v>
      </c>
      <c r="F18" s="63" t="s">
        <v>72</v>
      </c>
      <c r="G18" s="159"/>
      <c r="H18" s="63" t="s">
        <v>72</v>
      </c>
      <c r="I18" s="160"/>
      <c r="J18" s="166"/>
    </row>
    <row r="19" spans="1:10" x14ac:dyDescent="0.25">
      <c r="A19" s="14"/>
      <c r="B19" s="14" t="s">
        <v>187</v>
      </c>
      <c r="C19" s="11">
        <v>8.9600000000000009</v>
      </c>
      <c r="D19" s="16">
        <v>-123934.57</v>
      </c>
      <c r="E19" s="14">
        <v>1348225.44</v>
      </c>
      <c r="F19" s="11">
        <v>1335032.81</v>
      </c>
      <c r="G19" s="161">
        <f>E19</f>
        <v>1348225.44</v>
      </c>
      <c r="H19" s="16">
        <f>D19+F19-G19</f>
        <v>-137127.19999999995</v>
      </c>
      <c r="I19" s="16">
        <f>H19+H24</f>
        <v>-135668.54999999996</v>
      </c>
      <c r="J19" s="166"/>
    </row>
    <row r="20" spans="1:10" x14ac:dyDescent="0.25">
      <c r="A20" s="6" t="s">
        <v>36</v>
      </c>
      <c r="B20" s="6" t="s">
        <v>37</v>
      </c>
      <c r="C20" s="43">
        <v>3.08</v>
      </c>
      <c r="D20" s="26" t="s">
        <v>72</v>
      </c>
      <c r="E20" s="19">
        <f>E19*34.4/100</f>
        <v>463789.55135999992</v>
      </c>
      <c r="F20" s="26">
        <f>F19*34.4/100</f>
        <v>459251.28663999995</v>
      </c>
      <c r="G20" s="19">
        <f t="shared" ref="G20:G28" si="0">E20</f>
        <v>463789.55135999992</v>
      </c>
      <c r="H20" s="26"/>
      <c r="I20" s="26" t="s">
        <v>72</v>
      </c>
      <c r="J20" s="166"/>
    </row>
    <row r="21" spans="1:10" x14ac:dyDescent="0.25">
      <c r="A21" s="22" t="s">
        <v>38</v>
      </c>
      <c r="B21" s="5" t="s">
        <v>39</v>
      </c>
      <c r="C21" s="54">
        <v>1.47</v>
      </c>
      <c r="D21" s="30"/>
      <c r="E21" s="24">
        <f>E19*16.4%</f>
        <v>221108.97215999998</v>
      </c>
      <c r="F21" s="33">
        <f>F19*16.4%</f>
        <v>218945.38083999997</v>
      </c>
      <c r="G21" s="24">
        <f t="shared" si="0"/>
        <v>221108.97215999998</v>
      </c>
      <c r="H21" s="30"/>
      <c r="I21" s="30"/>
      <c r="J21" s="166"/>
    </row>
    <row r="22" spans="1:10" x14ac:dyDescent="0.25">
      <c r="A22" s="22" t="s">
        <v>40</v>
      </c>
      <c r="B22" s="5" t="s">
        <v>41</v>
      </c>
      <c r="C22" s="54">
        <v>1.81</v>
      </c>
      <c r="D22" s="26"/>
      <c r="E22" s="24">
        <f>E19*20.2%</f>
        <v>272341.53887999995</v>
      </c>
      <c r="F22" s="33">
        <f>F19*20.2%</f>
        <v>269676.62761999998</v>
      </c>
      <c r="G22" s="24">
        <f t="shared" si="0"/>
        <v>272341.53887999995</v>
      </c>
      <c r="H22" s="26"/>
      <c r="I22" s="26"/>
      <c r="J22" s="166"/>
    </row>
    <row r="23" spans="1:10" x14ac:dyDescent="0.25">
      <c r="A23" s="31" t="s">
        <v>42</v>
      </c>
      <c r="B23" s="8" t="s">
        <v>43</v>
      </c>
      <c r="C23" s="9">
        <v>2.6</v>
      </c>
      <c r="D23" s="30"/>
      <c r="E23" s="28">
        <f>E19*29%</f>
        <v>390985.37759999995</v>
      </c>
      <c r="F23" s="30">
        <f>F19*29/100</f>
        <v>387159.51490000001</v>
      </c>
      <c r="G23" s="28">
        <f t="shared" si="0"/>
        <v>390985.37759999995</v>
      </c>
      <c r="H23" s="30"/>
      <c r="I23" s="30"/>
      <c r="J23" s="166"/>
    </row>
    <row r="24" spans="1:10" x14ac:dyDescent="0.25">
      <c r="A24" s="66" t="s">
        <v>44</v>
      </c>
      <c r="B24" s="17" t="s">
        <v>45</v>
      </c>
      <c r="C24" s="61">
        <v>1755.25</v>
      </c>
      <c r="D24" s="21">
        <v>1411.64</v>
      </c>
      <c r="E24" s="162">
        <v>12383.21</v>
      </c>
      <c r="F24" s="21">
        <v>12430.22</v>
      </c>
      <c r="G24" s="162">
        <f>E24</f>
        <v>12383.21</v>
      </c>
      <c r="H24" s="21">
        <f>D24+F24-E24</f>
        <v>1458.6499999999996</v>
      </c>
      <c r="I24" s="21"/>
      <c r="J24" s="166"/>
    </row>
    <row r="25" spans="1:10" x14ac:dyDescent="0.25">
      <c r="A25" s="66" t="s">
        <v>46</v>
      </c>
      <c r="B25" s="17" t="s">
        <v>47</v>
      </c>
      <c r="C25" s="13" t="s">
        <v>48</v>
      </c>
      <c r="D25" s="21">
        <v>-46779.41</v>
      </c>
      <c r="E25" s="8">
        <v>367417.14</v>
      </c>
      <c r="F25" s="8">
        <v>367336.93</v>
      </c>
      <c r="G25" s="9">
        <f>E25</f>
        <v>367417.14</v>
      </c>
      <c r="H25" s="30">
        <f>D25+F25-E25</f>
        <v>-46859.619999999995</v>
      </c>
      <c r="I25" s="8">
        <f>H25</f>
        <v>-46859.619999999995</v>
      </c>
      <c r="J25" s="166"/>
    </row>
    <row r="26" spans="1:10" x14ac:dyDescent="0.25">
      <c r="A26" s="11" t="s">
        <v>49</v>
      </c>
      <c r="B26" s="11" t="s">
        <v>140</v>
      </c>
      <c r="C26" s="11">
        <v>3.43</v>
      </c>
      <c r="D26" s="16">
        <v>-20609.75</v>
      </c>
      <c r="E26" s="13">
        <v>461938.94</v>
      </c>
      <c r="F26" s="11">
        <v>471620.31</v>
      </c>
      <c r="G26" s="13">
        <f>E26</f>
        <v>461938.94</v>
      </c>
      <c r="H26" s="16">
        <f>D26+F26-G26</f>
        <v>-10928.380000000005</v>
      </c>
      <c r="I26" s="16">
        <f>H26</f>
        <v>-10928.380000000005</v>
      </c>
      <c r="J26" s="166"/>
    </row>
    <row r="27" spans="1:10" x14ac:dyDescent="0.25">
      <c r="A27" s="10" t="s">
        <v>51</v>
      </c>
      <c r="B27" s="10" t="s">
        <v>50</v>
      </c>
      <c r="C27" s="35">
        <v>4.5999999999999996</v>
      </c>
      <c r="D27" s="16">
        <v>-65821.460000000006</v>
      </c>
      <c r="E27" s="10">
        <v>692169.36</v>
      </c>
      <c r="F27" s="10">
        <v>684751.29</v>
      </c>
      <c r="G27" s="35">
        <f t="shared" si="0"/>
        <v>692169.36</v>
      </c>
      <c r="H27" s="16">
        <f>D27+F27-G27</f>
        <v>-73239.529999999912</v>
      </c>
      <c r="I27" s="16">
        <f>H27</f>
        <v>-73239.529999999912</v>
      </c>
      <c r="J27" s="166"/>
    </row>
    <row r="28" spans="1:10" x14ac:dyDescent="0.25">
      <c r="A28" s="10" t="s">
        <v>56</v>
      </c>
      <c r="B28" s="10" t="s">
        <v>191</v>
      </c>
      <c r="C28" s="193">
        <v>1</v>
      </c>
      <c r="D28" s="16">
        <v>842.19</v>
      </c>
      <c r="E28" s="10">
        <v>0</v>
      </c>
      <c r="F28" s="63">
        <v>0.78</v>
      </c>
      <c r="G28" s="35">
        <f t="shared" si="0"/>
        <v>0</v>
      </c>
      <c r="H28" s="11">
        <f>D28+F28-G28</f>
        <v>842.97</v>
      </c>
      <c r="I28" s="16"/>
      <c r="J28" s="166"/>
    </row>
    <row r="29" spans="1:10" x14ac:dyDescent="0.25">
      <c r="A29" s="63" t="s">
        <v>60</v>
      </c>
      <c r="B29" s="63" t="s">
        <v>141</v>
      </c>
      <c r="C29" s="13">
        <v>1.82</v>
      </c>
      <c r="D29" s="11">
        <v>914400.37</v>
      </c>
      <c r="E29" s="11">
        <v>273858.96000000002</v>
      </c>
      <c r="F29" s="10">
        <f>F30+F31+F32+F33</f>
        <v>275079.97000000003</v>
      </c>
      <c r="G29" s="13">
        <f>I64</f>
        <v>221754.37</v>
      </c>
      <c r="H29" s="11">
        <f>D29+F29-G29</f>
        <v>967725.97000000009</v>
      </c>
      <c r="I29" s="16"/>
      <c r="J29" s="166"/>
    </row>
    <row r="30" spans="1:10" x14ac:dyDescent="0.25">
      <c r="A30" s="10"/>
      <c r="B30" s="8" t="s">
        <v>398</v>
      </c>
      <c r="C30" s="13"/>
      <c r="D30" s="11"/>
      <c r="E30" s="17">
        <v>0</v>
      </c>
      <c r="F30" s="8">
        <v>274834.03000000003</v>
      </c>
      <c r="G30" s="13">
        <f>G29</f>
        <v>221754.37</v>
      </c>
      <c r="H30" s="11"/>
      <c r="I30" s="16"/>
      <c r="J30" s="166"/>
    </row>
    <row r="31" spans="1:10" x14ac:dyDescent="0.25">
      <c r="A31" s="10"/>
      <c r="B31" s="8" t="s">
        <v>54</v>
      </c>
      <c r="C31" s="13"/>
      <c r="D31" s="11"/>
      <c r="E31" s="61">
        <v>0</v>
      </c>
      <c r="F31" s="8">
        <v>0</v>
      </c>
      <c r="G31" s="13"/>
      <c r="H31" s="11"/>
      <c r="I31" s="16"/>
      <c r="J31" s="166"/>
    </row>
    <row r="32" spans="1:10" x14ac:dyDescent="0.25">
      <c r="A32" s="10"/>
      <c r="B32" s="7" t="s">
        <v>143</v>
      </c>
      <c r="C32" s="10"/>
      <c r="D32" s="11"/>
      <c r="E32" s="61"/>
      <c r="F32" s="8">
        <v>245.94</v>
      </c>
      <c r="G32" s="13"/>
      <c r="H32" s="11"/>
      <c r="I32" s="16"/>
      <c r="J32" s="166"/>
    </row>
    <row r="33" spans="1:10" x14ac:dyDescent="0.25">
      <c r="A33" s="10"/>
      <c r="B33" s="7"/>
      <c r="C33" s="10"/>
      <c r="D33" s="11"/>
      <c r="E33" s="61"/>
      <c r="F33" s="8"/>
      <c r="G33" s="13"/>
      <c r="H33" s="11"/>
      <c r="I33" s="16"/>
      <c r="J33" s="166"/>
    </row>
    <row r="34" spans="1:10" x14ac:dyDescent="0.25">
      <c r="A34" s="10" t="s">
        <v>355</v>
      </c>
      <c r="B34" s="10" t="s">
        <v>399</v>
      </c>
      <c r="C34" s="9">
        <v>0</v>
      </c>
      <c r="D34" s="10">
        <v>242.94</v>
      </c>
      <c r="E34" s="35">
        <v>0</v>
      </c>
      <c r="F34" s="10">
        <v>-245.94</v>
      </c>
      <c r="G34" s="35">
        <v>0</v>
      </c>
      <c r="H34" s="10">
        <f>0</f>
        <v>0</v>
      </c>
      <c r="I34" s="30"/>
      <c r="J34" s="166"/>
    </row>
    <row r="35" spans="1:10" x14ac:dyDescent="0.25">
      <c r="A35" s="7"/>
      <c r="B35" s="7" t="s">
        <v>58</v>
      </c>
      <c r="C35" s="209"/>
      <c r="D35" s="229"/>
      <c r="E35" s="7"/>
      <c r="F35" s="8">
        <v>245.94</v>
      </c>
      <c r="G35" s="48"/>
      <c r="H35" s="48"/>
      <c r="I35" s="230"/>
      <c r="J35" s="166"/>
    </row>
    <row r="36" spans="1:10" x14ac:dyDescent="0.25">
      <c r="A36" s="1" t="s">
        <v>59</v>
      </c>
      <c r="B36" s="2"/>
      <c r="C36" s="2"/>
      <c r="D36" s="2"/>
      <c r="E36" s="2"/>
      <c r="F36" s="2"/>
      <c r="G36" s="2"/>
      <c r="H36" s="2"/>
      <c r="I36" s="2"/>
      <c r="J36" s="166"/>
    </row>
    <row r="37" spans="1:10" x14ac:dyDescent="0.25">
      <c r="A37" s="63" t="s">
        <v>193</v>
      </c>
      <c r="B37" s="54" t="s">
        <v>61</v>
      </c>
      <c r="C37" s="5" t="s">
        <v>65</v>
      </c>
      <c r="D37" s="47" t="s">
        <v>63</v>
      </c>
      <c r="E37" s="54" t="s">
        <v>64</v>
      </c>
      <c r="F37" s="5" t="s">
        <v>65</v>
      </c>
      <c r="G37" s="5"/>
      <c r="H37" s="54" t="s">
        <v>195</v>
      </c>
      <c r="I37" s="47"/>
      <c r="J37" s="166"/>
    </row>
    <row r="38" spans="1:10" x14ac:dyDescent="0.25">
      <c r="A38" s="6"/>
      <c r="B38" s="43"/>
      <c r="C38" s="17" t="s">
        <v>67</v>
      </c>
      <c r="D38" s="51" t="s">
        <v>23</v>
      </c>
      <c r="E38" s="61" t="s">
        <v>312</v>
      </c>
      <c r="F38" s="17" t="s">
        <v>30</v>
      </c>
      <c r="G38" s="17"/>
      <c r="H38" s="61"/>
      <c r="I38" s="51"/>
      <c r="J38" s="166"/>
    </row>
    <row r="39" spans="1:10" x14ac:dyDescent="0.25">
      <c r="A39" s="11"/>
      <c r="B39" s="61" t="s">
        <v>69</v>
      </c>
      <c r="C39" s="30">
        <v>38843.550000000003</v>
      </c>
      <c r="D39" s="8">
        <v>15600</v>
      </c>
      <c r="E39" s="162">
        <f>D39*15%</f>
        <v>2340</v>
      </c>
      <c r="F39" s="21">
        <f>C39+(D39-E39)</f>
        <v>52103.55</v>
      </c>
      <c r="G39" s="21"/>
      <c r="H39" s="162">
        <f>F39</f>
        <v>52103.55</v>
      </c>
      <c r="I39" s="51"/>
      <c r="J39" s="166"/>
    </row>
    <row r="40" spans="1:10" x14ac:dyDescent="0.25">
      <c r="A40" s="4" t="s">
        <v>70</v>
      </c>
      <c r="B40" s="43"/>
      <c r="C40" s="43"/>
      <c r="D40" s="43"/>
      <c r="E40" s="43"/>
      <c r="F40" s="43"/>
      <c r="G40" s="43"/>
      <c r="H40" s="43"/>
      <c r="I40" s="43"/>
      <c r="J40" s="166"/>
    </row>
    <row r="41" spans="1:10" x14ac:dyDescent="0.25">
      <c r="A41" s="1" t="s">
        <v>71</v>
      </c>
      <c r="B41" s="2"/>
      <c r="C41" s="2"/>
      <c r="D41" s="2"/>
      <c r="E41" s="2"/>
      <c r="F41" s="2"/>
      <c r="G41" s="2"/>
      <c r="H41" s="2"/>
      <c r="I41" s="2"/>
      <c r="J41" s="166"/>
    </row>
    <row r="42" spans="1:10" x14ac:dyDescent="0.25">
      <c r="A42" s="5" t="s">
        <v>72</v>
      </c>
      <c r="B42" s="53" t="s">
        <v>73</v>
      </c>
      <c r="C42" s="5" t="s">
        <v>74</v>
      </c>
      <c r="D42" s="46" t="s">
        <v>75</v>
      </c>
      <c r="E42" s="5" t="s">
        <v>76</v>
      </c>
      <c r="F42" s="54" t="s">
        <v>77</v>
      </c>
      <c r="G42" s="5" t="s">
        <v>78</v>
      </c>
      <c r="H42" s="54" t="s">
        <v>79</v>
      </c>
      <c r="I42" s="5" t="s">
        <v>19</v>
      </c>
      <c r="J42" s="166"/>
    </row>
    <row r="43" spans="1:10" x14ac:dyDescent="0.25">
      <c r="A43" s="6"/>
      <c r="B43" s="55" t="s">
        <v>80</v>
      </c>
      <c r="C43" s="6" t="s">
        <v>81</v>
      </c>
      <c r="D43" s="49" t="s">
        <v>82</v>
      </c>
      <c r="E43" s="6" t="s">
        <v>83</v>
      </c>
      <c r="F43" s="43" t="s">
        <v>84</v>
      </c>
      <c r="G43" s="6" t="s">
        <v>400</v>
      </c>
      <c r="H43" s="43" t="s">
        <v>86</v>
      </c>
      <c r="I43" s="6" t="s">
        <v>87</v>
      </c>
      <c r="J43" s="166"/>
    </row>
    <row r="44" spans="1:10" x14ac:dyDescent="0.25">
      <c r="A44" s="6"/>
      <c r="B44" s="49"/>
      <c r="C44" s="6"/>
      <c r="D44" s="49"/>
      <c r="E44" s="6"/>
      <c r="F44" s="43" t="s">
        <v>88</v>
      </c>
      <c r="G44" s="6" t="s">
        <v>89</v>
      </c>
      <c r="H44" s="43"/>
      <c r="I44" s="6" t="s">
        <v>30</v>
      </c>
      <c r="J44" s="166"/>
    </row>
    <row r="45" spans="1:10" x14ac:dyDescent="0.25">
      <c r="A45" s="8"/>
      <c r="B45" s="7"/>
      <c r="C45" s="8"/>
      <c r="D45" s="7"/>
      <c r="E45" s="8"/>
      <c r="F45" s="8"/>
      <c r="G45" s="9"/>
      <c r="H45" s="8"/>
      <c r="I45" s="8"/>
      <c r="J45" s="166"/>
    </row>
    <row r="46" spans="1:10" x14ac:dyDescent="0.25">
      <c r="A46" s="17">
        <v>1</v>
      </c>
      <c r="B46" s="17" t="s">
        <v>91</v>
      </c>
      <c r="C46" s="13" t="s">
        <v>92</v>
      </c>
      <c r="D46" s="6">
        <v>-199172.11</v>
      </c>
      <c r="E46" s="231">
        <v>1063952.67</v>
      </c>
      <c r="F46" s="17">
        <v>1041365.28</v>
      </c>
      <c r="G46" s="60">
        <f>E46</f>
        <v>1063952.67</v>
      </c>
      <c r="H46" s="17">
        <f>D46+F46-G46</f>
        <v>-221759.49999999988</v>
      </c>
      <c r="I46" s="6">
        <f>H46</f>
        <v>-221759.49999999988</v>
      </c>
      <c r="J46" s="166"/>
    </row>
    <row r="47" spans="1:10" x14ac:dyDescent="0.25">
      <c r="A47" s="8" t="s">
        <v>72</v>
      </c>
      <c r="B47" s="8" t="s">
        <v>159</v>
      </c>
      <c r="C47" s="35" t="s">
        <v>94</v>
      </c>
      <c r="D47" s="5"/>
      <c r="E47" s="8"/>
      <c r="F47" s="8"/>
      <c r="G47" s="9"/>
      <c r="H47" s="8"/>
      <c r="I47" s="5"/>
      <c r="J47" s="166"/>
    </row>
    <row r="48" spans="1:10" x14ac:dyDescent="0.25">
      <c r="A48" s="6">
        <v>2</v>
      </c>
      <c r="B48" s="6" t="s">
        <v>160</v>
      </c>
      <c r="C48" s="1" t="s">
        <v>96</v>
      </c>
      <c r="D48" s="5">
        <v>-555571.06999999995</v>
      </c>
      <c r="E48" s="6">
        <v>1662948.78</v>
      </c>
      <c r="F48" s="6">
        <v>1705056.96</v>
      </c>
      <c r="G48" s="2">
        <f>E48</f>
        <v>1662948.78</v>
      </c>
      <c r="H48" s="8">
        <f>D48+F48-G48</f>
        <v>-513462.8899999999</v>
      </c>
      <c r="I48" s="5">
        <f>H48</f>
        <v>-513462.8899999999</v>
      </c>
      <c r="J48" s="166"/>
    </row>
    <row r="49" spans="1:10" x14ac:dyDescent="0.25">
      <c r="A49" s="8"/>
      <c r="B49" s="8" t="s">
        <v>161</v>
      </c>
      <c r="C49" s="35" t="s">
        <v>94</v>
      </c>
      <c r="D49" s="5"/>
      <c r="E49" s="8"/>
      <c r="F49" s="8"/>
      <c r="G49" s="9"/>
      <c r="H49" s="6"/>
      <c r="I49" s="5"/>
      <c r="J49" s="166"/>
    </row>
    <row r="50" spans="1:10" x14ac:dyDescent="0.25">
      <c r="A50" s="8">
        <v>3</v>
      </c>
      <c r="B50" s="8" t="s">
        <v>99</v>
      </c>
      <c r="C50" s="35" t="s">
        <v>100</v>
      </c>
      <c r="D50" s="8">
        <v>-977023.22</v>
      </c>
      <c r="E50" s="8">
        <v>3057442.22</v>
      </c>
      <c r="F50" s="8">
        <v>2967066.05</v>
      </c>
      <c r="G50" s="9">
        <f>E50</f>
        <v>3057442.22</v>
      </c>
      <c r="H50" s="8">
        <f>D50+F50-G50</f>
        <v>-1067399.3900000004</v>
      </c>
      <c r="I50" s="8">
        <f>H50</f>
        <v>-1067399.3900000004</v>
      </c>
      <c r="J50" s="166"/>
    </row>
    <row r="51" spans="1:10" x14ac:dyDescent="0.25">
      <c r="A51" s="1" t="s">
        <v>401</v>
      </c>
      <c r="B51" s="2"/>
      <c r="C51" s="2"/>
      <c r="D51" s="2"/>
      <c r="E51" s="2"/>
      <c r="F51" s="2"/>
      <c r="G51" s="2"/>
      <c r="H51" s="2"/>
      <c r="I51" s="2"/>
      <c r="J51" s="166"/>
    </row>
    <row r="52" spans="1:10" x14ac:dyDescent="0.25">
      <c r="A52" s="4" t="s">
        <v>402</v>
      </c>
      <c r="B52" s="2"/>
      <c r="C52" s="2"/>
      <c r="D52" s="2"/>
      <c r="E52" s="2"/>
      <c r="F52" s="2"/>
      <c r="G52" s="2"/>
      <c r="I52" s="2"/>
      <c r="J52" s="166"/>
    </row>
    <row r="53" spans="1:10" x14ac:dyDescent="0.25">
      <c r="A53" s="46" t="s">
        <v>12</v>
      </c>
      <c r="B53" s="5" t="s">
        <v>103</v>
      </c>
      <c r="C53" s="46" t="s">
        <v>104</v>
      </c>
      <c r="D53" s="54"/>
      <c r="E53" s="54"/>
      <c r="F53" s="54"/>
      <c r="G53" s="5" t="s">
        <v>199</v>
      </c>
      <c r="H53" s="47" t="s">
        <v>106</v>
      </c>
      <c r="I53" s="47" t="s">
        <v>107</v>
      </c>
      <c r="J53" s="166"/>
    </row>
    <row r="54" spans="1:10" x14ac:dyDescent="0.25">
      <c r="A54" s="49" t="s">
        <v>108</v>
      </c>
      <c r="B54" s="6"/>
      <c r="C54" s="49"/>
      <c r="D54" s="43"/>
      <c r="E54" s="43"/>
      <c r="F54" s="43"/>
      <c r="G54" s="6" t="s">
        <v>201</v>
      </c>
      <c r="H54" s="56"/>
      <c r="I54" s="56" t="s">
        <v>109</v>
      </c>
      <c r="J54" s="166"/>
    </row>
    <row r="55" spans="1:10" x14ac:dyDescent="0.25">
      <c r="A55" s="62"/>
      <c r="B55" s="63"/>
      <c r="C55" s="53" t="s">
        <v>235</v>
      </c>
      <c r="D55" s="159"/>
      <c r="E55" s="159"/>
      <c r="F55" s="54"/>
      <c r="G55" s="5"/>
      <c r="H55" s="47"/>
      <c r="I55" s="47"/>
      <c r="J55" s="166"/>
    </row>
    <row r="56" spans="1:10" x14ac:dyDescent="0.25">
      <c r="A56" s="64" t="s">
        <v>111</v>
      </c>
      <c r="B56" s="65">
        <v>43213</v>
      </c>
      <c r="C56" s="49" t="s">
        <v>237</v>
      </c>
      <c r="D56" s="43"/>
      <c r="E56" s="43"/>
      <c r="F56" s="43"/>
      <c r="G56" s="26" t="s">
        <v>390</v>
      </c>
      <c r="H56" s="56">
        <v>137</v>
      </c>
      <c r="I56" s="56">
        <v>27400</v>
      </c>
      <c r="J56" s="166"/>
    </row>
    <row r="57" spans="1:10" x14ac:dyDescent="0.25">
      <c r="A57" s="64" t="s">
        <v>114</v>
      </c>
      <c r="B57" s="65">
        <v>43280</v>
      </c>
      <c r="C57" s="49" t="s">
        <v>403</v>
      </c>
      <c r="D57" s="43"/>
      <c r="E57" s="43"/>
      <c r="F57" s="43"/>
      <c r="G57" s="26" t="s">
        <v>116</v>
      </c>
      <c r="H57" s="56">
        <v>30</v>
      </c>
      <c r="I57" s="56">
        <v>65232.24</v>
      </c>
      <c r="J57" s="166"/>
    </row>
    <row r="58" spans="1:10" x14ac:dyDescent="0.25">
      <c r="A58" s="64" t="s">
        <v>170</v>
      </c>
      <c r="B58" s="65">
        <v>43281</v>
      </c>
      <c r="C58" s="49" t="s">
        <v>404</v>
      </c>
      <c r="D58" s="43"/>
      <c r="E58" s="43"/>
      <c r="F58" s="43"/>
      <c r="G58" s="26" t="s">
        <v>205</v>
      </c>
      <c r="H58" s="56">
        <v>2</v>
      </c>
      <c r="I58" s="56">
        <v>5173.8100000000004</v>
      </c>
      <c r="J58" s="166"/>
    </row>
    <row r="59" spans="1:10" x14ac:dyDescent="0.25">
      <c r="A59" s="64" t="s">
        <v>173</v>
      </c>
      <c r="B59" s="65">
        <v>43395</v>
      </c>
      <c r="C59" s="49" t="s">
        <v>405</v>
      </c>
      <c r="D59" s="43"/>
      <c r="E59" s="43"/>
      <c r="F59" s="43"/>
      <c r="G59" s="26" t="s">
        <v>205</v>
      </c>
      <c r="H59" s="56">
        <v>1</v>
      </c>
      <c r="I59" s="56">
        <v>13918</v>
      </c>
      <c r="J59" s="166"/>
    </row>
    <row r="60" spans="1:10" x14ac:dyDescent="0.25">
      <c r="A60" s="64" t="s">
        <v>257</v>
      </c>
      <c r="B60" s="65">
        <v>43404</v>
      </c>
      <c r="C60" s="49" t="s">
        <v>237</v>
      </c>
      <c r="D60" s="43"/>
      <c r="E60" s="43"/>
      <c r="F60" s="43"/>
      <c r="G60" s="26" t="s">
        <v>116</v>
      </c>
      <c r="H60" s="56">
        <v>147</v>
      </c>
      <c r="I60" s="56">
        <v>29400</v>
      </c>
      <c r="J60" s="166"/>
    </row>
    <row r="61" spans="1:10" x14ac:dyDescent="0.25">
      <c r="A61" s="64" t="s">
        <v>406</v>
      </c>
      <c r="B61" s="65">
        <v>43404</v>
      </c>
      <c r="C61" s="232" t="s">
        <v>407</v>
      </c>
      <c r="D61" s="43"/>
      <c r="E61" s="43"/>
      <c r="F61" s="43"/>
      <c r="G61" s="26" t="s">
        <v>176</v>
      </c>
      <c r="H61" s="56">
        <v>1</v>
      </c>
      <c r="I61" s="56">
        <v>38630.32</v>
      </c>
      <c r="J61" s="166"/>
    </row>
    <row r="62" spans="1:10" x14ac:dyDescent="0.25">
      <c r="A62" s="64" t="s">
        <v>408</v>
      </c>
      <c r="B62" s="65">
        <v>43455</v>
      </c>
      <c r="C62" s="49" t="s">
        <v>409</v>
      </c>
      <c r="D62" s="43"/>
      <c r="E62" s="43"/>
      <c r="F62" s="43"/>
      <c r="G62" s="26" t="s">
        <v>205</v>
      </c>
      <c r="H62" s="56">
        <v>1</v>
      </c>
      <c r="I62" s="56">
        <v>42000</v>
      </c>
      <c r="J62" s="166"/>
    </row>
    <row r="63" spans="1:10" x14ac:dyDescent="0.25">
      <c r="A63" s="64"/>
      <c r="B63" s="65"/>
      <c r="C63" s="49"/>
      <c r="D63" s="43"/>
      <c r="E63" s="43"/>
      <c r="F63" s="43"/>
      <c r="G63" s="26"/>
      <c r="H63" s="56"/>
      <c r="I63" s="56"/>
      <c r="J63" s="166"/>
    </row>
    <row r="64" spans="1:10" x14ac:dyDescent="0.25">
      <c r="A64" s="66"/>
      <c r="B64" s="17"/>
      <c r="C64" s="233" t="s">
        <v>117</v>
      </c>
      <c r="D64" s="13"/>
      <c r="E64" s="13"/>
      <c r="F64" s="13"/>
      <c r="G64" s="16"/>
      <c r="H64" s="51"/>
      <c r="I64" s="67">
        <f>SUM(I55:I63)</f>
        <v>221754.37</v>
      </c>
      <c r="J64" s="166"/>
    </row>
    <row r="65" spans="1:10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166"/>
    </row>
    <row r="66" spans="1:10" x14ac:dyDescent="0.25">
      <c r="A66" s="2" t="s">
        <v>224</v>
      </c>
      <c r="B66" s="2"/>
      <c r="C66" s="2" t="s">
        <v>410</v>
      </c>
      <c r="D66" s="2"/>
      <c r="E66" s="2"/>
      <c r="F66" s="2"/>
      <c r="G66" s="2"/>
      <c r="H66" s="2"/>
      <c r="I66" s="2"/>
      <c r="J66" s="166"/>
    </row>
    <row r="67" spans="1:10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166"/>
    </row>
    <row r="68" spans="1:10" x14ac:dyDescent="0.25">
      <c r="A68" s="166"/>
      <c r="B68" s="166"/>
      <c r="C68" s="166"/>
      <c r="D68" s="166"/>
      <c r="E68" s="166"/>
      <c r="F68" s="166"/>
      <c r="G68" s="166"/>
      <c r="H68" s="166"/>
      <c r="I68" s="166"/>
      <c r="J68" s="166"/>
    </row>
    <row r="69" spans="1:10" x14ac:dyDescent="0.25">
      <c r="A69" s="166"/>
      <c r="B69" s="166"/>
      <c r="C69" s="166"/>
      <c r="D69" s="166"/>
      <c r="E69" s="166"/>
      <c r="F69" s="166"/>
      <c r="G69" s="166"/>
      <c r="H69" s="166"/>
      <c r="I69" s="166"/>
      <c r="J69" s="166"/>
    </row>
    <row r="70" spans="1:10" x14ac:dyDescent="0.25">
      <c r="A70" s="166"/>
      <c r="B70" s="166"/>
      <c r="C70" s="166"/>
      <c r="D70" s="166"/>
      <c r="E70" s="166"/>
      <c r="F70" s="166"/>
      <c r="G70" s="166"/>
      <c r="H70" s="166"/>
      <c r="I70" s="166"/>
      <c r="J70" s="166"/>
    </row>
    <row r="71" spans="1:10" x14ac:dyDescent="0.25">
      <c r="A71" s="166"/>
      <c r="B71" s="166"/>
      <c r="C71" s="166"/>
      <c r="D71" s="166"/>
      <c r="E71" s="166"/>
      <c r="F71" s="166"/>
      <c r="G71" s="166"/>
      <c r="H71" s="166"/>
      <c r="I71" s="166"/>
      <c r="J71" s="166"/>
    </row>
    <row r="72" spans="1:10" x14ac:dyDescent="0.25">
      <c r="A72" s="166"/>
      <c r="B72" s="166"/>
      <c r="C72" s="166"/>
      <c r="D72" s="166"/>
      <c r="E72" s="166"/>
      <c r="F72" s="166"/>
      <c r="G72" s="166"/>
      <c r="H72" s="166"/>
      <c r="I72" s="166"/>
      <c r="J72" s="166"/>
    </row>
    <row r="73" spans="1:10" x14ac:dyDescent="0.25">
      <c r="A73" s="166"/>
      <c r="B73" s="166"/>
      <c r="C73" s="166"/>
      <c r="D73" s="166"/>
      <c r="E73" s="166"/>
      <c r="F73" s="166"/>
      <c r="G73" s="166"/>
      <c r="H73" s="166"/>
      <c r="I73" s="166"/>
      <c r="J73" s="166"/>
    </row>
    <row r="74" spans="1:10" x14ac:dyDescent="0.25">
      <c r="A74" s="166"/>
      <c r="B74" s="166"/>
      <c r="C74" s="166"/>
      <c r="D74" s="166"/>
      <c r="E74" s="166"/>
      <c r="F74" s="166"/>
      <c r="G74" s="166"/>
      <c r="H74" s="166"/>
      <c r="I74" s="166"/>
      <c r="J74" s="166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RowHeight="15" x14ac:dyDescent="0.25"/>
  <cols>
    <col min="1" max="1" width="4.140625" style="71" customWidth="1"/>
    <col min="2" max="2" width="36.5703125" style="71" customWidth="1"/>
    <col min="3" max="3" width="13.28515625" style="71" customWidth="1"/>
    <col min="4" max="5" width="9.140625" style="71"/>
    <col min="6" max="6" width="18.42578125" style="71" customWidth="1"/>
    <col min="7" max="7" width="10.140625" style="71" customWidth="1"/>
    <col min="8" max="8" width="12.140625" style="71" customWidth="1"/>
    <col min="9" max="9" width="17.28515625" style="71" customWidth="1"/>
    <col min="10" max="16384" width="9.140625" style="71"/>
  </cols>
  <sheetData>
    <row r="1" spans="1:9" x14ac:dyDescent="0.25">
      <c r="A1" s="70" t="s">
        <v>123</v>
      </c>
    </row>
    <row r="2" spans="1:9" x14ac:dyDescent="0.25">
      <c r="A2" s="72" t="s">
        <v>124</v>
      </c>
      <c r="B2" s="72"/>
      <c r="C2" s="72"/>
      <c r="D2" s="72"/>
      <c r="E2" s="72"/>
      <c r="F2" s="72"/>
      <c r="G2" s="72"/>
    </row>
    <row r="3" spans="1:9" x14ac:dyDescent="0.25">
      <c r="A3" s="73" t="s">
        <v>125</v>
      </c>
      <c r="B3" s="73"/>
      <c r="C3" s="73"/>
      <c r="D3" s="73"/>
      <c r="E3" s="73"/>
      <c r="F3" s="73"/>
      <c r="G3" s="73"/>
      <c r="H3" s="73"/>
      <c r="I3" s="73"/>
    </row>
    <row r="4" spans="1:9" x14ac:dyDescent="0.25">
      <c r="A4" s="73" t="s">
        <v>126</v>
      </c>
      <c r="C4" s="73"/>
      <c r="D4" s="73"/>
      <c r="E4" s="73"/>
      <c r="F4" s="73"/>
      <c r="G4" s="73"/>
      <c r="H4" s="73"/>
      <c r="I4" s="73"/>
    </row>
    <row r="5" spans="1:9" x14ac:dyDescent="0.25">
      <c r="A5" s="73" t="s">
        <v>127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3" t="s">
        <v>128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2" t="s">
        <v>9</v>
      </c>
      <c r="B7" s="72"/>
      <c r="C7" s="72"/>
      <c r="D7" s="72"/>
      <c r="E7" s="72"/>
      <c r="F7" s="72"/>
      <c r="G7" s="72"/>
      <c r="H7" s="72"/>
      <c r="I7" s="73"/>
    </row>
    <row r="8" spans="1:9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3"/>
    </row>
    <row r="9" spans="1:9" x14ac:dyDescent="0.25">
      <c r="A9" s="74" t="s">
        <v>129</v>
      </c>
      <c r="B9" s="72"/>
      <c r="C9" s="72"/>
      <c r="D9" s="72"/>
      <c r="E9" s="72"/>
      <c r="F9" s="72"/>
      <c r="G9" s="72"/>
      <c r="H9" s="72"/>
      <c r="I9" s="73"/>
    </row>
    <row r="10" spans="1:9" x14ac:dyDescent="0.25">
      <c r="A10" s="75" t="s">
        <v>12</v>
      </c>
      <c r="B10" s="75" t="s">
        <v>13</v>
      </c>
      <c r="C10" s="75" t="s">
        <v>14</v>
      </c>
      <c r="D10" s="75" t="s">
        <v>15</v>
      </c>
      <c r="E10" s="75" t="s">
        <v>16</v>
      </c>
      <c r="F10" s="75" t="s">
        <v>17</v>
      </c>
      <c r="G10" s="75" t="s">
        <v>18</v>
      </c>
      <c r="H10" s="75" t="s">
        <v>15</v>
      </c>
      <c r="I10" s="75" t="s">
        <v>19</v>
      </c>
    </row>
    <row r="11" spans="1:9" x14ac:dyDescent="0.25">
      <c r="A11" s="76" t="s">
        <v>20</v>
      </c>
      <c r="B11" s="76"/>
      <c r="C11" s="76" t="s">
        <v>130</v>
      </c>
      <c r="D11" s="76" t="s">
        <v>22</v>
      </c>
      <c r="E11" s="76" t="s">
        <v>23</v>
      </c>
      <c r="F11" s="76" t="s">
        <v>23</v>
      </c>
      <c r="G11" s="76" t="s">
        <v>131</v>
      </c>
      <c r="H11" s="76" t="s">
        <v>25</v>
      </c>
      <c r="I11" s="76" t="s">
        <v>132</v>
      </c>
    </row>
    <row r="12" spans="1:9" x14ac:dyDescent="0.25">
      <c r="A12" s="76"/>
      <c r="B12" s="76"/>
      <c r="C12" s="76" t="s">
        <v>27</v>
      </c>
      <c r="D12" s="76" t="s">
        <v>28</v>
      </c>
      <c r="E12" s="76" t="s">
        <v>72</v>
      </c>
      <c r="F12" s="76"/>
      <c r="G12" s="76"/>
      <c r="H12" s="76" t="s">
        <v>133</v>
      </c>
      <c r="I12" s="76" t="s">
        <v>134</v>
      </c>
    </row>
    <row r="13" spans="1:9" x14ac:dyDescent="0.25">
      <c r="A13" s="76"/>
      <c r="B13" s="76"/>
      <c r="C13" s="76" t="s">
        <v>135</v>
      </c>
      <c r="D13" s="76" t="s">
        <v>33</v>
      </c>
      <c r="E13" s="76" t="s">
        <v>33</v>
      </c>
      <c r="F13" s="76" t="s">
        <v>33</v>
      </c>
      <c r="G13" s="76" t="s">
        <v>33</v>
      </c>
      <c r="H13" s="76" t="s">
        <v>33</v>
      </c>
      <c r="I13" s="76" t="s">
        <v>136</v>
      </c>
    </row>
    <row r="14" spans="1:9" x14ac:dyDescent="0.25">
      <c r="A14" s="77">
        <v>1</v>
      </c>
      <c r="B14" s="78">
        <v>2</v>
      </c>
      <c r="C14" s="79">
        <v>3</v>
      </c>
      <c r="D14" s="75">
        <v>4</v>
      </c>
      <c r="E14" s="79">
        <v>5</v>
      </c>
      <c r="F14" s="75">
        <v>6</v>
      </c>
      <c r="G14" s="79">
        <v>7</v>
      </c>
      <c r="H14" s="75">
        <v>8</v>
      </c>
      <c r="I14" s="75">
        <v>9</v>
      </c>
    </row>
    <row r="15" spans="1:9" x14ac:dyDescent="0.25">
      <c r="A15" s="80">
        <v>1</v>
      </c>
      <c r="B15" s="81" t="s">
        <v>137</v>
      </c>
      <c r="C15" s="80">
        <v>8.9600000000000009</v>
      </c>
      <c r="D15" s="82">
        <v>-59365.74</v>
      </c>
      <c r="E15" s="82">
        <v>511821.92</v>
      </c>
      <c r="F15" s="81">
        <v>507300.97</v>
      </c>
      <c r="G15" s="83">
        <f t="shared" ref="G15:G23" si="0">E15</f>
        <v>511821.92</v>
      </c>
      <c r="H15" s="82">
        <f>D15+F15-G15</f>
        <v>-63886.69</v>
      </c>
      <c r="I15" s="82">
        <f>H15</f>
        <v>-63886.69</v>
      </c>
    </row>
    <row r="16" spans="1:9" x14ac:dyDescent="0.25">
      <c r="A16" s="84" t="s">
        <v>138</v>
      </c>
      <c r="B16" s="85" t="s">
        <v>139</v>
      </c>
      <c r="C16" s="86">
        <v>3.08</v>
      </c>
      <c r="D16" s="87"/>
      <c r="E16" s="88">
        <f>E15*34.4%</f>
        <v>176066.74047999998</v>
      </c>
      <c r="F16" s="88">
        <f>F15*34.4%</f>
        <v>174511.53367999996</v>
      </c>
      <c r="G16" s="89">
        <f t="shared" si="0"/>
        <v>176066.74047999998</v>
      </c>
      <c r="H16" s="88"/>
      <c r="I16" s="90"/>
    </row>
    <row r="17" spans="1:9" x14ac:dyDescent="0.25">
      <c r="A17" s="91" t="s">
        <v>38</v>
      </c>
      <c r="B17" s="75" t="s">
        <v>39</v>
      </c>
      <c r="C17" s="79">
        <v>1.47</v>
      </c>
      <c r="D17" s="92"/>
      <c r="E17" s="92">
        <f>E15*16.4%</f>
        <v>83938.794879999987</v>
      </c>
      <c r="F17" s="93">
        <f>F15*16.4%</f>
        <v>83197.35907999998</v>
      </c>
      <c r="G17" s="92">
        <f t="shared" si="0"/>
        <v>83938.794879999987</v>
      </c>
      <c r="H17" s="94"/>
      <c r="I17" s="92"/>
    </row>
    <row r="18" spans="1:9" x14ac:dyDescent="0.25">
      <c r="A18" s="91" t="s">
        <v>40</v>
      </c>
      <c r="B18" s="75" t="s">
        <v>41</v>
      </c>
      <c r="C18" s="79">
        <v>1.81</v>
      </c>
      <c r="D18" s="92"/>
      <c r="E18" s="92">
        <f>E15*20.2%</f>
        <v>103388.02784</v>
      </c>
      <c r="F18" s="93">
        <f>F15*20.2%</f>
        <v>102474.79593999998</v>
      </c>
      <c r="G18" s="87">
        <f t="shared" si="0"/>
        <v>103388.02784</v>
      </c>
      <c r="H18" s="95"/>
      <c r="I18" s="92"/>
    </row>
    <row r="19" spans="1:9" x14ac:dyDescent="0.25">
      <c r="A19" s="96" t="s">
        <v>42</v>
      </c>
      <c r="B19" s="78" t="s">
        <v>43</v>
      </c>
      <c r="C19" s="97">
        <v>2.6</v>
      </c>
      <c r="D19" s="87"/>
      <c r="E19" s="87">
        <f>E15*29%</f>
        <v>148428.35679999998</v>
      </c>
      <c r="F19" s="95">
        <f>F15*29%</f>
        <v>147117.28129999997</v>
      </c>
      <c r="G19" s="87">
        <f t="shared" si="0"/>
        <v>148428.35679999998</v>
      </c>
      <c r="H19" s="95"/>
      <c r="I19" s="87"/>
    </row>
    <row r="20" spans="1:9" x14ac:dyDescent="0.25">
      <c r="A20" s="98" t="s">
        <v>44</v>
      </c>
      <c r="B20" s="78" t="s">
        <v>45</v>
      </c>
      <c r="C20" s="97">
        <v>1755.25</v>
      </c>
      <c r="D20" s="88">
        <v>1872.78</v>
      </c>
      <c r="E20" s="88">
        <v>13083.09</v>
      </c>
      <c r="F20" s="94">
        <v>13172.68</v>
      </c>
      <c r="G20" s="87">
        <f t="shared" si="0"/>
        <v>13083.09</v>
      </c>
      <c r="H20" s="95">
        <f>D20+F20-G20</f>
        <v>1962.3700000000008</v>
      </c>
      <c r="I20" s="99"/>
    </row>
    <row r="21" spans="1:9" x14ac:dyDescent="0.25">
      <c r="A21" s="100" t="s">
        <v>46</v>
      </c>
      <c r="B21" s="85" t="s">
        <v>47</v>
      </c>
      <c r="C21" s="101" t="s">
        <v>48</v>
      </c>
      <c r="D21" s="88">
        <v>-5676.95</v>
      </c>
      <c r="E21" s="78">
        <v>76834.070000000007</v>
      </c>
      <c r="F21" s="97">
        <v>70357.5</v>
      </c>
      <c r="G21" s="78">
        <f>E21</f>
        <v>76834.070000000007</v>
      </c>
      <c r="H21" s="102">
        <f>D21+F21-E21</f>
        <v>-12153.520000000004</v>
      </c>
      <c r="I21" s="81">
        <f>H21</f>
        <v>-12153.520000000004</v>
      </c>
    </row>
    <row r="22" spans="1:9" x14ac:dyDescent="0.25">
      <c r="A22" s="103" t="s">
        <v>49</v>
      </c>
      <c r="B22" s="103" t="s">
        <v>140</v>
      </c>
      <c r="C22" s="101">
        <v>3.43</v>
      </c>
      <c r="D22" s="99">
        <v>-12775.56</v>
      </c>
      <c r="E22" s="103">
        <v>195408.98</v>
      </c>
      <c r="F22" s="103">
        <v>195273.4</v>
      </c>
      <c r="G22" s="101">
        <f t="shared" si="0"/>
        <v>195408.98</v>
      </c>
      <c r="H22" s="82">
        <f>D22+F22-G22</f>
        <v>-12911.140000000014</v>
      </c>
      <c r="I22" s="99">
        <f>H22</f>
        <v>-12911.140000000014</v>
      </c>
    </row>
    <row r="23" spans="1:9" x14ac:dyDescent="0.25">
      <c r="A23" s="81" t="s">
        <v>51</v>
      </c>
      <c r="B23" s="81" t="s">
        <v>50</v>
      </c>
      <c r="C23" s="104">
        <v>4.5999999999999996</v>
      </c>
      <c r="D23" s="99">
        <v>-22018.65</v>
      </c>
      <c r="E23" s="81">
        <v>262765.8</v>
      </c>
      <c r="F23" s="81">
        <v>264321.38</v>
      </c>
      <c r="G23" s="101">
        <f t="shared" si="0"/>
        <v>262765.8</v>
      </c>
      <c r="H23" s="82">
        <f>D23+F23-G23</f>
        <v>-20463.069999999978</v>
      </c>
      <c r="I23" s="99">
        <f>H23</f>
        <v>-20463.069999999978</v>
      </c>
    </row>
    <row r="24" spans="1:9" x14ac:dyDescent="0.25">
      <c r="A24" s="103" t="s">
        <v>56</v>
      </c>
      <c r="B24" s="103" t="s">
        <v>141</v>
      </c>
      <c r="C24" s="105">
        <v>1.82</v>
      </c>
      <c r="D24" s="99">
        <v>17526.18</v>
      </c>
      <c r="E24" s="103">
        <v>103963.88</v>
      </c>
      <c r="F24" s="99">
        <f>F25+F26+F27</f>
        <v>109333.48</v>
      </c>
      <c r="G24" s="105">
        <f>I57</f>
        <v>133983.16</v>
      </c>
      <c r="H24" s="99">
        <f>D24+F24-G24</f>
        <v>-7123.5</v>
      </c>
      <c r="I24" s="99">
        <f>H24</f>
        <v>-7123.5</v>
      </c>
    </row>
    <row r="25" spans="1:9" x14ac:dyDescent="0.25">
      <c r="A25" s="81"/>
      <c r="B25" s="85" t="s">
        <v>142</v>
      </c>
      <c r="C25" s="105">
        <v>1.82</v>
      </c>
      <c r="D25" s="105"/>
      <c r="E25" s="85"/>
      <c r="F25" s="85">
        <v>104746.28</v>
      </c>
      <c r="G25" s="105"/>
      <c r="H25" s="103"/>
      <c r="I25" s="88"/>
    </row>
    <row r="26" spans="1:9" x14ac:dyDescent="0.25">
      <c r="A26" s="81"/>
      <c r="B26" s="78" t="s">
        <v>54</v>
      </c>
      <c r="C26" s="80">
        <v>1.82</v>
      </c>
      <c r="D26" s="80"/>
      <c r="E26" s="78"/>
      <c r="F26" s="78">
        <v>1971.06</v>
      </c>
      <c r="G26" s="104"/>
      <c r="H26" s="81"/>
      <c r="I26" s="106"/>
    </row>
    <row r="27" spans="1:9" x14ac:dyDescent="0.25">
      <c r="A27" s="81"/>
      <c r="B27" s="77" t="s">
        <v>143</v>
      </c>
      <c r="C27" s="80"/>
      <c r="D27" s="80"/>
      <c r="E27" s="87"/>
      <c r="F27" s="87">
        <v>2616.14</v>
      </c>
      <c r="G27" s="83"/>
      <c r="H27" s="82"/>
      <c r="I27" s="106"/>
    </row>
    <row r="28" spans="1:9" x14ac:dyDescent="0.25">
      <c r="A28" s="107" t="s">
        <v>60</v>
      </c>
      <c r="B28" s="108" t="s">
        <v>144</v>
      </c>
      <c r="C28" s="108"/>
      <c r="D28" s="108" t="s">
        <v>72</v>
      </c>
      <c r="E28" s="107"/>
      <c r="F28" s="107"/>
      <c r="G28" s="74" t="s">
        <v>145</v>
      </c>
      <c r="H28" s="107" t="s">
        <v>72</v>
      </c>
      <c r="I28" s="109"/>
    </row>
    <row r="29" spans="1:9" x14ac:dyDescent="0.25">
      <c r="A29" s="103"/>
      <c r="B29" s="105" t="s">
        <v>146</v>
      </c>
      <c r="C29" s="105">
        <v>0</v>
      </c>
      <c r="D29" s="110">
        <v>2616.14</v>
      </c>
      <c r="E29" s="103">
        <v>0</v>
      </c>
      <c r="F29" s="99">
        <v>-2616.14</v>
      </c>
      <c r="G29" s="111">
        <v>0</v>
      </c>
      <c r="H29" s="99">
        <v>0</v>
      </c>
      <c r="I29" s="112"/>
    </row>
    <row r="30" spans="1:9" x14ac:dyDescent="0.25">
      <c r="A30" s="72" t="s">
        <v>59</v>
      </c>
      <c r="B30" s="72"/>
      <c r="C30" s="72"/>
      <c r="D30" s="113"/>
      <c r="E30" s="72"/>
      <c r="F30" s="72"/>
      <c r="G30" s="73"/>
      <c r="H30" s="73"/>
      <c r="I30" s="73"/>
    </row>
    <row r="31" spans="1:9" x14ac:dyDescent="0.25">
      <c r="A31" s="114">
        <v>6</v>
      </c>
      <c r="B31" s="79" t="s">
        <v>147</v>
      </c>
      <c r="C31" s="115" t="s">
        <v>148</v>
      </c>
      <c r="D31" s="75" t="s">
        <v>149</v>
      </c>
      <c r="E31" s="116" t="s">
        <v>150</v>
      </c>
      <c r="F31" s="79" t="s">
        <v>151</v>
      </c>
      <c r="G31" s="75" t="s">
        <v>15</v>
      </c>
      <c r="H31" s="75"/>
      <c r="I31" s="75"/>
    </row>
    <row r="32" spans="1:9" x14ac:dyDescent="0.25">
      <c r="A32" s="76"/>
      <c r="B32" s="117" t="s">
        <v>69</v>
      </c>
      <c r="C32" s="118" t="s">
        <v>28</v>
      </c>
      <c r="D32" s="76" t="s">
        <v>29</v>
      </c>
      <c r="E32" s="119" t="s">
        <v>152</v>
      </c>
      <c r="F32" s="117" t="s">
        <v>153</v>
      </c>
      <c r="G32" s="76" t="s">
        <v>154</v>
      </c>
      <c r="H32" s="76"/>
      <c r="I32" s="76"/>
    </row>
    <row r="33" spans="1:9" x14ac:dyDescent="0.25">
      <c r="A33" s="85"/>
      <c r="B33" s="86"/>
      <c r="C33" s="120"/>
      <c r="D33" s="121"/>
      <c r="E33" s="122"/>
      <c r="F33" s="86"/>
      <c r="G33" s="85"/>
      <c r="H33" s="85"/>
      <c r="I33" s="85"/>
    </row>
    <row r="34" spans="1:9" x14ac:dyDescent="0.25">
      <c r="A34" s="78"/>
      <c r="B34" s="123"/>
      <c r="C34" s="87">
        <v>0</v>
      </c>
      <c r="D34" s="78">
        <v>41700</v>
      </c>
      <c r="E34" s="124">
        <f>D34*15%</f>
        <v>6255</v>
      </c>
      <c r="F34" s="87">
        <v>0</v>
      </c>
      <c r="G34" s="87">
        <f>C34+D34-E34-F34</f>
        <v>35445</v>
      </c>
      <c r="H34" s="125"/>
      <c r="I34" s="125"/>
    </row>
    <row r="35" spans="1:9" x14ac:dyDescent="0.25">
      <c r="A35" s="72" t="s">
        <v>155</v>
      </c>
      <c r="B35" s="72"/>
      <c r="C35" s="72"/>
      <c r="D35" s="113"/>
      <c r="E35" s="72"/>
      <c r="F35" s="72"/>
      <c r="G35" s="72"/>
      <c r="H35" s="72"/>
      <c r="I35" s="72"/>
    </row>
    <row r="36" spans="1:9" x14ac:dyDescent="0.25">
      <c r="A36" s="75" t="s">
        <v>72</v>
      </c>
      <c r="B36" s="115" t="s">
        <v>73</v>
      </c>
      <c r="C36" s="75" t="s">
        <v>74</v>
      </c>
      <c r="D36" s="115" t="s">
        <v>75</v>
      </c>
      <c r="E36" s="75" t="s">
        <v>156</v>
      </c>
      <c r="F36" s="79" t="s">
        <v>77</v>
      </c>
      <c r="G36" s="75" t="s">
        <v>78</v>
      </c>
      <c r="H36" s="79" t="s">
        <v>79</v>
      </c>
      <c r="I36" s="75" t="s">
        <v>19</v>
      </c>
    </row>
    <row r="37" spans="1:9" x14ac:dyDescent="0.25">
      <c r="A37" s="76"/>
      <c r="B37" s="118" t="s">
        <v>80</v>
      </c>
      <c r="C37" s="76" t="s">
        <v>81</v>
      </c>
      <c r="D37" s="118" t="s">
        <v>82</v>
      </c>
      <c r="E37" s="76"/>
      <c r="F37" s="117" t="s">
        <v>84</v>
      </c>
      <c r="G37" s="76" t="s">
        <v>85</v>
      </c>
      <c r="H37" s="117" t="s">
        <v>86</v>
      </c>
      <c r="I37" s="76" t="s">
        <v>87</v>
      </c>
    </row>
    <row r="38" spans="1:9" x14ac:dyDescent="0.25">
      <c r="A38" s="85"/>
      <c r="B38" s="120"/>
      <c r="C38" s="85"/>
      <c r="D38" s="120"/>
      <c r="E38" s="85" t="s">
        <v>83</v>
      </c>
      <c r="F38" s="86" t="s">
        <v>157</v>
      </c>
      <c r="G38" s="85" t="s">
        <v>158</v>
      </c>
      <c r="H38" s="86"/>
      <c r="I38" s="85" t="s">
        <v>30</v>
      </c>
    </row>
    <row r="39" spans="1:9" x14ac:dyDescent="0.25">
      <c r="A39" s="76" t="s">
        <v>72</v>
      </c>
      <c r="B39" s="118"/>
      <c r="C39" s="117"/>
      <c r="D39" s="77"/>
      <c r="E39" s="78"/>
      <c r="F39" s="97"/>
      <c r="G39" s="78"/>
      <c r="H39" s="86"/>
      <c r="I39" s="78"/>
    </row>
    <row r="40" spans="1:9" x14ac:dyDescent="0.25">
      <c r="A40" s="78">
        <v>1</v>
      </c>
      <c r="B40" s="78" t="s">
        <v>91</v>
      </c>
      <c r="C40" s="104" t="s">
        <v>92</v>
      </c>
      <c r="D40" s="76">
        <v>-30294.33</v>
      </c>
      <c r="E40" s="126">
        <v>358796.66</v>
      </c>
      <c r="F40" s="85">
        <v>352131.32</v>
      </c>
      <c r="G40" s="127">
        <f>E40</f>
        <v>358796.66</v>
      </c>
      <c r="H40" s="85">
        <f>D40+F40-G40</f>
        <v>-36959.669999999984</v>
      </c>
      <c r="I40" s="76">
        <f>H40</f>
        <v>-36959.669999999984</v>
      </c>
    </row>
    <row r="41" spans="1:9" x14ac:dyDescent="0.25">
      <c r="A41" s="78" t="s">
        <v>72</v>
      </c>
      <c r="B41" s="78" t="s">
        <v>159</v>
      </c>
      <c r="C41" s="104" t="s">
        <v>94</v>
      </c>
      <c r="D41" s="78"/>
      <c r="E41" s="78"/>
      <c r="F41" s="78"/>
      <c r="G41" s="97"/>
      <c r="H41" s="78"/>
      <c r="I41" s="75"/>
    </row>
    <row r="42" spans="1:9" x14ac:dyDescent="0.25">
      <c r="A42" s="76">
        <v>2</v>
      </c>
      <c r="B42" s="76" t="s">
        <v>160</v>
      </c>
      <c r="C42" s="72" t="s">
        <v>96</v>
      </c>
      <c r="D42" s="76">
        <v>-100349.1</v>
      </c>
      <c r="E42" s="76">
        <v>647022.19999999995</v>
      </c>
      <c r="F42" s="76">
        <v>662201.09</v>
      </c>
      <c r="G42" s="73">
        <f>E42</f>
        <v>647022.19999999995</v>
      </c>
      <c r="H42" s="76">
        <f>D42+F42-G42</f>
        <v>-85170.209999999963</v>
      </c>
      <c r="I42" s="75">
        <f>H42</f>
        <v>-85170.209999999963</v>
      </c>
    </row>
    <row r="43" spans="1:9" x14ac:dyDescent="0.25">
      <c r="A43" s="78"/>
      <c r="B43" s="78" t="s">
        <v>161</v>
      </c>
      <c r="C43" s="104" t="s">
        <v>94</v>
      </c>
      <c r="D43" s="78"/>
      <c r="E43" s="78"/>
      <c r="F43" s="78"/>
      <c r="G43" s="97"/>
      <c r="H43" s="78"/>
      <c r="I43" s="75"/>
    </row>
    <row r="44" spans="1:9" x14ac:dyDescent="0.25">
      <c r="A44" s="78">
        <v>3</v>
      </c>
      <c r="B44" s="78" t="s">
        <v>99</v>
      </c>
      <c r="C44" s="104" t="s">
        <v>100</v>
      </c>
      <c r="D44" s="78">
        <v>-218678.2</v>
      </c>
      <c r="E44" s="78">
        <v>985225.44</v>
      </c>
      <c r="F44" s="78">
        <v>963553.07</v>
      </c>
      <c r="G44" s="97">
        <f>E44</f>
        <v>985225.44</v>
      </c>
      <c r="H44" s="78">
        <f>D44+F44-G44</f>
        <v>-240350.57000000007</v>
      </c>
      <c r="I44" s="78">
        <f>H44</f>
        <v>-240350.57000000007</v>
      </c>
    </row>
    <row r="45" spans="1:9" x14ac:dyDescent="0.25">
      <c r="A45" s="73"/>
      <c r="B45" s="72" t="s">
        <v>162</v>
      </c>
      <c r="C45" s="72"/>
      <c r="D45" s="72"/>
      <c r="E45" s="72"/>
      <c r="F45" s="72"/>
      <c r="G45" s="72"/>
      <c r="H45" s="72"/>
    </row>
    <row r="46" spans="1:9" x14ac:dyDescent="0.25">
      <c r="A46" s="74" t="s">
        <v>163</v>
      </c>
      <c r="B46" s="72"/>
      <c r="C46" s="72"/>
      <c r="D46" s="72"/>
      <c r="E46" s="72"/>
      <c r="F46" s="72"/>
      <c r="G46" s="72"/>
      <c r="H46" s="72"/>
    </row>
    <row r="47" spans="1:9" x14ac:dyDescent="0.25">
      <c r="A47" s="75" t="s">
        <v>12</v>
      </c>
      <c r="B47" s="115" t="s">
        <v>103</v>
      </c>
      <c r="C47" s="115" t="s">
        <v>164</v>
      </c>
      <c r="D47" s="79"/>
      <c r="E47" s="79"/>
      <c r="F47" s="116"/>
      <c r="G47" s="115" t="s">
        <v>105</v>
      </c>
      <c r="H47" s="75" t="s">
        <v>165</v>
      </c>
      <c r="I47" s="116" t="s">
        <v>107</v>
      </c>
    </row>
    <row r="48" spans="1:9" x14ac:dyDescent="0.25">
      <c r="A48" s="76" t="s">
        <v>108</v>
      </c>
      <c r="B48" s="118"/>
      <c r="C48" s="118"/>
      <c r="D48" s="117"/>
      <c r="E48" s="117"/>
      <c r="F48" s="119"/>
      <c r="G48" s="118"/>
      <c r="H48" s="76" t="s">
        <v>85</v>
      </c>
      <c r="I48" s="119" t="s">
        <v>109</v>
      </c>
    </row>
    <row r="49" spans="1:9" x14ac:dyDescent="0.25">
      <c r="A49" s="85"/>
      <c r="B49" s="120"/>
      <c r="C49" s="120"/>
      <c r="D49" s="86"/>
      <c r="E49" s="86"/>
      <c r="F49" s="122"/>
      <c r="G49" s="120"/>
      <c r="H49" s="85"/>
      <c r="I49" s="119"/>
    </row>
    <row r="50" spans="1:9" x14ac:dyDescent="0.25">
      <c r="A50" s="128"/>
      <c r="B50" s="129"/>
      <c r="C50" s="108" t="s">
        <v>110</v>
      </c>
      <c r="D50" s="74"/>
      <c r="E50" s="74"/>
      <c r="F50" s="119"/>
      <c r="G50" s="118"/>
      <c r="H50" s="76"/>
      <c r="I50" s="116"/>
    </row>
    <row r="51" spans="1:9" x14ac:dyDescent="0.25">
      <c r="A51" s="130"/>
      <c r="B51" s="118"/>
      <c r="C51" s="118" t="s">
        <v>166</v>
      </c>
      <c r="D51" s="117"/>
      <c r="E51" s="117"/>
      <c r="F51" s="119" t="s">
        <v>72</v>
      </c>
      <c r="G51" s="131"/>
      <c r="H51" s="76" t="s">
        <v>72</v>
      </c>
      <c r="I51" s="119" t="s">
        <v>72</v>
      </c>
    </row>
    <row r="52" spans="1:9" x14ac:dyDescent="0.25">
      <c r="A52" s="130" t="s">
        <v>111</v>
      </c>
      <c r="B52" s="132">
        <v>43186</v>
      </c>
      <c r="C52" s="118" t="s">
        <v>167</v>
      </c>
      <c r="D52" s="117"/>
      <c r="E52" s="117"/>
      <c r="F52" s="119"/>
      <c r="G52" s="131" t="s">
        <v>113</v>
      </c>
      <c r="H52" s="107">
        <v>53</v>
      </c>
      <c r="I52" s="119">
        <v>10600</v>
      </c>
    </row>
    <row r="53" spans="1:9" x14ac:dyDescent="0.25">
      <c r="A53" s="130" t="s">
        <v>114</v>
      </c>
      <c r="B53" s="132">
        <v>43315</v>
      </c>
      <c r="C53" s="118" t="s">
        <v>168</v>
      </c>
      <c r="D53" s="117"/>
      <c r="E53" s="117"/>
      <c r="F53" s="119"/>
      <c r="G53" s="131" t="s">
        <v>169</v>
      </c>
      <c r="H53" s="107"/>
      <c r="I53" s="119">
        <v>85509</v>
      </c>
    </row>
    <row r="54" spans="1:9" x14ac:dyDescent="0.25">
      <c r="A54" s="130" t="s">
        <v>170</v>
      </c>
      <c r="B54" s="132">
        <v>43315</v>
      </c>
      <c r="C54" s="118" t="s">
        <v>171</v>
      </c>
      <c r="D54" s="117"/>
      <c r="E54" s="117"/>
      <c r="F54" s="119"/>
      <c r="G54" s="131" t="s">
        <v>172</v>
      </c>
      <c r="H54" s="107">
        <v>1</v>
      </c>
      <c r="I54" s="119">
        <v>21500</v>
      </c>
    </row>
    <row r="55" spans="1:9" x14ac:dyDescent="0.25">
      <c r="A55" s="130" t="s">
        <v>173</v>
      </c>
      <c r="B55" s="133" t="s">
        <v>174</v>
      </c>
      <c r="C55" s="118" t="s">
        <v>175</v>
      </c>
      <c r="D55" s="117"/>
      <c r="E55" s="117"/>
      <c r="F55" s="119"/>
      <c r="G55" s="131" t="s">
        <v>176</v>
      </c>
      <c r="H55" s="76">
        <v>1</v>
      </c>
      <c r="I55" s="119">
        <v>16374.16</v>
      </c>
    </row>
    <row r="56" spans="1:9" x14ac:dyDescent="0.25">
      <c r="A56" s="130"/>
      <c r="B56" s="133"/>
      <c r="C56" s="118"/>
      <c r="D56" s="117"/>
      <c r="E56" s="117"/>
      <c r="F56" s="119"/>
      <c r="G56" s="131"/>
      <c r="H56" s="107"/>
      <c r="I56" s="119"/>
    </row>
    <row r="57" spans="1:9" x14ac:dyDescent="0.25">
      <c r="A57" s="84"/>
      <c r="B57" s="120"/>
      <c r="C57" s="105" t="s">
        <v>117</v>
      </c>
      <c r="D57" s="101"/>
      <c r="E57" s="101"/>
      <c r="F57" s="134"/>
      <c r="G57" s="110"/>
      <c r="H57" s="103"/>
      <c r="I57" s="134">
        <f>SUM(I52:I56)</f>
        <v>133983.16</v>
      </c>
    </row>
    <row r="58" spans="1:9" x14ac:dyDescent="0.25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 x14ac:dyDescent="0.25">
      <c r="A59" s="135"/>
      <c r="B59" s="136"/>
      <c r="C59" s="74"/>
      <c r="D59" s="74"/>
      <c r="E59" s="74"/>
      <c r="F59" s="74"/>
      <c r="G59" s="137"/>
      <c r="H59" s="74"/>
      <c r="I59" s="74"/>
    </row>
    <row r="60" spans="1:9" x14ac:dyDescent="0.25">
      <c r="A60" s="73" t="s">
        <v>177</v>
      </c>
      <c r="B60" s="73"/>
      <c r="C60" s="73" t="s">
        <v>72</v>
      </c>
      <c r="D60" s="73" t="s">
        <v>178</v>
      </c>
      <c r="E60" s="73"/>
      <c r="F60" s="73"/>
      <c r="G60" s="73"/>
      <c r="H60" s="73" t="s">
        <v>179</v>
      </c>
      <c r="I60" s="73"/>
    </row>
  </sheetData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22" workbookViewId="0">
      <selection activeCell="B1" sqref="B1"/>
    </sheetView>
  </sheetViews>
  <sheetFormatPr defaultRowHeight="15" x14ac:dyDescent="0.25"/>
  <cols>
    <col min="1" max="1" width="4.85546875" customWidth="1"/>
    <col min="2" max="2" width="35.5703125" customWidth="1"/>
    <col min="3" max="3" width="13.140625" customWidth="1"/>
    <col min="5" max="5" width="12" customWidth="1"/>
    <col min="6" max="6" width="12.7109375" customWidth="1"/>
    <col min="9" max="9" width="17.7109375" customWidth="1"/>
  </cols>
  <sheetData>
    <row r="1" spans="1:9" x14ac:dyDescent="0.25">
      <c r="A1" t="s">
        <v>72</v>
      </c>
      <c r="B1" s="1" t="s">
        <v>411</v>
      </c>
      <c r="C1" s="1"/>
      <c r="D1" s="1"/>
      <c r="E1" s="1"/>
      <c r="F1" s="1"/>
    </row>
    <row r="2" spans="1:9" x14ac:dyDescent="0.25">
      <c r="A2" s="1" t="s">
        <v>412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413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414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415</v>
      </c>
      <c r="B6" s="1"/>
      <c r="C6" s="1"/>
      <c r="D6" s="1"/>
      <c r="E6" s="1"/>
      <c r="F6" s="2"/>
      <c r="G6" s="2"/>
      <c r="H6" s="2"/>
      <c r="I6" s="2"/>
    </row>
    <row r="7" spans="1:9" x14ac:dyDescent="0.25">
      <c r="A7" s="2" t="s">
        <v>416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417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270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221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53" t="s">
        <v>72</v>
      </c>
      <c r="E18" s="160"/>
      <c r="F18" s="63" t="s">
        <v>72</v>
      </c>
      <c r="G18" s="63"/>
      <c r="H18" s="53" t="s">
        <v>72</v>
      </c>
      <c r="I18" s="160"/>
    </row>
    <row r="19" spans="1:9" x14ac:dyDescent="0.25">
      <c r="A19" s="14"/>
      <c r="B19" s="11" t="s">
        <v>187</v>
      </c>
      <c r="C19" s="11">
        <v>8.9600000000000009</v>
      </c>
      <c r="D19" s="16">
        <v>-98458.63</v>
      </c>
      <c r="E19" s="11">
        <v>372783.12</v>
      </c>
      <c r="F19" s="11">
        <v>342562.08</v>
      </c>
      <c r="G19" s="11">
        <f t="shared" ref="G19:G26" si="0">E19</f>
        <v>372783.12</v>
      </c>
      <c r="H19" s="14">
        <f>D19+F19-G19</f>
        <v>-128679.66999999998</v>
      </c>
      <c r="I19" s="16">
        <f>H19</f>
        <v>-128679.66999999998</v>
      </c>
    </row>
    <row r="20" spans="1:9" x14ac:dyDescent="0.25">
      <c r="A20" s="66" t="s">
        <v>138</v>
      </c>
      <c r="B20" s="17" t="s">
        <v>37</v>
      </c>
      <c r="C20" s="61">
        <v>3.08</v>
      </c>
      <c r="D20" s="20"/>
      <c r="E20" s="187">
        <f>E19*34.4%</f>
        <v>128237.39327999999</v>
      </c>
      <c r="F20" s="21">
        <f>F19*34.4%</f>
        <v>117841.35552</v>
      </c>
      <c r="G20" s="21">
        <f t="shared" si="0"/>
        <v>128237.39327999999</v>
      </c>
      <c r="H20" s="20"/>
      <c r="I20" s="16"/>
    </row>
    <row r="21" spans="1:9" x14ac:dyDescent="0.25">
      <c r="A21" s="22" t="s">
        <v>38</v>
      </c>
      <c r="B21" s="5" t="s">
        <v>39</v>
      </c>
      <c r="C21" s="54">
        <v>1.47</v>
      </c>
      <c r="D21" s="25"/>
      <c r="E21" s="33">
        <f>E19*16.4%</f>
        <v>61136.431679999994</v>
      </c>
      <c r="F21" s="33">
        <f>F19*16.4%</f>
        <v>56180.181119999994</v>
      </c>
      <c r="G21" s="33">
        <f t="shared" si="0"/>
        <v>61136.431679999994</v>
      </c>
      <c r="H21" s="25"/>
      <c r="I21" s="16"/>
    </row>
    <row r="22" spans="1:9" x14ac:dyDescent="0.25">
      <c r="A22" s="22" t="s">
        <v>40</v>
      </c>
      <c r="B22" s="5" t="s">
        <v>41</v>
      </c>
      <c r="C22" s="54">
        <v>1.81</v>
      </c>
      <c r="D22" s="234"/>
      <c r="E22" s="33">
        <f>E19*20.2%</f>
        <v>75302.190239999996</v>
      </c>
      <c r="F22" s="33">
        <f>F19*20.2%</f>
        <v>69197.540160000004</v>
      </c>
      <c r="G22" s="33">
        <f t="shared" si="0"/>
        <v>75302.190239999996</v>
      </c>
      <c r="H22" s="234"/>
      <c r="I22" s="16"/>
    </row>
    <row r="23" spans="1:9" x14ac:dyDescent="0.25">
      <c r="A23" s="31" t="s">
        <v>42</v>
      </c>
      <c r="B23" s="8" t="s">
        <v>43</v>
      </c>
      <c r="C23" s="9">
        <v>2.6</v>
      </c>
      <c r="D23" s="29"/>
      <c r="E23" s="30">
        <f>E19*29%</f>
        <v>108107.10479999999</v>
      </c>
      <c r="F23" s="30">
        <f>F19*29%</f>
        <v>99343.003199999992</v>
      </c>
      <c r="G23" s="28">
        <f t="shared" si="0"/>
        <v>108107.10479999999</v>
      </c>
      <c r="H23" s="29"/>
      <c r="I23" s="16"/>
    </row>
    <row r="24" spans="1:9" x14ac:dyDescent="0.25">
      <c r="A24" s="31" t="s">
        <v>44</v>
      </c>
      <c r="B24" s="8" t="s">
        <v>418</v>
      </c>
      <c r="C24" s="9">
        <v>1755.25</v>
      </c>
      <c r="D24" s="29">
        <v>699.61</v>
      </c>
      <c r="E24" s="30">
        <v>12842.19</v>
      </c>
      <c r="F24" s="30">
        <v>12025.9</v>
      </c>
      <c r="G24" s="28">
        <f t="shared" si="0"/>
        <v>12842.19</v>
      </c>
      <c r="H24" s="29">
        <f>D24+F24-E24</f>
        <v>-116.68000000000029</v>
      </c>
      <c r="I24" s="16">
        <f>H24</f>
        <v>-116.68000000000029</v>
      </c>
    </row>
    <row r="25" spans="1:9" x14ac:dyDescent="0.25">
      <c r="A25" s="31" t="s">
        <v>46</v>
      </c>
      <c r="B25" s="8" t="s">
        <v>47</v>
      </c>
      <c r="C25" s="9" t="s">
        <v>48</v>
      </c>
      <c r="D25" s="8">
        <v>-5028.21</v>
      </c>
      <c r="E25" s="9">
        <v>26581.08</v>
      </c>
      <c r="F25" s="8">
        <v>24775.360000000001</v>
      </c>
      <c r="G25" s="9">
        <f t="shared" si="0"/>
        <v>26581.08</v>
      </c>
      <c r="H25" s="7">
        <f>D25+F25-G25</f>
        <v>-6833.93</v>
      </c>
      <c r="I25" s="8">
        <f>H25</f>
        <v>-6833.93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16">
        <v>-43083.01</v>
      </c>
      <c r="E26" s="10">
        <v>191383.92</v>
      </c>
      <c r="F26" s="10">
        <v>177943.64</v>
      </c>
      <c r="G26" s="35">
        <f t="shared" si="0"/>
        <v>191383.92</v>
      </c>
      <c r="H26" s="36">
        <f>D26+F26-G26</f>
        <v>-56523.290000000008</v>
      </c>
      <c r="I26" s="16">
        <f>H26</f>
        <v>-56523.290000000008</v>
      </c>
    </row>
    <row r="27" spans="1:9" x14ac:dyDescent="0.25">
      <c r="A27" s="63" t="s">
        <v>51</v>
      </c>
      <c r="B27" s="63" t="s">
        <v>310</v>
      </c>
      <c r="C27" s="4">
        <v>1.82</v>
      </c>
      <c r="D27" s="55">
        <v>43803.14</v>
      </c>
      <c r="E27" s="39">
        <v>75721.679999999993</v>
      </c>
      <c r="F27" s="39">
        <f>F28+F29</f>
        <v>71493.919999999998</v>
      </c>
      <c r="G27" s="39">
        <f>I57</f>
        <v>29490</v>
      </c>
      <c r="H27" s="55">
        <f>D27+F27-G27</f>
        <v>85807.06</v>
      </c>
      <c r="I27" s="41"/>
    </row>
    <row r="28" spans="1:9" x14ac:dyDescent="0.25">
      <c r="A28" s="10"/>
      <c r="B28" s="8" t="s">
        <v>53</v>
      </c>
      <c r="C28" s="35"/>
      <c r="D28" s="36"/>
      <c r="E28" s="10"/>
      <c r="F28" s="10">
        <v>71115.039999999994</v>
      </c>
      <c r="G28" s="35"/>
      <c r="H28" s="36"/>
      <c r="I28" s="38"/>
    </row>
    <row r="29" spans="1:9" x14ac:dyDescent="0.25">
      <c r="A29" s="10"/>
      <c r="B29" s="10" t="s">
        <v>367</v>
      </c>
      <c r="C29" s="35"/>
      <c r="D29" s="36"/>
      <c r="E29" s="10"/>
      <c r="F29" s="10">
        <v>378.88</v>
      </c>
      <c r="G29" s="35"/>
      <c r="H29" s="36"/>
      <c r="I29" s="38"/>
    </row>
    <row r="30" spans="1:9" x14ac:dyDescent="0.25">
      <c r="A30" s="39" t="s">
        <v>56</v>
      </c>
      <c r="B30" s="10" t="s">
        <v>419</v>
      </c>
      <c r="C30" s="35"/>
      <c r="D30" s="36">
        <v>259.14</v>
      </c>
      <c r="E30" s="10">
        <f>E31</f>
        <v>0</v>
      </c>
      <c r="F30" s="10">
        <v>-378.88</v>
      </c>
      <c r="G30" s="10">
        <f>I61</f>
        <v>0</v>
      </c>
      <c r="H30" s="36">
        <v>0</v>
      </c>
      <c r="I30" s="38"/>
    </row>
    <row r="31" spans="1:9" x14ac:dyDescent="0.25">
      <c r="A31" s="8"/>
      <c r="B31" s="8" t="s">
        <v>53</v>
      </c>
      <c r="C31" s="9"/>
      <c r="D31" s="7">
        <v>0</v>
      </c>
      <c r="E31" s="8">
        <v>0</v>
      </c>
      <c r="F31" s="8">
        <v>119.74</v>
      </c>
      <c r="G31" s="8">
        <v>0</v>
      </c>
      <c r="H31" s="7"/>
      <c r="I31" s="30"/>
    </row>
    <row r="32" spans="1:9" x14ac:dyDescent="0.25">
      <c r="A32" s="8"/>
      <c r="B32" s="10" t="s">
        <v>58</v>
      </c>
      <c r="C32" s="9"/>
      <c r="D32" s="7"/>
      <c r="E32" s="8"/>
      <c r="F32" s="8">
        <v>378.88</v>
      </c>
      <c r="G32" s="9"/>
      <c r="H32" s="7"/>
      <c r="I32" s="21"/>
    </row>
    <row r="33" spans="1:9" x14ac:dyDescent="0.25">
      <c r="A33" s="1" t="s">
        <v>59</v>
      </c>
      <c r="B33" s="1"/>
      <c r="C33" s="1"/>
      <c r="D33" s="45"/>
      <c r="E33" s="1"/>
      <c r="F33" s="1"/>
      <c r="G33" s="2"/>
      <c r="H33" s="2"/>
      <c r="I33" s="2"/>
    </row>
    <row r="34" spans="1:9" x14ac:dyDescent="0.25">
      <c r="A34" s="63" t="s">
        <v>193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15917.55</v>
      </c>
      <c r="D36" s="51">
        <v>6000</v>
      </c>
      <c r="E36" s="162">
        <f>D36*15%</f>
        <v>900</v>
      </c>
      <c r="F36" s="21">
        <f>C36+(D36-E36)</f>
        <v>21017.55</v>
      </c>
      <c r="G36" s="21"/>
      <c r="H36" s="162">
        <f>F36</f>
        <v>21017.55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46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4" t="s">
        <v>79</v>
      </c>
      <c r="I38" s="5" t="s">
        <v>19</v>
      </c>
    </row>
    <row r="39" spans="1:9" x14ac:dyDescent="0.25">
      <c r="A39" s="6"/>
      <c r="B39" s="49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43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 t="s">
        <v>89</v>
      </c>
      <c r="H40" s="43"/>
      <c r="I40" s="6" t="s">
        <v>221</v>
      </c>
    </row>
    <row r="41" spans="1:9" x14ac:dyDescent="0.25">
      <c r="A41" s="6"/>
      <c r="B41" s="49"/>
      <c r="C41" s="6"/>
      <c r="D41" s="43"/>
      <c r="E41" s="6"/>
      <c r="F41" s="43"/>
      <c r="G41" s="17"/>
      <c r="H41" s="43"/>
      <c r="I41" s="6"/>
    </row>
    <row r="42" spans="1:9" x14ac:dyDescent="0.25">
      <c r="A42" s="8">
        <v>1</v>
      </c>
      <c r="B42" s="8" t="s">
        <v>91</v>
      </c>
      <c r="C42" s="35" t="s">
        <v>92</v>
      </c>
      <c r="D42" s="5">
        <v>-195367.21</v>
      </c>
      <c r="E42" s="59">
        <v>352219</v>
      </c>
      <c r="F42" s="8">
        <v>308771.07</v>
      </c>
      <c r="G42" s="59">
        <f>E42</f>
        <v>352219</v>
      </c>
      <c r="H42" s="8">
        <f>D42+F42-G42</f>
        <v>-238815.13999999998</v>
      </c>
      <c r="I42" s="5">
        <f>H42</f>
        <v>-238815.13999999998</v>
      </c>
    </row>
    <row r="43" spans="1:9" x14ac:dyDescent="0.25">
      <c r="A43" s="17"/>
      <c r="B43" s="17" t="s">
        <v>93</v>
      </c>
      <c r="C43" s="13" t="s">
        <v>94</v>
      </c>
      <c r="D43" s="8"/>
      <c r="E43" s="60"/>
      <c r="F43" s="17"/>
      <c r="G43" s="60"/>
      <c r="H43" s="17"/>
      <c r="I43" s="5"/>
    </row>
    <row r="44" spans="1:9" x14ac:dyDescent="0.25">
      <c r="A44" s="6">
        <v>2</v>
      </c>
      <c r="B44" s="6" t="s">
        <v>95</v>
      </c>
      <c r="C44" s="1" t="s">
        <v>96</v>
      </c>
      <c r="D44" s="17">
        <v>-416232.06</v>
      </c>
      <c r="E44" s="2">
        <v>412636.27</v>
      </c>
      <c r="F44" s="6">
        <v>375819.69</v>
      </c>
      <c r="G44" s="2">
        <f>E44</f>
        <v>412636.27</v>
      </c>
      <c r="H44" s="6">
        <f>D44+F44-G44</f>
        <v>-453048.64</v>
      </c>
      <c r="I44" s="8">
        <f>H44</f>
        <v>-453048.64</v>
      </c>
    </row>
    <row r="45" spans="1:9" x14ac:dyDescent="0.25">
      <c r="A45" s="8"/>
      <c r="B45" s="8" t="s">
        <v>97</v>
      </c>
      <c r="C45" s="35"/>
      <c r="D45" s="8" t="s">
        <v>72</v>
      </c>
      <c r="E45" s="9"/>
      <c r="F45" s="8"/>
      <c r="G45" s="9"/>
      <c r="H45" s="5" t="s">
        <v>72</v>
      </c>
      <c r="I45" s="8" t="str">
        <f>H45</f>
        <v xml:space="preserve"> </v>
      </c>
    </row>
    <row r="46" spans="1:9" x14ac:dyDescent="0.25">
      <c r="A46" s="8"/>
      <c r="B46" s="8" t="s">
        <v>313</v>
      </c>
      <c r="C46" s="13" t="s">
        <v>94</v>
      </c>
      <c r="D46" s="17"/>
      <c r="E46" s="9"/>
      <c r="F46" s="8"/>
      <c r="G46" s="9"/>
      <c r="H46" s="5"/>
      <c r="I46" s="17"/>
    </row>
    <row r="47" spans="1:9" x14ac:dyDescent="0.25">
      <c r="A47" s="8">
        <v>3</v>
      </c>
      <c r="B47" s="8" t="s">
        <v>99</v>
      </c>
      <c r="C47" s="35" t="s">
        <v>100</v>
      </c>
      <c r="D47" s="17">
        <v>-547667.15</v>
      </c>
      <c r="E47" s="9">
        <v>971382.91</v>
      </c>
      <c r="F47" s="8">
        <v>886001.98</v>
      </c>
      <c r="G47" s="9">
        <f>E47</f>
        <v>971382.91</v>
      </c>
      <c r="H47" s="8">
        <f>D47+F47-G47</f>
        <v>-633048.08000000007</v>
      </c>
      <c r="I47" s="17">
        <f>H47</f>
        <v>-633048.08000000007</v>
      </c>
    </row>
    <row r="48" spans="1:9" x14ac:dyDescent="0.25">
      <c r="A48" s="1" t="s">
        <v>251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" t="s">
        <v>252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47"/>
      <c r="G50" s="47" t="s">
        <v>199</v>
      </c>
      <c r="H50" s="47" t="s">
        <v>165</v>
      </c>
      <c r="I50" s="5" t="s">
        <v>107</v>
      </c>
    </row>
    <row r="51" spans="1:9" x14ac:dyDescent="0.25">
      <c r="A51" s="49" t="s">
        <v>108</v>
      </c>
      <c r="B51" s="6" t="s">
        <v>72</v>
      </c>
      <c r="C51" s="49"/>
      <c r="D51" s="43"/>
      <c r="E51" s="43"/>
      <c r="F51" s="56"/>
      <c r="G51" s="56" t="s">
        <v>201</v>
      </c>
      <c r="H51" s="56" t="s">
        <v>85</v>
      </c>
      <c r="I51" s="6" t="s">
        <v>109</v>
      </c>
    </row>
    <row r="52" spans="1:9" x14ac:dyDescent="0.25">
      <c r="A52" s="49"/>
      <c r="B52" s="17"/>
      <c r="C52" s="50"/>
      <c r="D52" s="61"/>
      <c r="E52" s="61"/>
      <c r="F52" s="51"/>
      <c r="G52" s="56"/>
      <c r="H52" s="56"/>
      <c r="I52" s="17"/>
    </row>
    <row r="53" spans="1:9" x14ac:dyDescent="0.25">
      <c r="A53" s="62"/>
      <c r="B53" s="63"/>
      <c r="C53" s="55" t="s">
        <v>110</v>
      </c>
      <c r="D53" s="4"/>
      <c r="E53" s="4"/>
      <c r="F53" s="56"/>
      <c r="G53" s="47"/>
      <c r="H53" s="47"/>
      <c r="I53" s="5"/>
    </row>
    <row r="54" spans="1:9" x14ac:dyDescent="0.25">
      <c r="A54" s="64" t="s">
        <v>111</v>
      </c>
      <c r="B54" s="65">
        <v>43315</v>
      </c>
      <c r="C54" s="49" t="s">
        <v>171</v>
      </c>
      <c r="D54" s="43"/>
      <c r="E54" s="43"/>
      <c r="F54" s="56"/>
      <c r="G54" s="32" t="s">
        <v>172</v>
      </c>
      <c r="H54" s="56">
        <v>1</v>
      </c>
      <c r="I54" s="6">
        <v>21500</v>
      </c>
    </row>
    <row r="55" spans="1:9" x14ac:dyDescent="0.25">
      <c r="A55" s="64" t="s">
        <v>114</v>
      </c>
      <c r="B55" s="65">
        <v>43448</v>
      </c>
      <c r="C55" s="49" t="s">
        <v>420</v>
      </c>
      <c r="D55" s="43"/>
      <c r="E55" s="43"/>
      <c r="F55" s="56"/>
      <c r="G55" s="32" t="s">
        <v>421</v>
      </c>
      <c r="H55" s="56">
        <v>8.5</v>
      </c>
      <c r="I55" s="6">
        <v>7990</v>
      </c>
    </row>
    <row r="56" spans="1:9" x14ac:dyDescent="0.25">
      <c r="A56" s="64"/>
      <c r="B56" s="65"/>
      <c r="C56" s="49"/>
      <c r="D56" s="43"/>
      <c r="E56" s="43"/>
      <c r="F56" s="56"/>
      <c r="G56" s="32"/>
      <c r="H56" s="56"/>
      <c r="I56" s="6"/>
    </row>
    <row r="57" spans="1:9" x14ac:dyDescent="0.25">
      <c r="A57" s="66"/>
      <c r="B57" s="17"/>
      <c r="C57" s="14" t="s">
        <v>117</v>
      </c>
      <c r="D57" s="13"/>
      <c r="E57" s="13"/>
      <c r="F57" s="67"/>
      <c r="G57" s="12"/>
      <c r="H57" s="67"/>
      <c r="I57" s="11">
        <f>SUM(I53:I56)</f>
        <v>29490</v>
      </c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43"/>
      <c r="B59" s="4"/>
      <c r="C59" s="4"/>
      <c r="D59" s="43"/>
      <c r="E59" s="43"/>
      <c r="F59" s="43"/>
      <c r="G59" s="19"/>
      <c r="H59" s="43"/>
      <c r="I59" s="43"/>
    </row>
    <row r="60" spans="1:9" x14ac:dyDescent="0.25">
      <c r="A60" s="68"/>
      <c r="B60" s="69"/>
      <c r="C60" s="43"/>
      <c r="D60" s="43"/>
      <c r="E60" s="4"/>
      <c r="F60" s="43"/>
      <c r="G60" s="19"/>
      <c r="H60" s="43"/>
      <c r="I60" s="43"/>
    </row>
    <row r="61" spans="1:9" x14ac:dyDescent="0.25">
      <c r="A61" s="68"/>
      <c r="B61" s="43"/>
      <c r="C61" s="43"/>
      <c r="D61" s="43"/>
      <c r="E61" s="43"/>
      <c r="F61" s="43"/>
      <c r="G61" s="19"/>
      <c r="H61" s="43"/>
      <c r="I61" s="43"/>
    </row>
    <row r="62" spans="1:9" x14ac:dyDescent="0.25">
      <c r="A62" s="2" t="s">
        <v>422</v>
      </c>
      <c r="B62" s="2"/>
      <c r="C62" s="2" t="s">
        <v>207</v>
      </c>
      <c r="D62" s="189" t="s">
        <v>119</v>
      </c>
      <c r="F62" s="2" t="s">
        <v>120</v>
      </c>
      <c r="G62" s="2" t="s">
        <v>264</v>
      </c>
      <c r="H62" s="2"/>
      <c r="I62" s="2" t="s">
        <v>265</v>
      </c>
    </row>
    <row r="63" spans="1:9" x14ac:dyDescent="0.25">
      <c r="A63" s="2"/>
      <c r="B63" s="2"/>
    </row>
    <row r="64" spans="1:9" x14ac:dyDescent="0.25">
      <c r="A64" s="2"/>
      <c r="B64" s="2"/>
      <c r="C64" s="2"/>
      <c r="D64" s="2"/>
    </row>
    <row r="65" spans="1:9" x14ac:dyDescent="0.25">
      <c r="A65" s="43"/>
      <c r="B65" s="43"/>
      <c r="C65" s="43"/>
      <c r="D65" s="43"/>
      <c r="E65" s="166"/>
      <c r="F65" s="166"/>
      <c r="G65" s="166"/>
      <c r="H65" s="166"/>
      <c r="I65" s="166"/>
    </row>
  </sheetData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4" workbookViewId="0">
      <selection activeCell="A22" sqref="A22"/>
    </sheetView>
  </sheetViews>
  <sheetFormatPr defaultRowHeight="15" x14ac:dyDescent="0.25"/>
  <cols>
    <col min="1" max="1" width="5.140625" customWidth="1"/>
    <col min="2" max="2" width="32.85546875" customWidth="1"/>
    <col min="3" max="3" width="12" customWidth="1"/>
    <col min="4" max="4" width="13.28515625" customWidth="1"/>
    <col min="5" max="5" width="12" customWidth="1"/>
    <col min="6" max="6" width="12.85546875" customWidth="1"/>
    <col min="7" max="7" width="10.85546875" customWidth="1"/>
    <col min="8" max="8" width="11.7109375" customWidth="1"/>
    <col min="9" max="9" width="18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423</v>
      </c>
      <c r="B6" s="1"/>
      <c r="C6" s="1"/>
      <c r="D6" s="1"/>
      <c r="E6" s="1"/>
      <c r="F6" s="2"/>
      <c r="G6" s="2"/>
      <c r="H6" s="1"/>
      <c r="I6" s="2"/>
    </row>
    <row r="7" spans="1:9" x14ac:dyDescent="0.25">
      <c r="A7" s="2" t="s">
        <v>424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425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426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48">
        <v>9</v>
      </c>
    </row>
    <row r="18" spans="1:9" x14ac:dyDescent="0.25">
      <c r="A18" s="14">
        <v>1</v>
      </c>
      <c r="B18" s="11" t="s">
        <v>323</v>
      </c>
      <c r="C18" s="13">
        <v>8.5500000000000007</v>
      </c>
      <c r="D18" s="16">
        <v>-29894.32</v>
      </c>
      <c r="E18" s="13">
        <v>347628.29</v>
      </c>
      <c r="F18" s="11">
        <v>333414.34999999998</v>
      </c>
      <c r="G18" s="13">
        <f>E18</f>
        <v>347628.29</v>
      </c>
      <c r="H18" s="16">
        <f>D18+F18-G18</f>
        <v>-44108.260000000009</v>
      </c>
      <c r="I18" s="16">
        <f>H18</f>
        <v>-44108.260000000009</v>
      </c>
    </row>
    <row r="19" spans="1:9" x14ac:dyDescent="0.25">
      <c r="A19" s="6" t="s">
        <v>36</v>
      </c>
      <c r="B19" s="6" t="s">
        <v>217</v>
      </c>
      <c r="C19" s="43"/>
      <c r="D19" s="26"/>
      <c r="E19" s="43"/>
      <c r="F19" s="26"/>
      <c r="G19" s="49"/>
      <c r="H19" s="26"/>
      <c r="I19" s="26"/>
    </row>
    <row r="20" spans="1:9" x14ac:dyDescent="0.25">
      <c r="A20" s="17"/>
      <c r="B20" s="17" t="s">
        <v>218</v>
      </c>
      <c r="C20" s="162">
        <v>3.08</v>
      </c>
      <c r="D20" s="21"/>
      <c r="E20" s="162">
        <f>E18*36%</f>
        <v>125146.18439999998</v>
      </c>
      <c r="F20" s="21">
        <f>F18*36%</f>
        <v>120029.16599999998</v>
      </c>
      <c r="G20" s="20">
        <f t="shared" ref="G20:G25" si="0">E20</f>
        <v>125146.18439999998</v>
      </c>
      <c r="H20" s="21"/>
      <c r="I20" s="21"/>
    </row>
    <row r="21" spans="1:9" x14ac:dyDescent="0.25">
      <c r="A21" s="22" t="s">
        <v>38</v>
      </c>
      <c r="B21" s="5" t="s">
        <v>39</v>
      </c>
      <c r="C21" s="24">
        <v>1.51</v>
      </c>
      <c r="D21" s="26"/>
      <c r="E21" s="24">
        <f>E18*17.7%</f>
        <v>61530.20732999999</v>
      </c>
      <c r="F21" s="33">
        <f>F18*17.7%</f>
        <v>59014.339949999994</v>
      </c>
      <c r="G21" s="19">
        <f t="shared" si="0"/>
        <v>61530.20732999999</v>
      </c>
      <c r="H21" s="26"/>
      <c r="I21" s="26"/>
    </row>
    <row r="22" spans="1:9" x14ac:dyDescent="0.25">
      <c r="A22" s="22" t="s">
        <v>40</v>
      </c>
      <c r="B22" s="5" t="s">
        <v>41</v>
      </c>
      <c r="C22" s="24">
        <v>1.36</v>
      </c>
      <c r="D22" s="30"/>
      <c r="E22" s="28">
        <f>E18*16%</f>
        <v>55620.526399999995</v>
      </c>
      <c r="F22" s="30">
        <f>F18*16%</f>
        <v>53346.295999999995</v>
      </c>
      <c r="G22" s="29">
        <f t="shared" si="0"/>
        <v>55620.526399999995</v>
      </c>
      <c r="H22" s="30"/>
      <c r="I22" s="30"/>
    </row>
    <row r="23" spans="1:9" x14ac:dyDescent="0.25">
      <c r="A23" s="22" t="s">
        <v>42</v>
      </c>
      <c r="B23" s="5" t="s">
        <v>43</v>
      </c>
      <c r="C23" s="24">
        <v>2.6</v>
      </c>
      <c r="D23" s="30"/>
      <c r="E23" s="28">
        <f>E18*30.3%</f>
        <v>105331.37186999999</v>
      </c>
      <c r="F23" s="30">
        <f>F18*30.3%</f>
        <v>101024.54804999998</v>
      </c>
      <c r="G23" s="28">
        <f t="shared" si="0"/>
        <v>105331.37186999999</v>
      </c>
      <c r="H23" s="30"/>
      <c r="I23" s="30"/>
    </row>
    <row r="24" spans="1:9" x14ac:dyDescent="0.25">
      <c r="A24" s="22" t="s">
        <v>44</v>
      </c>
      <c r="B24" s="5" t="s">
        <v>47</v>
      </c>
      <c r="C24" s="203" t="s">
        <v>48</v>
      </c>
      <c r="D24" s="6">
        <v>-4195.76</v>
      </c>
      <c r="E24" s="43">
        <v>23992.74</v>
      </c>
      <c r="F24" s="6">
        <v>23057.54</v>
      </c>
      <c r="G24" s="43">
        <f t="shared" si="0"/>
        <v>23992.74</v>
      </c>
      <c r="H24" s="6">
        <f>D24+F24-G24</f>
        <v>-5130.9600000000028</v>
      </c>
      <c r="I24" s="6">
        <f>H24</f>
        <v>-5130.9600000000028</v>
      </c>
    </row>
    <row r="25" spans="1:9" x14ac:dyDescent="0.25">
      <c r="A25" s="10" t="s">
        <v>49</v>
      </c>
      <c r="B25" s="10" t="s">
        <v>50</v>
      </c>
      <c r="C25" s="35">
        <v>4.5999999999999996</v>
      </c>
      <c r="D25" s="38">
        <v>-21989.39</v>
      </c>
      <c r="E25" s="35">
        <v>187014.24</v>
      </c>
      <c r="F25" s="10">
        <v>179856.16</v>
      </c>
      <c r="G25" s="35">
        <f t="shared" si="0"/>
        <v>187014.24</v>
      </c>
      <c r="H25" s="38">
        <f>D25+F25-G25</f>
        <v>-29147.469999999972</v>
      </c>
      <c r="I25" s="38">
        <f>H25</f>
        <v>-29147.469999999972</v>
      </c>
    </row>
    <row r="26" spans="1:9" x14ac:dyDescent="0.25">
      <c r="A26" s="63" t="s">
        <v>51</v>
      </c>
      <c r="B26" s="63" t="s">
        <v>310</v>
      </c>
      <c r="C26" s="4">
        <v>1.65</v>
      </c>
      <c r="D26" s="41">
        <v>93562.44</v>
      </c>
      <c r="E26" s="1">
        <v>67092.84</v>
      </c>
      <c r="F26" s="10">
        <f>F27+F28+F29</f>
        <v>32964.450000000012</v>
      </c>
      <c r="G26" s="1">
        <f>I55</f>
        <v>22887.14</v>
      </c>
      <c r="H26" s="41">
        <f>D26+F26-G26</f>
        <v>103639.75000000001</v>
      </c>
      <c r="I26" s="39"/>
    </row>
    <row r="27" spans="1:9" x14ac:dyDescent="0.25">
      <c r="A27" s="63"/>
      <c r="B27" s="8" t="s">
        <v>53</v>
      </c>
      <c r="C27" s="36"/>
      <c r="D27" s="10"/>
      <c r="E27" s="35"/>
      <c r="F27" s="39">
        <v>65520.91</v>
      </c>
      <c r="G27" s="35"/>
      <c r="H27" s="38"/>
      <c r="I27" s="10"/>
    </row>
    <row r="28" spans="1:9" x14ac:dyDescent="0.25">
      <c r="A28" s="63"/>
      <c r="B28" s="8" t="s">
        <v>54</v>
      </c>
      <c r="C28" s="4"/>
      <c r="D28" s="39"/>
      <c r="E28" s="1"/>
      <c r="F28" s="63">
        <v>2809.13</v>
      </c>
      <c r="G28" s="1"/>
      <c r="H28" s="41"/>
      <c r="I28" s="39"/>
    </row>
    <row r="29" spans="1:9" x14ac:dyDescent="0.25">
      <c r="A29" s="63"/>
      <c r="B29" s="8" t="s">
        <v>58</v>
      </c>
      <c r="C29" s="36"/>
      <c r="D29" s="10"/>
      <c r="E29" s="35"/>
      <c r="F29" s="10">
        <v>-35365.589999999997</v>
      </c>
      <c r="G29" s="35"/>
      <c r="H29" s="38"/>
      <c r="I29" s="10"/>
    </row>
    <row r="30" spans="1:9" x14ac:dyDescent="0.25">
      <c r="A30" s="10" t="s">
        <v>56</v>
      </c>
      <c r="B30" s="10" t="s">
        <v>144</v>
      </c>
      <c r="C30" s="193">
        <v>0</v>
      </c>
      <c r="D30" s="10">
        <v>-35365.589999999997</v>
      </c>
      <c r="E30" s="36"/>
      <c r="F30" s="10">
        <f>D30</f>
        <v>-35365.589999999997</v>
      </c>
      <c r="G30" s="35">
        <v>0</v>
      </c>
      <c r="H30" s="10">
        <v>0</v>
      </c>
      <c r="I30" s="10"/>
    </row>
    <row r="31" spans="1:9" x14ac:dyDescent="0.25">
      <c r="A31" s="8"/>
      <c r="B31" s="8" t="s">
        <v>53</v>
      </c>
      <c r="C31" s="9">
        <v>0</v>
      </c>
      <c r="D31" s="10"/>
      <c r="E31" s="9">
        <v>0</v>
      </c>
      <c r="F31" s="8">
        <v>0</v>
      </c>
      <c r="G31" s="9">
        <v>0</v>
      </c>
      <c r="H31" s="10"/>
      <c r="I31" s="8"/>
    </row>
    <row r="32" spans="1:9" x14ac:dyDescent="0.25">
      <c r="A32" s="8"/>
      <c r="B32" s="8" t="s">
        <v>58</v>
      </c>
      <c r="C32" s="9">
        <v>0</v>
      </c>
      <c r="D32" s="8">
        <v>0</v>
      </c>
      <c r="E32" s="9">
        <v>0</v>
      </c>
      <c r="F32" s="8">
        <v>-35365.589999999997</v>
      </c>
      <c r="G32" s="9">
        <v>0</v>
      </c>
      <c r="H32" s="8"/>
      <c r="I32" s="8"/>
    </row>
    <row r="33" spans="1:9" x14ac:dyDescent="0.25">
      <c r="A33" s="1" t="s">
        <v>59</v>
      </c>
      <c r="B33" s="1"/>
      <c r="C33" s="1"/>
      <c r="D33" s="45"/>
      <c r="E33" s="1"/>
      <c r="F33" s="1"/>
      <c r="G33" s="2"/>
      <c r="H33" s="2"/>
      <c r="I33" s="2"/>
    </row>
    <row r="34" spans="1:9" x14ac:dyDescent="0.25">
      <c r="A34" s="1"/>
      <c r="B34" s="1"/>
      <c r="C34" s="1"/>
      <c r="D34" s="45"/>
      <c r="E34" s="1"/>
      <c r="F34" s="1"/>
      <c r="G34" s="2"/>
      <c r="H34" s="2"/>
      <c r="I34" s="2"/>
    </row>
    <row r="35" spans="1:9" x14ac:dyDescent="0.25">
      <c r="A35" s="63" t="s">
        <v>60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6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30">
        <v>15620.55</v>
      </c>
      <c r="D37" s="51">
        <v>6000</v>
      </c>
      <c r="E37" s="162">
        <f>D37*15%</f>
        <v>900</v>
      </c>
      <c r="F37" s="21">
        <f>C37+(D37-E37)</f>
        <v>20720.55</v>
      </c>
      <c r="G37" s="21"/>
      <c r="H37" s="162">
        <f>F37</f>
        <v>20720.55</v>
      </c>
      <c r="I37" s="51"/>
    </row>
    <row r="38" spans="1:9" x14ac:dyDescent="0.25">
      <c r="A38" s="4" t="s">
        <v>70</v>
      </c>
      <c r="B38" s="49"/>
      <c r="C38" s="43"/>
      <c r="D38" s="43"/>
      <c r="E38" s="56"/>
      <c r="F38" s="43"/>
      <c r="G38" s="56"/>
      <c r="H38" s="43"/>
      <c r="I38" s="43"/>
    </row>
    <row r="39" spans="1:9" x14ac:dyDescent="0.25">
      <c r="A39" s="1" t="s">
        <v>71</v>
      </c>
      <c r="B39" s="49"/>
      <c r="C39" s="43"/>
      <c r="D39" s="43"/>
      <c r="E39" s="43"/>
      <c r="F39" s="43"/>
      <c r="G39" s="43"/>
      <c r="H39" s="43"/>
      <c r="I39" s="2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47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56" t="s">
        <v>86</v>
      </c>
      <c r="I41" s="6" t="s">
        <v>87</v>
      </c>
    </row>
    <row r="42" spans="1:9" x14ac:dyDescent="0.25">
      <c r="A42" s="17"/>
      <c r="B42" s="50"/>
      <c r="C42" s="17"/>
      <c r="D42" s="61"/>
      <c r="E42" s="17"/>
      <c r="F42" s="61" t="s">
        <v>88</v>
      </c>
      <c r="G42" s="17" t="s">
        <v>89</v>
      </c>
      <c r="H42" s="51"/>
      <c r="I42" s="17" t="s">
        <v>154</v>
      </c>
    </row>
    <row r="43" spans="1:9" x14ac:dyDescent="0.25">
      <c r="A43" s="8">
        <v>1</v>
      </c>
      <c r="B43" s="8" t="s">
        <v>91</v>
      </c>
      <c r="C43" s="13" t="s">
        <v>92</v>
      </c>
      <c r="D43" s="26">
        <v>4874.22</v>
      </c>
      <c r="E43" s="59">
        <v>490226.25</v>
      </c>
      <c r="F43" s="8">
        <v>465533.65</v>
      </c>
      <c r="G43" s="59">
        <f>E43</f>
        <v>490226.25</v>
      </c>
      <c r="H43" s="30">
        <f>D43+F43-G43</f>
        <v>-19818.380000000005</v>
      </c>
      <c r="I43" s="26">
        <f>H43</f>
        <v>-19818.380000000005</v>
      </c>
    </row>
    <row r="44" spans="1:9" x14ac:dyDescent="0.25">
      <c r="A44" s="8" t="s">
        <v>72</v>
      </c>
      <c r="B44" s="8" t="s">
        <v>387</v>
      </c>
      <c r="C44" s="35" t="s">
        <v>94</v>
      </c>
      <c r="D44" s="8"/>
      <c r="E44" s="9"/>
      <c r="F44" s="8"/>
      <c r="G44" s="9"/>
      <c r="H44" s="8"/>
      <c r="I44" s="8"/>
    </row>
    <row r="45" spans="1:9" x14ac:dyDescent="0.25">
      <c r="A45" s="8">
        <v>2</v>
      </c>
      <c r="B45" s="8" t="s">
        <v>99</v>
      </c>
      <c r="C45" s="35" t="s">
        <v>100</v>
      </c>
      <c r="D45" s="8">
        <v>-234081.33</v>
      </c>
      <c r="E45" s="9">
        <v>1224682.3600000001</v>
      </c>
      <c r="F45" s="8">
        <v>1165810.4099999999</v>
      </c>
      <c r="G45" s="9">
        <f>E45</f>
        <v>1224682.3600000001</v>
      </c>
      <c r="H45" s="30">
        <f>D45+F45-G45</f>
        <v>-292953.28000000014</v>
      </c>
      <c r="I45" s="8">
        <f>H45</f>
        <v>-292953.28000000014</v>
      </c>
    </row>
    <row r="46" spans="1:9" x14ac:dyDescent="0.25">
      <c r="A46" s="1" t="s">
        <v>373</v>
      </c>
      <c r="B46" s="1"/>
      <c r="C46" s="1"/>
      <c r="D46" s="1"/>
      <c r="E46" s="1"/>
      <c r="F46" s="1"/>
      <c r="G46" s="1"/>
      <c r="H46" s="1"/>
      <c r="I46" s="2"/>
    </row>
    <row r="47" spans="1:9" x14ac:dyDescent="0.25">
      <c r="A47" s="4" t="s">
        <v>223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46" t="s">
        <v>12</v>
      </c>
      <c r="B48" s="5" t="s">
        <v>103</v>
      </c>
      <c r="C48" s="46" t="s">
        <v>104</v>
      </c>
      <c r="D48" s="54"/>
      <c r="E48" s="54"/>
      <c r="F48" s="54"/>
      <c r="G48" s="5" t="s">
        <v>105</v>
      </c>
      <c r="H48" s="47" t="s">
        <v>106</v>
      </c>
      <c r="I48" s="5" t="s">
        <v>107</v>
      </c>
    </row>
    <row r="49" spans="1:9" x14ac:dyDescent="0.25">
      <c r="A49" s="49" t="s">
        <v>108</v>
      </c>
      <c r="B49" s="6"/>
      <c r="C49" s="49"/>
      <c r="D49" s="43"/>
      <c r="E49" s="43"/>
      <c r="F49" s="43"/>
      <c r="G49" s="6"/>
      <c r="H49" s="56"/>
      <c r="I49" s="6" t="s">
        <v>109</v>
      </c>
    </row>
    <row r="50" spans="1:9" x14ac:dyDescent="0.25">
      <c r="A50" s="49"/>
      <c r="B50" s="17"/>
      <c r="C50" s="50"/>
      <c r="D50" s="61"/>
      <c r="E50" s="61"/>
      <c r="F50" s="61"/>
      <c r="G50" s="17"/>
      <c r="H50" s="56"/>
      <c r="I50" s="6"/>
    </row>
    <row r="51" spans="1:9" x14ac:dyDescent="0.25">
      <c r="A51" s="62"/>
      <c r="B51" s="63"/>
      <c r="C51" s="55" t="s">
        <v>110</v>
      </c>
      <c r="D51" s="4"/>
      <c r="E51" s="4"/>
      <c r="F51" s="43"/>
      <c r="G51" s="6"/>
      <c r="H51" s="47"/>
      <c r="I51" s="5"/>
    </row>
    <row r="52" spans="1:9" x14ac:dyDescent="0.25">
      <c r="A52" s="64" t="s">
        <v>111</v>
      </c>
      <c r="B52" s="65">
        <v>43312</v>
      </c>
      <c r="C52" s="49" t="s">
        <v>427</v>
      </c>
      <c r="D52" s="43"/>
      <c r="E52" s="43"/>
      <c r="F52" s="43"/>
      <c r="G52" s="26" t="s">
        <v>116</v>
      </c>
      <c r="H52" s="56">
        <v>8</v>
      </c>
      <c r="I52" s="6">
        <v>9843.14</v>
      </c>
    </row>
    <row r="53" spans="1:9" x14ac:dyDescent="0.25">
      <c r="A53" s="64" t="s">
        <v>114</v>
      </c>
      <c r="B53" s="65">
        <v>43395</v>
      </c>
      <c r="C53" s="49" t="s">
        <v>360</v>
      </c>
      <c r="D53" s="43"/>
      <c r="E53" s="43"/>
      <c r="F53" s="43"/>
      <c r="G53" s="26" t="s">
        <v>169</v>
      </c>
      <c r="H53" s="56">
        <v>20</v>
      </c>
      <c r="I53" s="6">
        <v>13044</v>
      </c>
    </row>
    <row r="54" spans="1:9" x14ac:dyDescent="0.25">
      <c r="A54" s="64"/>
      <c r="B54" s="65"/>
      <c r="C54" s="49"/>
      <c r="D54" s="43"/>
      <c r="E54" s="43"/>
      <c r="F54" s="43"/>
      <c r="G54" s="26"/>
      <c r="H54" s="56"/>
      <c r="I54" s="6"/>
    </row>
    <row r="55" spans="1:9" x14ac:dyDescent="0.25">
      <c r="A55" s="66"/>
      <c r="B55" s="17"/>
      <c r="C55" s="14" t="s">
        <v>117</v>
      </c>
      <c r="D55" s="13"/>
      <c r="E55" s="13"/>
      <c r="F55" s="13"/>
      <c r="G55" s="16"/>
      <c r="H55" s="67"/>
      <c r="I55" s="11">
        <f>SUM(I51:I54)</f>
        <v>22887.14</v>
      </c>
    </row>
    <row r="56" spans="1:9" x14ac:dyDescent="0.25">
      <c r="A56" s="43"/>
      <c r="B56" s="43"/>
      <c r="C56" s="43"/>
      <c r="D56" s="43"/>
      <c r="E56" s="43"/>
      <c r="F56" s="43"/>
      <c r="G56" s="19"/>
      <c r="H56" s="43"/>
      <c r="I56" s="43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118</v>
      </c>
      <c r="B58" s="2"/>
      <c r="C58" s="2"/>
      <c r="D58" s="2" t="s">
        <v>428</v>
      </c>
      <c r="E58" s="2"/>
      <c r="F58" s="2"/>
      <c r="G58" s="2"/>
      <c r="H58" s="2"/>
      <c r="I58" s="2"/>
    </row>
    <row r="59" spans="1:9" x14ac:dyDescent="0.25">
      <c r="A59" s="2"/>
      <c r="B59" s="2"/>
      <c r="C59" s="2" t="s">
        <v>72</v>
      </c>
    </row>
  </sheetData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2" workbookViewId="0">
      <selection activeCell="B30" sqref="B30"/>
    </sheetView>
  </sheetViews>
  <sheetFormatPr defaultRowHeight="15" x14ac:dyDescent="0.25"/>
  <cols>
    <col min="1" max="1" width="5.5703125" customWidth="1"/>
    <col min="2" max="2" width="34.140625" customWidth="1"/>
    <col min="3" max="3" width="13.42578125" customWidth="1"/>
    <col min="4" max="4" width="11.42578125" customWidth="1"/>
    <col min="6" max="6" width="11" customWidth="1"/>
    <col min="8" max="8" width="13.140625" customWidth="1"/>
    <col min="9" max="9" width="20.42578125" customWidth="1"/>
  </cols>
  <sheetData>
    <row r="1" spans="1:9" x14ac:dyDescent="0.25">
      <c r="A1" s="1" t="s">
        <v>429</v>
      </c>
      <c r="B1" s="1"/>
      <c r="C1" s="1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1"/>
      <c r="F4" s="1"/>
      <c r="G4" s="1"/>
      <c r="H4" s="1"/>
      <c r="I4" s="2"/>
    </row>
    <row r="5" spans="1:9" x14ac:dyDescent="0.25">
      <c r="A5" s="1" t="s">
        <v>430</v>
      </c>
      <c r="B5" s="1"/>
      <c r="C5" s="1"/>
      <c r="D5" s="2"/>
      <c r="E5" s="2"/>
      <c r="F5" s="2"/>
      <c r="G5" s="2"/>
      <c r="H5" s="2"/>
      <c r="I5" s="2"/>
    </row>
    <row r="6" spans="1:9" x14ac:dyDescent="0.25">
      <c r="A6" s="2" t="s">
        <v>431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432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185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10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4" t="s">
        <v>11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132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134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9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4">
        <v>1</v>
      </c>
      <c r="B17" s="11" t="s">
        <v>433</v>
      </c>
      <c r="C17" s="11">
        <v>8.9600000000000009</v>
      </c>
      <c r="D17" s="16">
        <v>-13115.04</v>
      </c>
      <c r="E17" s="11">
        <v>426047.76</v>
      </c>
      <c r="F17" s="11">
        <v>415125.24</v>
      </c>
      <c r="G17" s="11">
        <f t="shared" ref="G17:G25" si="0">E17</f>
        <v>426047.76</v>
      </c>
      <c r="H17" s="15">
        <f>D17+F17-G17</f>
        <v>-24037.559999999998</v>
      </c>
      <c r="I17" s="16">
        <f>H17</f>
        <v>-24037.559999999998</v>
      </c>
    </row>
    <row r="18" spans="1:9" x14ac:dyDescent="0.25">
      <c r="A18" s="6" t="s">
        <v>36</v>
      </c>
      <c r="B18" s="6" t="s">
        <v>37</v>
      </c>
      <c r="C18" s="61">
        <v>3.08</v>
      </c>
      <c r="D18" s="33"/>
      <c r="E18" s="187">
        <f>E17*34.4%</f>
        <v>146560.42943999998</v>
      </c>
      <c r="F18" s="21">
        <f>F17*34.4%</f>
        <v>142803.08255999998</v>
      </c>
      <c r="G18" s="21">
        <f t="shared" si="0"/>
        <v>146560.42943999998</v>
      </c>
      <c r="H18" s="20"/>
      <c r="I18" s="33"/>
    </row>
    <row r="19" spans="1:9" x14ac:dyDescent="0.25">
      <c r="A19" s="22" t="s">
        <v>38</v>
      </c>
      <c r="B19" s="5" t="s">
        <v>39</v>
      </c>
      <c r="C19" s="54">
        <v>1.47</v>
      </c>
      <c r="D19" s="33"/>
      <c r="E19" s="33">
        <f>E17*16.4%</f>
        <v>69871.832639999993</v>
      </c>
      <c r="F19" s="33">
        <f>F17*16.4%</f>
        <v>68080.539359999995</v>
      </c>
      <c r="G19" s="33">
        <f t="shared" si="0"/>
        <v>69871.832639999993</v>
      </c>
      <c r="H19" s="25"/>
      <c r="I19" s="33"/>
    </row>
    <row r="20" spans="1:9" x14ac:dyDescent="0.25">
      <c r="A20" s="22" t="s">
        <v>40</v>
      </c>
      <c r="B20" s="5" t="s">
        <v>41</v>
      </c>
      <c r="C20" s="54">
        <v>1.81</v>
      </c>
      <c r="D20" s="33"/>
      <c r="E20" s="33">
        <f>E17*20.2%</f>
        <v>86061.647519999999</v>
      </c>
      <c r="F20" s="33">
        <f>F17*20.2%</f>
        <v>83855.298479999998</v>
      </c>
      <c r="G20" s="33">
        <f t="shared" si="0"/>
        <v>86061.647519999999</v>
      </c>
      <c r="H20" s="234"/>
      <c r="I20" s="33"/>
    </row>
    <row r="21" spans="1:9" x14ac:dyDescent="0.25">
      <c r="A21" s="31" t="s">
        <v>42</v>
      </c>
      <c r="B21" s="8" t="s">
        <v>43</v>
      </c>
      <c r="C21" s="9">
        <v>2.6</v>
      </c>
      <c r="D21" s="30"/>
      <c r="E21" s="30">
        <f>E17*29%</f>
        <v>123553.8504</v>
      </c>
      <c r="F21" s="30">
        <f>F17*29%</f>
        <v>120386.31959999999</v>
      </c>
      <c r="G21" s="30">
        <f t="shared" si="0"/>
        <v>123553.8504</v>
      </c>
      <c r="H21" s="29"/>
      <c r="I21" s="30"/>
    </row>
    <row r="22" spans="1:9" x14ac:dyDescent="0.25">
      <c r="A22" s="31" t="s">
        <v>434</v>
      </c>
      <c r="B22" s="8" t="s">
        <v>45</v>
      </c>
      <c r="C22" s="9">
        <v>1755.25</v>
      </c>
      <c r="D22" s="30">
        <v>984.98</v>
      </c>
      <c r="E22" s="30">
        <v>12842.98</v>
      </c>
      <c r="F22" s="30">
        <v>12740.11</v>
      </c>
      <c r="G22" s="30">
        <f t="shared" si="0"/>
        <v>12842.98</v>
      </c>
      <c r="H22" s="29">
        <f>D22+F22-E22</f>
        <v>882.11000000000058</v>
      </c>
      <c r="I22" s="30"/>
    </row>
    <row r="23" spans="1:9" x14ac:dyDescent="0.25">
      <c r="A23" s="66" t="s">
        <v>46</v>
      </c>
      <c r="B23" s="17" t="s">
        <v>47</v>
      </c>
      <c r="C23" s="61" t="s">
        <v>48</v>
      </c>
      <c r="D23" s="21">
        <v>-11396.43</v>
      </c>
      <c r="E23" s="8">
        <v>84352.1</v>
      </c>
      <c r="F23" s="9">
        <v>83166.009999999995</v>
      </c>
      <c r="G23" s="8">
        <f>E23</f>
        <v>84352.1</v>
      </c>
      <c r="H23" s="30">
        <f>D23+F23-E23</f>
        <v>-12582.520000000019</v>
      </c>
      <c r="I23" s="8">
        <f>H23</f>
        <v>-12582.520000000019</v>
      </c>
    </row>
    <row r="24" spans="1:9" x14ac:dyDescent="0.25">
      <c r="A24" s="11" t="s">
        <v>49</v>
      </c>
      <c r="B24" s="11" t="s">
        <v>140</v>
      </c>
      <c r="C24" s="13">
        <v>3.43</v>
      </c>
      <c r="D24" s="16">
        <v>-15114.12</v>
      </c>
      <c r="E24" s="204">
        <v>163097.4</v>
      </c>
      <c r="F24" s="16">
        <v>160872.12</v>
      </c>
      <c r="G24" s="15">
        <f t="shared" si="0"/>
        <v>163097.4</v>
      </c>
      <c r="H24" s="15">
        <f>D24+F24-G24</f>
        <v>-17339.399999999994</v>
      </c>
      <c r="I24" s="16">
        <f>H24</f>
        <v>-17339.399999999994</v>
      </c>
    </row>
    <row r="25" spans="1:9" x14ac:dyDescent="0.25">
      <c r="A25" s="11" t="s">
        <v>51</v>
      </c>
      <c r="B25" s="11" t="s">
        <v>191</v>
      </c>
      <c r="C25" s="161">
        <v>1</v>
      </c>
      <c r="D25" s="16">
        <v>-4738.68</v>
      </c>
      <c r="E25" s="11">
        <v>47550</v>
      </c>
      <c r="F25" s="16">
        <v>46910.52</v>
      </c>
      <c r="G25" s="4">
        <f t="shared" si="0"/>
        <v>47550</v>
      </c>
      <c r="H25" s="15">
        <f>D25+F25-G25</f>
        <v>-5378.1600000000035</v>
      </c>
      <c r="I25" s="16">
        <f>H25</f>
        <v>-5378.1600000000035</v>
      </c>
    </row>
    <row r="26" spans="1:9" x14ac:dyDescent="0.25">
      <c r="A26" s="10" t="s">
        <v>56</v>
      </c>
      <c r="B26" s="10" t="s">
        <v>50</v>
      </c>
      <c r="C26" s="10">
        <v>4.5999999999999996</v>
      </c>
      <c r="D26" s="16">
        <v>-17959.37</v>
      </c>
      <c r="E26" s="11">
        <v>218730</v>
      </c>
      <c r="F26" s="16">
        <v>217257.36</v>
      </c>
      <c r="G26" s="10">
        <f>E26</f>
        <v>218730</v>
      </c>
      <c r="H26" s="37">
        <f>D26+F26-G26</f>
        <v>-19432.010000000009</v>
      </c>
      <c r="I26" s="16">
        <f>H26</f>
        <v>-19432.010000000009</v>
      </c>
    </row>
    <row r="27" spans="1:9" x14ac:dyDescent="0.25">
      <c r="A27" s="63" t="s">
        <v>60</v>
      </c>
      <c r="B27" s="63" t="s">
        <v>310</v>
      </c>
      <c r="C27" s="35">
        <v>1.82</v>
      </c>
      <c r="D27" s="38">
        <v>108076.61</v>
      </c>
      <c r="E27" s="10">
        <v>86541</v>
      </c>
      <c r="F27" s="10">
        <v>86041.44</v>
      </c>
      <c r="G27" s="10">
        <f>I53</f>
        <v>48378</v>
      </c>
      <c r="H27" s="37">
        <f>D27+F27-G27</f>
        <v>145740.04999999999</v>
      </c>
      <c r="I27" s="38"/>
    </row>
    <row r="28" spans="1:9" x14ac:dyDescent="0.25">
      <c r="A28" s="10"/>
      <c r="B28" s="8" t="s">
        <v>53</v>
      </c>
      <c r="C28" s="13"/>
      <c r="D28" s="15"/>
      <c r="E28" s="11"/>
      <c r="F28" s="11">
        <v>86041.44</v>
      </c>
      <c r="G28" s="13"/>
      <c r="H28" s="14"/>
      <c r="I28" s="16"/>
    </row>
    <row r="29" spans="1:9" x14ac:dyDescent="0.25">
      <c r="A29" s="4"/>
      <c r="B29" s="43"/>
      <c r="C29" s="4"/>
      <c r="D29" s="165"/>
      <c r="E29" s="4"/>
      <c r="F29" s="4"/>
      <c r="G29" s="4"/>
      <c r="H29" s="4"/>
      <c r="I29" s="165"/>
    </row>
    <row r="30" spans="1:9" x14ac:dyDescent="0.25">
      <c r="A30" s="53" t="s">
        <v>193</v>
      </c>
      <c r="B30" s="5" t="s">
        <v>61</v>
      </c>
      <c r="C30" s="47" t="s">
        <v>65</v>
      </c>
      <c r="D30" s="47" t="s">
        <v>63</v>
      </c>
      <c r="E30" s="54" t="s">
        <v>64</v>
      </c>
      <c r="F30" s="5" t="s">
        <v>151</v>
      </c>
      <c r="G30" s="5"/>
      <c r="H30" s="54" t="s">
        <v>195</v>
      </c>
      <c r="I30" s="47"/>
    </row>
    <row r="31" spans="1:9" x14ac:dyDescent="0.25">
      <c r="A31" s="49"/>
      <c r="B31" s="6" t="s">
        <v>69</v>
      </c>
      <c r="C31" s="51" t="s">
        <v>67</v>
      </c>
      <c r="D31" s="51" t="s">
        <v>23</v>
      </c>
      <c r="E31" s="61" t="s">
        <v>312</v>
      </c>
      <c r="F31" s="17" t="s">
        <v>435</v>
      </c>
      <c r="G31" s="17"/>
      <c r="H31" s="61"/>
      <c r="I31" s="51"/>
    </row>
    <row r="32" spans="1:9" x14ac:dyDescent="0.25">
      <c r="A32" s="55"/>
      <c r="B32" s="226"/>
      <c r="C32" s="19">
        <v>12770.55</v>
      </c>
      <c r="D32" s="5">
        <v>6000</v>
      </c>
      <c r="E32" s="19">
        <f>D32*15%</f>
        <v>900</v>
      </c>
      <c r="F32" s="26"/>
      <c r="G32" s="26"/>
      <c r="H32" s="19">
        <f>C32+ D32-E32-F33</f>
        <v>17870.55</v>
      </c>
      <c r="I32" s="56"/>
    </row>
    <row r="33" spans="1:9" x14ac:dyDescent="0.25">
      <c r="A33" s="36"/>
      <c r="B33" s="17"/>
      <c r="C33" s="28"/>
      <c r="D33" s="8"/>
      <c r="E33" s="28"/>
      <c r="F33" s="30"/>
      <c r="G33" s="30"/>
      <c r="H33" s="28"/>
      <c r="I33" s="48"/>
    </row>
    <row r="34" spans="1:9" x14ac:dyDescent="0.25">
      <c r="A34" s="1" t="s">
        <v>248</v>
      </c>
      <c r="B34" s="1"/>
      <c r="C34" s="1"/>
      <c r="D34" s="45"/>
      <c r="E34" s="1"/>
      <c r="F34" s="1"/>
      <c r="G34" s="1"/>
      <c r="H34" s="1"/>
      <c r="I34" s="1"/>
    </row>
    <row r="35" spans="1:9" x14ac:dyDescent="0.25">
      <c r="A35" s="5" t="s">
        <v>72</v>
      </c>
      <c r="B35" s="53" t="s">
        <v>73</v>
      </c>
      <c r="C35" s="5" t="s">
        <v>74</v>
      </c>
      <c r="D35" s="54" t="s">
        <v>75</v>
      </c>
      <c r="E35" s="5" t="s">
        <v>76</v>
      </c>
      <c r="F35" s="54" t="s">
        <v>77</v>
      </c>
      <c r="G35" s="5" t="s">
        <v>249</v>
      </c>
      <c r="H35" s="5" t="s">
        <v>79</v>
      </c>
      <c r="I35" s="5" t="s">
        <v>19</v>
      </c>
    </row>
    <row r="36" spans="1:9" x14ac:dyDescent="0.25">
      <c r="A36" s="6"/>
      <c r="B36" s="55" t="s">
        <v>80</v>
      </c>
      <c r="C36" s="6" t="s">
        <v>81</v>
      </c>
      <c r="D36" s="43" t="s">
        <v>82</v>
      </c>
      <c r="E36" s="6" t="s">
        <v>83</v>
      </c>
      <c r="F36" s="43" t="s">
        <v>84</v>
      </c>
      <c r="G36" s="6" t="s">
        <v>85</v>
      </c>
      <c r="H36" s="6" t="s">
        <v>86</v>
      </c>
      <c r="I36" s="6" t="s">
        <v>87</v>
      </c>
    </row>
    <row r="37" spans="1:9" x14ac:dyDescent="0.25">
      <c r="A37" s="6"/>
      <c r="B37" s="49"/>
      <c r="C37" s="17"/>
      <c r="D37" s="43"/>
      <c r="E37" s="6"/>
      <c r="F37" s="43" t="s">
        <v>88</v>
      </c>
      <c r="G37" s="6" t="s">
        <v>89</v>
      </c>
      <c r="H37" s="6"/>
      <c r="I37" s="6" t="s">
        <v>30</v>
      </c>
    </row>
    <row r="38" spans="1:9" x14ac:dyDescent="0.25">
      <c r="A38" s="8">
        <v>1</v>
      </c>
      <c r="B38" s="8" t="s">
        <v>91</v>
      </c>
      <c r="C38" s="35" t="s">
        <v>92</v>
      </c>
      <c r="D38" s="8">
        <v>-32239.03</v>
      </c>
      <c r="E38" s="59">
        <v>344239.31</v>
      </c>
      <c r="F38" s="8">
        <v>333512.53999999998</v>
      </c>
      <c r="G38" s="59">
        <f>E38</f>
        <v>344239.31</v>
      </c>
      <c r="H38" s="8">
        <f>D38+F38-G38</f>
        <v>-42965.799999999988</v>
      </c>
      <c r="I38" s="8">
        <f>H38</f>
        <v>-42965.799999999988</v>
      </c>
    </row>
    <row r="39" spans="1:9" x14ac:dyDescent="0.25">
      <c r="A39" s="17"/>
      <c r="B39" s="17" t="s">
        <v>93</v>
      </c>
      <c r="C39" s="13" t="s">
        <v>94</v>
      </c>
      <c r="D39" s="17"/>
      <c r="E39" s="60"/>
      <c r="F39" s="17"/>
      <c r="G39" s="60"/>
      <c r="H39" s="17"/>
      <c r="I39" s="17"/>
    </row>
    <row r="40" spans="1:9" x14ac:dyDescent="0.25">
      <c r="A40" s="6">
        <v>2</v>
      </c>
      <c r="B40" s="6" t="s">
        <v>160</v>
      </c>
      <c r="C40" s="1" t="s">
        <v>96</v>
      </c>
      <c r="D40" s="6">
        <v>-107316.51</v>
      </c>
      <c r="E40" s="2">
        <v>564192.19999999995</v>
      </c>
      <c r="F40" s="6">
        <v>544625.65</v>
      </c>
      <c r="G40" s="2">
        <f>E40</f>
        <v>564192.19999999995</v>
      </c>
      <c r="H40" s="6">
        <f>D40+F40-G40</f>
        <v>-126883.05999999994</v>
      </c>
      <c r="I40" s="17">
        <f>H40</f>
        <v>-126883.05999999994</v>
      </c>
    </row>
    <row r="41" spans="1:9" x14ac:dyDescent="0.25">
      <c r="A41" s="8"/>
      <c r="B41" s="8" t="s">
        <v>436</v>
      </c>
      <c r="C41" s="35" t="s">
        <v>94</v>
      </c>
      <c r="D41" s="8"/>
      <c r="E41" s="9"/>
      <c r="F41" s="8"/>
      <c r="G41" s="48"/>
      <c r="H41" s="5"/>
      <c r="I41" s="8"/>
    </row>
    <row r="42" spans="1:9" x14ac:dyDescent="0.25">
      <c r="A42" s="8">
        <v>3</v>
      </c>
      <c r="B42" s="8" t="s">
        <v>99</v>
      </c>
      <c r="C42" s="35" t="s">
        <v>100</v>
      </c>
      <c r="D42" s="8">
        <v>-232595.64</v>
      </c>
      <c r="E42" s="9">
        <v>1051688.3799999999</v>
      </c>
      <c r="F42" s="8">
        <v>1016338.38</v>
      </c>
      <c r="G42" s="9">
        <f>E42</f>
        <v>1051688.3799999999</v>
      </c>
      <c r="H42" s="8">
        <f>D42+F42-G42</f>
        <v>-267945.6399999999</v>
      </c>
      <c r="I42" s="8">
        <f>H42</f>
        <v>-267945.6399999999</v>
      </c>
    </row>
    <row r="43" spans="1:9" x14ac:dyDescent="0.25">
      <c r="A43" s="1" t="s">
        <v>251</v>
      </c>
      <c r="B43" s="1"/>
      <c r="C43" s="1"/>
      <c r="D43" s="1"/>
      <c r="E43" s="1"/>
      <c r="F43" s="1"/>
      <c r="G43" s="1"/>
      <c r="H43" s="1"/>
      <c r="I43" s="2"/>
    </row>
    <row r="44" spans="1:9" x14ac:dyDescent="0.25">
      <c r="A44" s="4" t="s">
        <v>252</v>
      </c>
      <c r="B44" s="1"/>
      <c r="C44" s="1"/>
      <c r="D44" s="1"/>
      <c r="E44" s="1"/>
      <c r="F44" s="1"/>
      <c r="G44" s="1"/>
      <c r="H44" s="1"/>
      <c r="I44" s="2"/>
    </row>
    <row r="45" spans="1:9" x14ac:dyDescent="0.25">
      <c r="A45" s="46" t="s">
        <v>12</v>
      </c>
      <c r="B45" s="5" t="s">
        <v>437</v>
      </c>
      <c r="C45" s="46" t="s">
        <v>104</v>
      </c>
      <c r="D45" s="54"/>
      <c r="E45" s="54"/>
      <c r="F45" s="47"/>
      <c r="G45" s="5" t="s">
        <v>199</v>
      </c>
      <c r="H45" s="47" t="s">
        <v>374</v>
      </c>
      <c r="I45" s="5" t="s">
        <v>107</v>
      </c>
    </row>
    <row r="46" spans="1:9" x14ac:dyDescent="0.25">
      <c r="A46" s="49" t="s">
        <v>108</v>
      </c>
      <c r="B46" s="6" t="s">
        <v>438</v>
      </c>
      <c r="C46" s="49"/>
      <c r="D46" s="43"/>
      <c r="E46" s="43"/>
      <c r="F46" s="56"/>
      <c r="G46" s="6" t="s">
        <v>201</v>
      </c>
      <c r="H46" s="56" t="s">
        <v>85</v>
      </c>
      <c r="I46" s="6" t="s">
        <v>109</v>
      </c>
    </row>
    <row r="47" spans="1:9" x14ac:dyDescent="0.25">
      <c r="A47" s="49"/>
      <c r="B47" s="17"/>
      <c r="C47" s="50"/>
      <c r="D47" s="61"/>
      <c r="E47" s="61"/>
      <c r="F47" s="51"/>
      <c r="G47" s="6"/>
      <c r="H47" s="56"/>
      <c r="I47" s="17"/>
    </row>
    <row r="48" spans="1:9" x14ac:dyDescent="0.25">
      <c r="A48" s="62"/>
      <c r="B48" s="63"/>
      <c r="C48" s="55" t="s">
        <v>110</v>
      </c>
      <c r="D48" s="4"/>
      <c r="E48" s="4"/>
      <c r="F48" s="43"/>
      <c r="G48" s="5"/>
      <c r="H48" s="47"/>
      <c r="I48" s="5"/>
    </row>
    <row r="49" spans="1:9" x14ac:dyDescent="0.25">
      <c r="A49" s="64"/>
      <c r="B49" s="6"/>
      <c r="C49" s="49"/>
      <c r="D49" s="43"/>
      <c r="E49" s="43"/>
      <c r="F49" s="43" t="s">
        <v>72</v>
      </c>
      <c r="G49" s="6" t="s">
        <v>72</v>
      </c>
      <c r="H49" s="56" t="s">
        <v>72</v>
      </c>
      <c r="I49" s="6" t="s">
        <v>72</v>
      </c>
    </row>
    <row r="50" spans="1:9" x14ac:dyDescent="0.25">
      <c r="A50" s="64" t="s">
        <v>111</v>
      </c>
      <c r="B50" s="64" t="s">
        <v>439</v>
      </c>
      <c r="C50" s="49" t="s">
        <v>112</v>
      </c>
      <c r="D50" s="43"/>
      <c r="E50" s="43"/>
      <c r="F50" s="43"/>
      <c r="G50" s="26" t="s">
        <v>390</v>
      </c>
      <c r="H50" s="56">
        <v>102</v>
      </c>
      <c r="I50" s="6">
        <v>20400</v>
      </c>
    </row>
    <row r="51" spans="1:9" x14ac:dyDescent="0.25">
      <c r="A51" s="64" t="s">
        <v>114</v>
      </c>
      <c r="B51" s="64" t="s">
        <v>440</v>
      </c>
      <c r="C51" s="49" t="s">
        <v>171</v>
      </c>
      <c r="D51" s="43"/>
      <c r="E51" s="43"/>
      <c r="F51" s="43"/>
      <c r="G51" s="26" t="s">
        <v>172</v>
      </c>
      <c r="H51" s="56">
        <v>1</v>
      </c>
      <c r="I51" s="6">
        <v>21500</v>
      </c>
    </row>
    <row r="52" spans="1:9" x14ac:dyDescent="0.25">
      <c r="A52" s="64" t="s">
        <v>170</v>
      </c>
      <c r="B52" s="64" t="s">
        <v>441</v>
      </c>
      <c r="C52" s="49" t="s">
        <v>360</v>
      </c>
      <c r="D52" s="43"/>
      <c r="E52" s="43"/>
      <c r="F52" s="43"/>
      <c r="G52" s="26" t="s">
        <v>169</v>
      </c>
      <c r="H52" s="56">
        <v>10.176</v>
      </c>
      <c r="I52" s="6">
        <v>6478</v>
      </c>
    </row>
    <row r="53" spans="1:9" x14ac:dyDescent="0.25">
      <c r="A53" s="66"/>
      <c r="B53" s="17"/>
      <c r="C53" s="14" t="s">
        <v>117</v>
      </c>
      <c r="D53" s="13"/>
      <c r="E53" s="13"/>
      <c r="F53" s="13"/>
      <c r="G53" s="16"/>
      <c r="H53" s="67"/>
      <c r="I53" s="11">
        <f>SUM(I50:I52)</f>
        <v>48378</v>
      </c>
    </row>
    <row r="54" spans="1:9" x14ac:dyDescent="0.25">
      <c r="A54" s="43"/>
      <c r="B54" s="43"/>
      <c r="C54" s="43"/>
      <c r="D54" s="43"/>
      <c r="E54" s="43"/>
      <c r="F54" s="43"/>
      <c r="G54" s="43"/>
      <c r="H54" s="43"/>
      <c r="I54" s="43"/>
    </row>
    <row r="55" spans="1:9" x14ac:dyDescent="0.25">
      <c r="A55" s="43"/>
      <c r="B55" s="4"/>
      <c r="C55" s="4"/>
      <c r="D55" s="43"/>
      <c r="E55" s="43"/>
      <c r="F55" s="43"/>
      <c r="G55" s="43"/>
      <c r="H55" s="43"/>
      <c r="I55" s="43"/>
    </row>
    <row r="56" spans="1:9" x14ac:dyDescent="0.25">
      <c r="A56" s="68"/>
      <c r="B56" s="69"/>
      <c r="C56" s="43"/>
      <c r="D56" s="43"/>
      <c r="E56" s="43"/>
      <c r="F56" s="43"/>
      <c r="G56" s="43"/>
      <c r="H56" s="43"/>
      <c r="I56" s="43"/>
    </row>
    <row r="57" spans="1:9" x14ac:dyDescent="0.25">
      <c r="A57" s="68"/>
      <c r="B57" s="43"/>
      <c r="C57" s="4"/>
      <c r="D57" s="4"/>
      <c r="E57" s="4"/>
      <c r="F57" s="4"/>
      <c r="G57" s="4"/>
      <c r="H57" s="4"/>
      <c r="I57" s="4"/>
    </row>
    <row r="58" spans="1:9" x14ac:dyDescent="0.25">
      <c r="A58" s="2" t="s">
        <v>442</v>
      </c>
      <c r="B58" s="2"/>
      <c r="C58" s="2" t="s">
        <v>443</v>
      </c>
      <c r="D58" s="189"/>
      <c r="F58" s="2"/>
      <c r="G58" s="2" t="s">
        <v>264</v>
      </c>
      <c r="H58" s="2"/>
      <c r="I58" s="2" t="s">
        <v>265</v>
      </c>
    </row>
    <row r="59" spans="1:9" x14ac:dyDescent="0.25">
      <c r="A59" s="2"/>
      <c r="B59" s="2"/>
    </row>
  </sheetData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3" workbookViewId="0">
      <selection activeCell="A2" sqref="A2"/>
    </sheetView>
  </sheetViews>
  <sheetFormatPr defaultRowHeight="15" x14ac:dyDescent="0.25"/>
  <cols>
    <col min="1" max="1" width="6.140625" customWidth="1"/>
    <col min="2" max="2" width="28.28515625" customWidth="1"/>
    <col min="3" max="3" width="13" customWidth="1"/>
    <col min="4" max="4" width="12.42578125" customWidth="1"/>
    <col min="5" max="5" width="10.7109375" customWidth="1"/>
    <col min="6" max="6" width="11" customWidth="1"/>
    <col min="7" max="7" width="10.42578125" customWidth="1"/>
    <col min="8" max="8" width="13.5703125" customWidth="1"/>
    <col min="9" max="9" width="18.140625" customWidth="1"/>
  </cols>
  <sheetData>
    <row r="1" spans="1:9" x14ac:dyDescent="0.25">
      <c r="A1" s="1" t="s">
        <v>444</v>
      </c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286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445</v>
      </c>
      <c r="B5" s="1"/>
      <c r="C5" s="1"/>
      <c r="D5" s="1"/>
      <c r="E5" s="1"/>
      <c r="F5" s="2"/>
      <c r="G5" s="2"/>
      <c r="H5" s="2"/>
      <c r="I5" s="2"/>
    </row>
    <row r="6" spans="1:9" x14ac:dyDescent="0.25">
      <c r="A6" s="2" t="s">
        <v>446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447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448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449</v>
      </c>
      <c r="B9" s="2"/>
      <c r="C9" s="1" t="s">
        <v>72</v>
      </c>
      <c r="D9" s="1" t="s">
        <v>243</v>
      </c>
      <c r="E9" s="1"/>
      <c r="F9" s="1"/>
      <c r="G9" s="1"/>
      <c r="H9" s="2"/>
      <c r="I9" s="2"/>
    </row>
    <row r="10" spans="1:9" x14ac:dyDescent="0.25">
      <c r="A10" s="1" t="s">
        <v>10</v>
      </c>
      <c r="B10" s="2"/>
      <c r="C10" s="1"/>
      <c r="D10" s="1"/>
      <c r="E10" s="1"/>
      <c r="F10" s="1"/>
      <c r="G10" s="1"/>
      <c r="H10" s="2"/>
      <c r="I10" s="2"/>
    </row>
    <row r="11" spans="1:9" x14ac:dyDescent="0.25">
      <c r="A11" s="43"/>
      <c r="B11" s="2"/>
      <c r="C11" s="1"/>
      <c r="D11" s="1" t="s">
        <v>450</v>
      </c>
      <c r="E11" s="1"/>
      <c r="F11" s="1"/>
      <c r="G11" s="1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17" t="s">
        <v>30</v>
      </c>
    </row>
    <row r="16" spans="1:9" x14ac:dyDescent="0.25">
      <c r="A16" s="54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0">
        <v>1</v>
      </c>
      <c r="B17" s="67" t="s">
        <v>35</v>
      </c>
      <c r="C17" s="11">
        <v>8.9600000000000009</v>
      </c>
      <c r="D17" s="15">
        <v>4222.1000000000004</v>
      </c>
      <c r="E17" s="11">
        <v>273875.51</v>
      </c>
      <c r="F17" s="11">
        <v>262844.68</v>
      </c>
      <c r="G17" s="11">
        <f t="shared" ref="G17:G23" si="0">E17</f>
        <v>273875.51</v>
      </c>
      <c r="H17" s="15">
        <f>D17+F17-G17</f>
        <v>-6808.7300000000396</v>
      </c>
      <c r="I17" s="16">
        <f>H17</f>
        <v>-6808.7300000000396</v>
      </c>
    </row>
    <row r="18" spans="1:9" x14ac:dyDescent="0.25">
      <c r="A18" s="66" t="s">
        <v>138</v>
      </c>
      <c r="B18" s="17" t="s">
        <v>37</v>
      </c>
      <c r="C18" s="61">
        <v>3.08</v>
      </c>
      <c r="D18" s="20"/>
      <c r="E18" s="187">
        <f>E17*34.4%</f>
        <v>94213.175439999992</v>
      </c>
      <c r="F18" s="21">
        <f>F17*34.4%</f>
        <v>90418.569919999994</v>
      </c>
      <c r="G18" s="21">
        <f t="shared" si="0"/>
        <v>94213.175439999992</v>
      </c>
      <c r="H18" s="20"/>
      <c r="I18" s="21"/>
    </row>
    <row r="19" spans="1:9" x14ac:dyDescent="0.25">
      <c r="A19" s="22" t="s">
        <v>38</v>
      </c>
      <c r="B19" s="5" t="s">
        <v>39</v>
      </c>
      <c r="C19" s="54">
        <v>1.47</v>
      </c>
      <c r="D19" s="25"/>
      <c r="E19" s="33">
        <f>E17*16.4%</f>
        <v>44915.583639999997</v>
      </c>
      <c r="F19" s="33">
        <f>F17*16.4%</f>
        <v>43106.527519999996</v>
      </c>
      <c r="G19" s="33">
        <f t="shared" si="0"/>
        <v>44915.583639999997</v>
      </c>
      <c r="H19" s="25"/>
      <c r="I19" s="33"/>
    </row>
    <row r="20" spans="1:9" x14ac:dyDescent="0.25">
      <c r="A20" s="22" t="s">
        <v>40</v>
      </c>
      <c r="B20" s="5" t="s">
        <v>41</v>
      </c>
      <c r="C20" s="54">
        <v>1.81</v>
      </c>
      <c r="D20" s="235"/>
      <c r="E20" s="33">
        <f>E17*20.2%</f>
        <v>55322.853019999995</v>
      </c>
      <c r="F20" s="33">
        <f>F17*20.2%</f>
        <v>53094.625359999998</v>
      </c>
      <c r="G20" s="30">
        <f t="shared" si="0"/>
        <v>55322.853019999995</v>
      </c>
      <c r="H20" s="235"/>
      <c r="I20" s="30"/>
    </row>
    <row r="21" spans="1:9" x14ac:dyDescent="0.25">
      <c r="A21" s="31" t="s">
        <v>42</v>
      </c>
      <c r="B21" s="8" t="s">
        <v>43</v>
      </c>
      <c r="C21" s="9">
        <v>2.6</v>
      </c>
      <c r="D21" s="29"/>
      <c r="E21" s="30">
        <f>E17*29%</f>
        <v>79423.897899999996</v>
      </c>
      <c r="F21" s="30">
        <f>F17*29%</f>
        <v>76224.95719999999</v>
      </c>
      <c r="G21" s="29">
        <f t="shared" si="0"/>
        <v>79423.897899999996</v>
      </c>
      <c r="H21" s="29"/>
      <c r="I21" s="30"/>
    </row>
    <row r="22" spans="1:9" x14ac:dyDescent="0.25">
      <c r="A22" s="66" t="s">
        <v>44</v>
      </c>
      <c r="B22" s="17" t="s">
        <v>47</v>
      </c>
      <c r="C22" s="61" t="s">
        <v>48</v>
      </c>
      <c r="D22" s="20">
        <v>-2872.52</v>
      </c>
      <c r="E22" s="8">
        <v>25029.87</v>
      </c>
      <c r="F22" s="9">
        <v>23371.66</v>
      </c>
      <c r="G22" s="8">
        <f t="shared" si="0"/>
        <v>25029.87</v>
      </c>
      <c r="H22" s="30">
        <f>D22+F22-E22</f>
        <v>-4530.7299999999996</v>
      </c>
      <c r="I22" s="8">
        <f>H22</f>
        <v>-4530.7299999999996</v>
      </c>
    </row>
    <row r="23" spans="1:9" x14ac:dyDescent="0.25">
      <c r="A23" s="10" t="s">
        <v>49</v>
      </c>
      <c r="B23" s="10" t="s">
        <v>50</v>
      </c>
      <c r="C23" s="10">
        <v>4.5999999999999996</v>
      </c>
      <c r="D23" s="36">
        <v>-3798.55</v>
      </c>
      <c r="E23" s="10">
        <v>140605.72</v>
      </c>
      <c r="F23" s="10">
        <v>137271.26999999999</v>
      </c>
      <c r="G23" s="35">
        <f t="shared" si="0"/>
        <v>140605.72</v>
      </c>
      <c r="H23" s="36">
        <f>D23+F23-G23</f>
        <v>-7133</v>
      </c>
      <c r="I23" s="38">
        <f>H23</f>
        <v>-7133</v>
      </c>
    </row>
    <row r="24" spans="1:9" x14ac:dyDescent="0.25">
      <c r="A24" s="11" t="s">
        <v>51</v>
      </c>
      <c r="B24" s="11" t="s">
        <v>310</v>
      </c>
      <c r="C24" s="13">
        <v>1.82</v>
      </c>
      <c r="D24" s="14">
        <v>105563.35</v>
      </c>
      <c r="E24" s="11">
        <v>55631.37</v>
      </c>
      <c r="F24" s="11">
        <f>F25+F26+F27</f>
        <v>56457.88</v>
      </c>
      <c r="G24" s="11">
        <f>I55</f>
        <v>92552.52</v>
      </c>
      <c r="H24" s="14">
        <f>D24+F24-G24</f>
        <v>69468.710000000006</v>
      </c>
      <c r="I24" s="16"/>
    </row>
    <row r="25" spans="1:9" x14ac:dyDescent="0.25">
      <c r="A25" s="11"/>
      <c r="B25" s="8" t="s">
        <v>53</v>
      </c>
      <c r="C25" s="13"/>
      <c r="D25" s="14"/>
      <c r="E25" s="11"/>
      <c r="F25" s="11">
        <v>55428.88</v>
      </c>
      <c r="G25" s="13"/>
      <c r="H25" s="14"/>
      <c r="I25" s="41"/>
    </row>
    <row r="26" spans="1:9" x14ac:dyDescent="0.25">
      <c r="A26" s="11"/>
      <c r="B26" s="8" t="s">
        <v>54</v>
      </c>
      <c r="C26" s="13"/>
      <c r="D26" s="14"/>
      <c r="E26" s="11"/>
      <c r="F26" s="11">
        <v>1028.99</v>
      </c>
      <c r="G26" s="13"/>
      <c r="H26" s="14"/>
      <c r="I26" s="38"/>
    </row>
    <row r="27" spans="1:9" x14ac:dyDescent="0.25">
      <c r="A27" s="11"/>
      <c r="B27" s="8" t="s">
        <v>367</v>
      </c>
      <c r="C27" s="13"/>
      <c r="D27" s="14"/>
      <c r="E27" s="11"/>
      <c r="F27" s="11">
        <f>F28</f>
        <v>0.01</v>
      </c>
      <c r="G27" s="13"/>
      <c r="H27" s="14"/>
      <c r="I27" s="38"/>
    </row>
    <row r="28" spans="1:9" x14ac:dyDescent="0.25">
      <c r="A28" s="10" t="s">
        <v>56</v>
      </c>
      <c r="B28" s="10" t="s">
        <v>144</v>
      </c>
      <c r="C28" s="67">
        <v>0</v>
      </c>
      <c r="D28" s="36">
        <v>0.01</v>
      </c>
      <c r="E28" s="10">
        <v>0</v>
      </c>
      <c r="F28" s="10">
        <f>F29</f>
        <v>0.01</v>
      </c>
      <c r="G28" s="35">
        <v>0</v>
      </c>
      <c r="H28" s="10">
        <v>0</v>
      </c>
      <c r="I28" s="16"/>
    </row>
    <row r="29" spans="1:9" x14ac:dyDescent="0.25">
      <c r="A29" s="8"/>
      <c r="B29" s="8" t="s">
        <v>58</v>
      </c>
      <c r="C29" s="9"/>
      <c r="D29" s="7"/>
      <c r="E29" s="8">
        <v>0</v>
      </c>
      <c r="F29" s="8">
        <v>0.01</v>
      </c>
      <c r="G29" s="9"/>
      <c r="H29" s="8"/>
      <c r="I29" s="30"/>
    </row>
    <row r="30" spans="1:9" x14ac:dyDescent="0.25">
      <c r="A30" s="1" t="s">
        <v>59</v>
      </c>
      <c r="B30" s="1"/>
      <c r="C30" s="1"/>
      <c r="D30" s="45"/>
      <c r="E30" s="1"/>
      <c r="F30" s="2"/>
      <c r="G30" s="2"/>
      <c r="H30" s="2"/>
      <c r="I30" s="2"/>
    </row>
    <row r="31" spans="1:9" x14ac:dyDescent="0.25">
      <c r="A31" s="63" t="s">
        <v>60</v>
      </c>
      <c r="B31" s="54" t="s">
        <v>61</v>
      </c>
      <c r="C31" s="5" t="s">
        <v>65</v>
      </c>
      <c r="D31" s="47" t="s">
        <v>63</v>
      </c>
      <c r="E31" s="54" t="s">
        <v>64</v>
      </c>
      <c r="F31" s="5" t="s">
        <v>65</v>
      </c>
      <c r="G31" s="5"/>
      <c r="H31" s="54" t="s">
        <v>195</v>
      </c>
      <c r="I31" s="47"/>
    </row>
    <row r="32" spans="1:9" x14ac:dyDescent="0.25">
      <c r="A32" s="6"/>
      <c r="B32" s="43"/>
      <c r="C32" s="6" t="s">
        <v>67</v>
      </c>
      <c r="D32" s="51" t="s">
        <v>23</v>
      </c>
      <c r="E32" s="61" t="s">
        <v>451</v>
      </c>
      <c r="F32" s="17" t="s">
        <v>30</v>
      </c>
      <c r="G32" s="17"/>
      <c r="H32" s="61">
        <v>8262</v>
      </c>
      <c r="I32" s="51"/>
    </row>
    <row r="33" spans="1:9" x14ac:dyDescent="0.25">
      <c r="A33" s="11"/>
      <c r="B33" s="61" t="s">
        <v>69</v>
      </c>
      <c r="C33" s="30">
        <v>26164.74</v>
      </c>
      <c r="D33" s="48">
        <v>6000</v>
      </c>
      <c r="E33" s="162">
        <f>D33*15%</f>
        <v>900</v>
      </c>
      <c r="F33" s="21">
        <f>C33+(D33-E33)</f>
        <v>31264.74</v>
      </c>
      <c r="G33" s="21"/>
      <c r="H33" s="162">
        <f>F33-G33</f>
        <v>31264.74</v>
      </c>
      <c r="I33" s="51"/>
    </row>
    <row r="34" spans="1:9" x14ac:dyDescent="0.25">
      <c r="A34" s="1" t="s">
        <v>248</v>
      </c>
      <c r="B34" s="1"/>
      <c r="C34" s="1"/>
      <c r="D34" s="45"/>
      <c r="E34" s="1"/>
      <c r="F34" s="1"/>
      <c r="G34" s="1"/>
      <c r="H34" s="1"/>
      <c r="I34" s="1"/>
    </row>
    <row r="35" spans="1:9" x14ac:dyDescent="0.25">
      <c r="A35" s="5" t="s">
        <v>72</v>
      </c>
      <c r="B35" s="53" t="s">
        <v>73</v>
      </c>
      <c r="C35" s="5" t="s">
        <v>74</v>
      </c>
      <c r="D35" s="54" t="s">
        <v>75</v>
      </c>
      <c r="E35" s="5" t="s">
        <v>76</v>
      </c>
      <c r="F35" s="54" t="s">
        <v>77</v>
      </c>
      <c r="G35" s="5" t="s">
        <v>249</v>
      </c>
      <c r="H35" s="5" t="s">
        <v>79</v>
      </c>
      <c r="I35" s="5" t="s">
        <v>19</v>
      </c>
    </row>
    <row r="36" spans="1:9" x14ac:dyDescent="0.25">
      <c r="A36" s="6"/>
      <c r="B36" s="55" t="s">
        <v>80</v>
      </c>
      <c r="C36" s="6" t="s">
        <v>81</v>
      </c>
      <c r="D36" s="43" t="s">
        <v>82</v>
      </c>
      <c r="E36" s="6" t="s">
        <v>83</v>
      </c>
      <c r="F36" s="43" t="s">
        <v>84</v>
      </c>
      <c r="G36" s="6" t="s">
        <v>85</v>
      </c>
      <c r="H36" s="6" t="s">
        <v>86</v>
      </c>
      <c r="I36" s="6" t="s">
        <v>87</v>
      </c>
    </row>
    <row r="37" spans="1:9" x14ac:dyDescent="0.25">
      <c r="A37" s="6"/>
      <c r="B37" s="49"/>
      <c r="C37" s="6"/>
      <c r="D37" s="43"/>
      <c r="E37" s="6"/>
      <c r="F37" s="43" t="s">
        <v>88</v>
      </c>
      <c r="G37" s="6" t="s">
        <v>89</v>
      </c>
      <c r="H37" s="6"/>
      <c r="I37" s="6" t="s">
        <v>30</v>
      </c>
    </row>
    <row r="38" spans="1:9" x14ac:dyDescent="0.25">
      <c r="A38" s="8"/>
      <c r="B38" s="7"/>
      <c r="C38" s="8"/>
      <c r="D38" s="9"/>
      <c r="E38" s="8"/>
      <c r="F38" s="9"/>
      <c r="G38" s="8"/>
      <c r="H38" s="8"/>
      <c r="I38" s="8"/>
    </row>
    <row r="39" spans="1:9" x14ac:dyDescent="0.25">
      <c r="A39" s="6">
        <v>1</v>
      </c>
      <c r="B39" s="6" t="s">
        <v>91</v>
      </c>
      <c r="C39" s="4" t="s">
        <v>92</v>
      </c>
      <c r="D39" s="6">
        <v>-141829.01999999999</v>
      </c>
      <c r="E39" s="217">
        <v>277526.28000000003</v>
      </c>
      <c r="F39" s="6">
        <v>269970.31</v>
      </c>
      <c r="G39" s="217">
        <f>E39</f>
        <v>277526.28000000003</v>
      </c>
      <c r="H39" s="6">
        <f>D39+F39-G39</f>
        <v>-149384.99000000002</v>
      </c>
      <c r="I39" s="6">
        <f>H39</f>
        <v>-149384.99000000002</v>
      </c>
    </row>
    <row r="40" spans="1:9" x14ac:dyDescent="0.25">
      <c r="A40" s="8"/>
      <c r="B40" s="8" t="s">
        <v>93</v>
      </c>
      <c r="C40" s="35" t="s">
        <v>94</v>
      </c>
      <c r="D40" s="8"/>
      <c r="E40" s="59"/>
      <c r="F40" s="8"/>
      <c r="G40" s="59"/>
      <c r="H40" s="8"/>
      <c r="I40" s="8"/>
    </row>
    <row r="41" spans="1:9" x14ac:dyDescent="0.25">
      <c r="A41" s="6">
        <v>2</v>
      </c>
      <c r="B41" s="6" t="s">
        <v>95</v>
      </c>
      <c r="C41" s="1" t="s">
        <v>96</v>
      </c>
      <c r="D41" s="17">
        <v>-156183.5</v>
      </c>
      <c r="E41" s="2">
        <v>400063.85</v>
      </c>
      <c r="F41" s="6">
        <v>435057.74</v>
      </c>
      <c r="G41" s="2">
        <f>E41</f>
        <v>400063.85</v>
      </c>
      <c r="H41" s="6">
        <f>D41+F41-G41</f>
        <v>-121189.60999999999</v>
      </c>
      <c r="I41" s="17">
        <f>H41</f>
        <v>-121189.60999999999</v>
      </c>
    </row>
    <row r="42" spans="1:9" x14ac:dyDescent="0.25">
      <c r="A42" s="8"/>
      <c r="B42" s="8" t="s">
        <v>97</v>
      </c>
      <c r="C42" s="35"/>
      <c r="D42" s="8"/>
      <c r="E42" s="9"/>
      <c r="F42" s="8"/>
      <c r="G42" s="9"/>
      <c r="H42" s="5" t="s">
        <v>72</v>
      </c>
      <c r="I42" s="8" t="str">
        <f>H42</f>
        <v xml:space="preserve"> </v>
      </c>
    </row>
    <row r="43" spans="1:9" x14ac:dyDescent="0.25">
      <c r="A43" s="8"/>
      <c r="B43" s="8" t="s">
        <v>313</v>
      </c>
      <c r="C43" s="35" t="s">
        <v>94</v>
      </c>
      <c r="D43" s="8"/>
      <c r="E43" s="9"/>
      <c r="F43" s="8"/>
      <c r="G43" s="9"/>
      <c r="H43" s="5"/>
      <c r="I43" s="8"/>
    </row>
    <row r="44" spans="1:9" x14ac:dyDescent="0.25">
      <c r="A44" s="8">
        <v>3</v>
      </c>
      <c r="B44" s="8" t="s">
        <v>99</v>
      </c>
      <c r="C44" s="35" t="s">
        <v>100</v>
      </c>
      <c r="D44" s="8">
        <v>-313542.81</v>
      </c>
      <c r="E44" s="9">
        <v>920878.78</v>
      </c>
      <c r="F44" s="8">
        <v>896817.57</v>
      </c>
      <c r="G44" s="9">
        <f>E44</f>
        <v>920878.78</v>
      </c>
      <c r="H44" s="8">
        <f>D44+F44-G44</f>
        <v>-337604.02</v>
      </c>
      <c r="I44" s="8">
        <f>H44</f>
        <v>-337604.02</v>
      </c>
    </row>
    <row r="45" spans="1:9" x14ac:dyDescent="0.25">
      <c r="A45" s="1" t="s">
        <v>251</v>
      </c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4" t="s">
        <v>252</v>
      </c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54"/>
      <c r="G47" s="5" t="s">
        <v>105</v>
      </c>
      <c r="H47" s="5" t="s">
        <v>106</v>
      </c>
      <c r="I47" s="47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43"/>
      <c r="G48" s="6"/>
      <c r="H48" s="6"/>
      <c r="I48" s="56" t="s">
        <v>109</v>
      </c>
    </row>
    <row r="49" spans="1:9" x14ac:dyDescent="0.25">
      <c r="A49" s="49"/>
      <c r="B49" s="17"/>
      <c r="C49" s="50"/>
      <c r="D49" s="61"/>
      <c r="E49" s="61"/>
      <c r="F49" s="61"/>
      <c r="G49" s="17"/>
      <c r="H49" s="17"/>
      <c r="I49" s="51"/>
    </row>
    <row r="50" spans="1:9" x14ac:dyDescent="0.25">
      <c r="A50" s="62"/>
      <c r="B50" s="39"/>
      <c r="C50" s="4" t="s">
        <v>110</v>
      </c>
      <c r="D50" s="4"/>
      <c r="E50" s="4"/>
      <c r="F50" s="43"/>
      <c r="G50" s="6"/>
      <c r="H50" s="6"/>
      <c r="I50" s="56"/>
    </row>
    <row r="51" spans="1:9" x14ac:dyDescent="0.25">
      <c r="A51" s="64" t="s">
        <v>111</v>
      </c>
      <c r="B51" s="65">
        <v>43312</v>
      </c>
      <c r="C51" s="43" t="s">
        <v>452</v>
      </c>
      <c r="D51" s="43"/>
      <c r="E51" s="43"/>
      <c r="F51" s="43"/>
      <c r="G51" s="26" t="s">
        <v>169</v>
      </c>
      <c r="H51" s="6">
        <v>84</v>
      </c>
      <c r="I51" s="56">
        <v>85652.52</v>
      </c>
    </row>
    <row r="52" spans="1:9" x14ac:dyDescent="0.25">
      <c r="A52" s="236" t="s">
        <v>114</v>
      </c>
      <c r="B52" s="65">
        <v>43312</v>
      </c>
      <c r="C52" s="43" t="s">
        <v>453</v>
      </c>
      <c r="D52" s="43"/>
      <c r="E52" s="43"/>
      <c r="F52" s="43"/>
      <c r="G52" s="26" t="s">
        <v>421</v>
      </c>
      <c r="H52" s="6">
        <v>5</v>
      </c>
      <c r="I52" s="56">
        <v>4500</v>
      </c>
    </row>
    <row r="53" spans="1:9" x14ac:dyDescent="0.25">
      <c r="A53" s="236" t="s">
        <v>170</v>
      </c>
      <c r="B53" s="65">
        <v>43447</v>
      </c>
      <c r="C53" s="43" t="s">
        <v>254</v>
      </c>
      <c r="D53" s="43"/>
      <c r="E53" s="43"/>
      <c r="F53" s="43"/>
      <c r="G53" s="26" t="s">
        <v>255</v>
      </c>
      <c r="H53" s="6">
        <v>1.5</v>
      </c>
      <c r="I53" s="56">
        <v>2400</v>
      </c>
    </row>
    <row r="54" spans="1:9" x14ac:dyDescent="0.25">
      <c r="A54" s="236"/>
      <c r="B54" s="65"/>
      <c r="C54" s="43"/>
      <c r="D54" s="43"/>
      <c r="E54" s="43"/>
      <c r="F54" s="43"/>
      <c r="G54" s="26"/>
      <c r="H54" s="6"/>
      <c r="I54" s="56"/>
    </row>
    <row r="55" spans="1:9" x14ac:dyDescent="0.25">
      <c r="A55" s="237"/>
      <c r="B55" s="238"/>
      <c r="C55" s="13" t="s">
        <v>117</v>
      </c>
      <c r="D55" s="13"/>
      <c r="E55" s="13"/>
      <c r="F55" s="13"/>
      <c r="G55" s="16"/>
      <c r="H55" s="11"/>
      <c r="I55" s="67">
        <f>SUM(I50:I54)</f>
        <v>92552.52</v>
      </c>
    </row>
    <row r="56" spans="1:9" x14ac:dyDescent="0.25">
      <c r="A56" s="43"/>
      <c r="B56" s="43"/>
      <c r="C56" s="43"/>
      <c r="D56" s="43"/>
      <c r="E56" s="43"/>
      <c r="F56" s="43"/>
      <c r="G56" s="43"/>
      <c r="H56" s="43"/>
      <c r="I56" s="43"/>
    </row>
    <row r="57" spans="1:9" x14ac:dyDescent="0.25">
      <c r="A57" s="2" t="s">
        <v>206</v>
      </c>
      <c r="B57" s="2"/>
      <c r="C57" s="2"/>
      <c r="D57" s="189" t="s">
        <v>119</v>
      </c>
      <c r="F57" s="2" t="s">
        <v>120</v>
      </c>
      <c r="G57" s="2" t="s">
        <v>264</v>
      </c>
      <c r="H57" s="2"/>
      <c r="I57" s="2" t="s">
        <v>265</v>
      </c>
    </row>
  </sheetData>
  <pageMargins left="0.7" right="0.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0" workbookViewId="0">
      <selection activeCell="A34" sqref="A34"/>
    </sheetView>
  </sheetViews>
  <sheetFormatPr defaultRowHeight="15" x14ac:dyDescent="0.25"/>
  <cols>
    <col min="1" max="1" width="4.7109375" customWidth="1"/>
    <col min="2" max="2" width="38.7109375" customWidth="1"/>
    <col min="3" max="3" width="11.85546875" customWidth="1"/>
    <col min="5" max="5" width="11.5703125" customWidth="1"/>
    <col min="6" max="6" width="11.28515625" customWidth="1"/>
    <col min="8" max="8" width="12.28515625" customWidth="1"/>
    <col min="9" max="9" width="19.140625" customWidth="1"/>
  </cols>
  <sheetData>
    <row r="1" spans="1:9" x14ac:dyDescent="0.25">
      <c r="A1" s="1"/>
      <c r="B1" s="1"/>
      <c r="C1" s="1" t="s">
        <v>454</v>
      </c>
      <c r="D1" s="1"/>
      <c r="E1" s="1"/>
      <c r="F1" s="1"/>
      <c r="G1" s="2"/>
      <c r="H1" s="2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2"/>
      <c r="H2" s="2"/>
      <c r="I2" s="2"/>
    </row>
    <row r="3" spans="1:9" x14ac:dyDescent="0.25">
      <c r="A3" s="1" t="s">
        <v>317</v>
      </c>
      <c r="B3" s="1"/>
      <c r="C3" s="1"/>
      <c r="D3" s="1"/>
      <c r="E3" s="1"/>
      <c r="F3" s="1"/>
      <c r="G3" s="2"/>
      <c r="H3" s="2"/>
      <c r="I3" s="2"/>
    </row>
    <row r="4" spans="1:9" x14ac:dyDescent="0.25">
      <c r="A4" s="1" t="s">
        <v>4</v>
      </c>
      <c r="B4" s="1"/>
      <c r="C4" s="1"/>
      <c r="D4" s="1"/>
      <c r="E4" s="1"/>
      <c r="F4" s="1"/>
      <c r="G4" s="2"/>
      <c r="H4" s="2"/>
      <c r="I4" s="2"/>
    </row>
    <row r="5" spans="1:9" x14ac:dyDescent="0.25">
      <c r="A5" s="2" t="s">
        <v>455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456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457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185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2"/>
      <c r="I9" s="2"/>
    </row>
    <row r="10" spans="1:9" x14ac:dyDescent="0.25">
      <c r="A10" s="1" t="s">
        <v>10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11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5" t="s">
        <v>12</v>
      </c>
      <c r="B12" s="5" t="s">
        <v>13</v>
      </c>
      <c r="C12" s="54" t="s">
        <v>14</v>
      </c>
      <c r="D12" s="5" t="s">
        <v>15</v>
      </c>
      <c r="E12" s="47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43" t="s">
        <v>130</v>
      </c>
      <c r="D13" s="6" t="s">
        <v>22</v>
      </c>
      <c r="E13" s="56" t="s">
        <v>23</v>
      </c>
      <c r="F13" s="6" t="s">
        <v>23</v>
      </c>
      <c r="G13" s="6" t="s">
        <v>24</v>
      </c>
      <c r="H13" s="6" t="s">
        <v>25</v>
      </c>
      <c r="I13" s="6" t="s">
        <v>132</v>
      </c>
    </row>
    <row r="14" spans="1:9" x14ac:dyDescent="0.25">
      <c r="A14" s="6"/>
      <c r="B14" s="6"/>
      <c r="C14" s="43" t="s">
        <v>27</v>
      </c>
      <c r="D14" s="6" t="s">
        <v>28</v>
      </c>
      <c r="E14" s="56"/>
      <c r="F14" s="6"/>
      <c r="G14" s="6" t="s">
        <v>29</v>
      </c>
      <c r="H14" s="6" t="s">
        <v>30</v>
      </c>
      <c r="I14" s="6" t="s">
        <v>134</v>
      </c>
    </row>
    <row r="15" spans="1:9" x14ac:dyDescent="0.25">
      <c r="A15" s="6"/>
      <c r="B15" s="6"/>
      <c r="C15" s="43" t="s">
        <v>135</v>
      </c>
      <c r="D15" s="17" t="s">
        <v>33</v>
      </c>
      <c r="E15" s="5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8">
        <v>1</v>
      </c>
      <c r="B16" s="8">
        <v>2</v>
      </c>
      <c r="C16" s="9">
        <v>3</v>
      </c>
      <c r="D16" s="50">
        <v>4</v>
      </c>
      <c r="E16" s="8">
        <v>5</v>
      </c>
      <c r="F16" s="8">
        <v>6</v>
      </c>
      <c r="G16" s="8">
        <v>7</v>
      </c>
      <c r="H16" s="8">
        <v>8</v>
      </c>
      <c r="I16" s="8">
        <v>9</v>
      </c>
    </row>
    <row r="17" spans="1:9" x14ac:dyDescent="0.25">
      <c r="A17" s="6">
        <v>1</v>
      </c>
      <c r="B17" s="39" t="s">
        <v>323</v>
      </c>
      <c r="C17" s="4">
        <v>8.5500000000000007</v>
      </c>
      <c r="D17" s="55">
        <v>-16310.87</v>
      </c>
      <c r="E17" s="6">
        <v>32678.59</v>
      </c>
      <c r="F17" s="6">
        <v>26090.92</v>
      </c>
      <c r="G17" s="6">
        <f>E17</f>
        <v>32678.59</v>
      </c>
      <c r="H17" s="39">
        <f>D17-E17+F17</f>
        <v>-22898.54</v>
      </c>
      <c r="I17" s="39">
        <f>H17</f>
        <v>-22898.54</v>
      </c>
    </row>
    <row r="18" spans="1:9" x14ac:dyDescent="0.25">
      <c r="A18" s="31" t="s">
        <v>38</v>
      </c>
      <c r="B18" s="8" t="s">
        <v>37</v>
      </c>
      <c r="C18" s="35">
        <v>3.08</v>
      </c>
      <c r="D18" s="36"/>
      <c r="E18" s="30">
        <f>E17*36%</f>
        <v>11764.2924</v>
      </c>
      <c r="F18" s="30">
        <f>F17*36%</f>
        <v>9392.7311999999984</v>
      </c>
      <c r="G18" s="30">
        <f t="shared" ref="G18:G23" si="0">E18</f>
        <v>11764.2924</v>
      </c>
      <c r="H18" s="10"/>
      <c r="I18" s="10"/>
    </row>
    <row r="19" spans="1:9" x14ac:dyDescent="0.25">
      <c r="A19" s="22" t="s">
        <v>40</v>
      </c>
      <c r="B19" s="5" t="s">
        <v>39</v>
      </c>
      <c r="C19" s="159">
        <v>1.51</v>
      </c>
      <c r="D19" s="53"/>
      <c r="E19" s="33">
        <f>E17*17.7%</f>
        <v>5784.1104299999997</v>
      </c>
      <c r="F19" s="33">
        <f>F17*17.7%</f>
        <v>4618.0928399999993</v>
      </c>
      <c r="G19" s="33">
        <f t="shared" si="0"/>
        <v>5784.1104299999997</v>
      </c>
      <c r="H19" s="39"/>
      <c r="I19" s="63"/>
    </row>
    <row r="20" spans="1:9" x14ac:dyDescent="0.25">
      <c r="A20" s="22" t="s">
        <v>42</v>
      </c>
      <c r="B20" s="5" t="s">
        <v>41</v>
      </c>
      <c r="C20" s="159">
        <v>1.36</v>
      </c>
      <c r="D20" s="53"/>
      <c r="E20" s="33">
        <f>E17*16%</f>
        <v>5228.5744000000004</v>
      </c>
      <c r="F20" s="33">
        <f>F17*16%</f>
        <v>4174.5472</v>
      </c>
      <c r="G20" s="33">
        <f t="shared" si="0"/>
        <v>5228.5744000000004</v>
      </c>
      <c r="H20" s="10"/>
      <c r="I20" s="63"/>
    </row>
    <row r="21" spans="1:9" x14ac:dyDescent="0.25">
      <c r="A21" s="22" t="s">
        <v>44</v>
      </c>
      <c r="B21" s="5" t="s">
        <v>43</v>
      </c>
      <c r="C21" s="159">
        <v>2.6</v>
      </c>
      <c r="D21" s="53"/>
      <c r="E21" s="33">
        <f>E17*30.3%</f>
        <v>9901.6127699999997</v>
      </c>
      <c r="F21" s="33">
        <f>F17*30.3%</f>
        <v>7905.5487599999997</v>
      </c>
      <c r="G21" s="33">
        <f t="shared" si="0"/>
        <v>9901.6127699999997</v>
      </c>
      <c r="H21" s="39"/>
      <c r="I21" s="63"/>
    </row>
    <row r="22" spans="1:9" x14ac:dyDescent="0.25">
      <c r="A22" s="22" t="s">
        <v>46</v>
      </c>
      <c r="B22" s="5" t="s">
        <v>47</v>
      </c>
      <c r="C22" s="159" t="s">
        <v>48</v>
      </c>
      <c r="D22" s="10">
        <v>-1752.43</v>
      </c>
      <c r="E22" s="9">
        <v>6986.22</v>
      </c>
      <c r="F22" s="8">
        <v>5843.89</v>
      </c>
      <c r="G22" s="9">
        <f t="shared" si="0"/>
        <v>6986.22</v>
      </c>
      <c r="H22" s="10">
        <f>D22-E22+F22</f>
        <v>-2894.7599999999993</v>
      </c>
      <c r="I22" s="10">
        <f>H22</f>
        <v>-2894.7599999999993</v>
      </c>
    </row>
    <row r="23" spans="1:9" x14ac:dyDescent="0.25">
      <c r="A23" s="31" t="s">
        <v>49</v>
      </c>
      <c r="B23" s="8" t="s">
        <v>50</v>
      </c>
      <c r="C23" s="35">
        <v>4.5999999999999996</v>
      </c>
      <c r="D23" s="36">
        <v>-7565.57</v>
      </c>
      <c r="E23" s="8">
        <v>19960.32</v>
      </c>
      <c r="F23" s="8">
        <v>16753.66</v>
      </c>
      <c r="G23" s="8">
        <f t="shared" si="0"/>
        <v>19960.32</v>
      </c>
      <c r="H23" s="10">
        <f>D23+E23-F23</f>
        <v>-4358.91</v>
      </c>
      <c r="I23" s="10">
        <f>H23</f>
        <v>-4358.91</v>
      </c>
    </row>
    <row r="24" spans="1:9" x14ac:dyDescent="0.25">
      <c r="A24" s="11" t="s">
        <v>51</v>
      </c>
      <c r="B24" s="11" t="s">
        <v>310</v>
      </c>
      <c r="C24" s="13">
        <v>1.65</v>
      </c>
      <c r="D24" s="10">
        <v>42842.92</v>
      </c>
      <c r="E24" s="17">
        <v>6304.92</v>
      </c>
      <c r="F24" s="17">
        <f>F25+F26</f>
        <v>-14648.04</v>
      </c>
      <c r="G24" s="17">
        <f>I47</f>
        <v>32924</v>
      </c>
      <c r="H24" s="39">
        <f>D24+F24-G24</f>
        <v>-4729.1200000000026</v>
      </c>
      <c r="I24" s="11">
        <f>H24</f>
        <v>-4729.1200000000026</v>
      </c>
    </row>
    <row r="25" spans="1:9" x14ac:dyDescent="0.25">
      <c r="A25" s="11"/>
      <c r="B25" s="17" t="s">
        <v>53</v>
      </c>
      <c r="C25" s="13"/>
      <c r="D25" s="14"/>
      <c r="E25" s="17"/>
      <c r="F25" s="17">
        <v>5085.28</v>
      </c>
      <c r="G25" s="17"/>
      <c r="H25" s="10"/>
      <c r="I25" s="11"/>
    </row>
    <row r="26" spans="1:9" x14ac:dyDescent="0.25">
      <c r="A26" s="11"/>
      <c r="B26" s="17" t="s">
        <v>367</v>
      </c>
      <c r="C26" s="13"/>
      <c r="D26" s="14"/>
      <c r="E26" s="17"/>
      <c r="F26" s="17">
        <f>F27</f>
        <v>-19733.32</v>
      </c>
      <c r="G26" s="17"/>
      <c r="H26" s="39"/>
      <c r="I26" s="11"/>
    </row>
    <row r="27" spans="1:9" x14ac:dyDescent="0.25">
      <c r="A27" s="11" t="s">
        <v>56</v>
      </c>
      <c r="B27" s="11" t="s">
        <v>458</v>
      </c>
      <c r="C27" s="61">
        <v>0</v>
      </c>
      <c r="D27" s="14">
        <v>-19733.32</v>
      </c>
      <c r="E27" s="17">
        <v>0</v>
      </c>
      <c r="F27" s="17">
        <f>F28</f>
        <v>-19733.32</v>
      </c>
      <c r="G27" s="17"/>
      <c r="H27" s="10">
        <f>D27+E27-F27</f>
        <v>0</v>
      </c>
      <c r="I27" s="11"/>
    </row>
    <row r="28" spans="1:9" x14ac:dyDescent="0.25">
      <c r="A28" s="17"/>
      <c r="B28" s="17" t="s">
        <v>58</v>
      </c>
      <c r="C28" s="61">
        <v>0</v>
      </c>
      <c r="D28" s="50"/>
      <c r="E28" s="17">
        <v>0</v>
      </c>
      <c r="F28" s="17">
        <v>-19733.32</v>
      </c>
      <c r="G28" s="17"/>
      <c r="H28" s="11"/>
      <c r="I28" s="11"/>
    </row>
    <row r="29" spans="1:9" x14ac:dyDescent="0.25">
      <c r="A29" s="43"/>
      <c r="B29" s="43"/>
      <c r="C29" s="43"/>
      <c r="D29" s="43"/>
      <c r="E29" s="43"/>
      <c r="F29" s="43"/>
      <c r="G29" s="43"/>
      <c r="H29" s="4"/>
      <c r="I29" s="4"/>
    </row>
    <row r="30" spans="1:9" x14ac:dyDescent="0.25">
      <c r="A30" s="1" t="s">
        <v>59</v>
      </c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 t="s">
        <v>459</v>
      </c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5" t="s">
        <v>72</v>
      </c>
      <c r="B35" s="54" t="s">
        <v>73</v>
      </c>
      <c r="C35" s="5" t="s">
        <v>74</v>
      </c>
      <c r="D35" s="5" t="s">
        <v>75</v>
      </c>
      <c r="E35" s="54" t="s">
        <v>76</v>
      </c>
      <c r="F35" s="5" t="s">
        <v>77</v>
      </c>
      <c r="G35" s="54" t="s">
        <v>78</v>
      </c>
      <c r="H35" s="5" t="s">
        <v>79</v>
      </c>
      <c r="I35" s="5" t="s">
        <v>19</v>
      </c>
    </row>
    <row r="36" spans="1:9" x14ac:dyDescent="0.25">
      <c r="A36" s="6"/>
      <c r="B36" s="43" t="s">
        <v>80</v>
      </c>
      <c r="C36" s="6" t="s">
        <v>81</v>
      </c>
      <c r="D36" s="6" t="s">
        <v>82</v>
      </c>
      <c r="E36" s="43" t="s">
        <v>83</v>
      </c>
      <c r="F36" s="6" t="s">
        <v>84</v>
      </c>
      <c r="G36" s="43" t="s">
        <v>85</v>
      </c>
      <c r="H36" s="6" t="s">
        <v>86</v>
      </c>
      <c r="I36" s="6" t="s">
        <v>87</v>
      </c>
    </row>
    <row r="37" spans="1:9" x14ac:dyDescent="0.25">
      <c r="A37" s="17"/>
      <c r="B37" s="61"/>
      <c r="C37" s="17"/>
      <c r="D37" s="17"/>
      <c r="E37" s="61"/>
      <c r="F37" s="17" t="s">
        <v>88</v>
      </c>
      <c r="G37" s="61" t="s">
        <v>89</v>
      </c>
      <c r="H37" s="17"/>
      <c r="I37" s="17" t="s">
        <v>30</v>
      </c>
    </row>
    <row r="38" spans="1:9" x14ac:dyDescent="0.25">
      <c r="A38" s="17">
        <v>1</v>
      </c>
      <c r="B38" s="61" t="s">
        <v>91</v>
      </c>
      <c r="C38" s="11" t="s">
        <v>92</v>
      </c>
      <c r="D38" s="17">
        <v>-21727.439999999999</v>
      </c>
      <c r="E38" s="61">
        <v>55737.3</v>
      </c>
      <c r="F38" s="17">
        <v>50637.36</v>
      </c>
      <c r="G38" s="61">
        <f>E38</f>
        <v>55737.3</v>
      </c>
      <c r="H38" s="17">
        <f>D38+F38-G38</f>
        <v>-26827.38</v>
      </c>
      <c r="I38" s="17">
        <f>H38</f>
        <v>-26827.38</v>
      </c>
    </row>
    <row r="39" spans="1:9" x14ac:dyDescent="0.25">
      <c r="A39" s="9"/>
      <c r="B39" s="8" t="s">
        <v>93</v>
      </c>
      <c r="C39" s="10" t="s">
        <v>94</v>
      </c>
      <c r="D39" s="9"/>
      <c r="E39" s="8"/>
      <c r="F39" s="9"/>
      <c r="G39" s="8"/>
      <c r="H39" s="8"/>
      <c r="I39" s="9"/>
    </row>
    <row r="40" spans="1:9" x14ac:dyDescent="0.25">
      <c r="A40" s="1"/>
      <c r="B40" s="1" t="s">
        <v>460</v>
      </c>
      <c r="C40" s="1"/>
      <c r="D40" s="1"/>
      <c r="E40" s="1"/>
      <c r="F40" s="1"/>
      <c r="G40" s="1"/>
      <c r="H40" s="1"/>
      <c r="I40" s="1"/>
    </row>
    <row r="41" spans="1:9" x14ac:dyDescent="0.25">
      <c r="A41" s="1" t="s">
        <v>461</v>
      </c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5" t="s">
        <v>12</v>
      </c>
      <c r="B42" s="54" t="s">
        <v>103</v>
      </c>
      <c r="C42" s="46" t="s">
        <v>104</v>
      </c>
      <c r="D42" s="54"/>
      <c r="E42" s="54"/>
      <c r="F42" s="54" t="s">
        <v>72</v>
      </c>
      <c r="G42" s="5" t="s">
        <v>105</v>
      </c>
      <c r="H42" s="5" t="s">
        <v>106</v>
      </c>
      <c r="I42" s="47" t="s">
        <v>107</v>
      </c>
    </row>
    <row r="43" spans="1:9" x14ac:dyDescent="0.25">
      <c r="A43" s="6" t="s">
        <v>108</v>
      </c>
      <c r="B43" s="43"/>
      <c r="C43" s="49"/>
      <c r="D43" s="43"/>
      <c r="E43" s="43"/>
      <c r="F43" s="43"/>
      <c r="G43" s="6"/>
      <c r="H43" s="6"/>
      <c r="I43" s="56" t="s">
        <v>109</v>
      </c>
    </row>
    <row r="44" spans="1:9" x14ac:dyDescent="0.25">
      <c r="A44" s="17"/>
      <c r="B44" s="61"/>
      <c r="C44" s="50"/>
      <c r="D44" s="61"/>
      <c r="E44" s="61"/>
      <c r="F44" s="61"/>
      <c r="G44" s="17"/>
      <c r="H44" s="17"/>
      <c r="I44" s="51"/>
    </row>
    <row r="45" spans="1:9" x14ac:dyDescent="0.25">
      <c r="A45" s="5"/>
      <c r="B45" s="54"/>
      <c r="C45" s="46" t="s">
        <v>110</v>
      </c>
      <c r="D45" s="54"/>
      <c r="E45" s="54"/>
      <c r="F45" s="54"/>
      <c r="G45" s="5"/>
      <c r="H45" s="5"/>
      <c r="I45" s="47"/>
    </row>
    <row r="46" spans="1:9" x14ac:dyDescent="0.25">
      <c r="A46" s="6">
        <v>1</v>
      </c>
      <c r="B46" s="69">
        <v>43381</v>
      </c>
      <c r="C46" s="49" t="s">
        <v>462</v>
      </c>
      <c r="D46" s="43"/>
      <c r="E46" s="43"/>
      <c r="F46" s="43" t="s">
        <v>72</v>
      </c>
      <c r="G46" s="6" t="s">
        <v>205</v>
      </c>
      <c r="H46" s="6">
        <v>2</v>
      </c>
      <c r="I46" s="56">
        <v>32924</v>
      </c>
    </row>
    <row r="47" spans="1:9" x14ac:dyDescent="0.25">
      <c r="A47" s="17"/>
      <c r="B47" s="61"/>
      <c r="C47" s="50" t="s">
        <v>117</v>
      </c>
      <c r="D47" s="61"/>
      <c r="E47" s="61"/>
      <c r="F47" s="61"/>
      <c r="G47" s="17" t="s">
        <v>72</v>
      </c>
      <c r="H47" s="17"/>
      <c r="I47" s="67">
        <f>SUM(I45:I46)</f>
        <v>32924</v>
      </c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43"/>
      <c r="B52" s="43"/>
      <c r="C52" s="43"/>
      <c r="D52" s="43"/>
      <c r="E52" s="43"/>
      <c r="F52" s="43"/>
      <c r="G52" s="43"/>
      <c r="H52" s="43"/>
      <c r="I52" s="43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 t="s">
        <v>463</v>
      </c>
      <c r="B54" s="2"/>
      <c r="C54" s="2" t="s">
        <v>464</v>
      </c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</sheetData>
  <pageMargins left="0.7" right="0.7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16" workbookViewId="0">
      <selection activeCell="C23" sqref="C23"/>
    </sheetView>
  </sheetViews>
  <sheetFormatPr defaultRowHeight="15" x14ac:dyDescent="0.25"/>
  <cols>
    <col min="1" max="1" width="5" customWidth="1"/>
    <col min="2" max="2" width="33.28515625" customWidth="1"/>
    <col min="3" max="3" width="14.140625" customWidth="1"/>
    <col min="5" max="5" width="10.7109375" customWidth="1"/>
    <col min="6" max="6" width="11.140625" customWidth="1"/>
    <col min="8" max="8" width="12.5703125" customWidth="1"/>
    <col min="9" max="9" width="21.140625" customWidth="1"/>
  </cols>
  <sheetData>
    <row r="1" spans="1:9" x14ac:dyDescent="0.25">
      <c r="A1" s="1" t="s">
        <v>465</v>
      </c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1"/>
      <c r="D4" s="1"/>
      <c r="E4" s="1"/>
      <c r="F4" s="1"/>
      <c r="G4" s="1"/>
      <c r="H4" s="1"/>
      <c r="I4" s="1"/>
    </row>
    <row r="5" spans="1:9" x14ac:dyDescent="0.25">
      <c r="A5" s="1" t="s">
        <v>466</v>
      </c>
      <c r="B5" s="1"/>
      <c r="C5" s="1"/>
      <c r="D5" s="1"/>
      <c r="E5" s="1"/>
      <c r="F5" s="1"/>
      <c r="G5" s="2"/>
      <c r="H5" s="2"/>
      <c r="I5" s="2"/>
    </row>
    <row r="6" spans="1:9" x14ac:dyDescent="0.25">
      <c r="A6" s="2" t="s">
        <v>467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468</v>
      </c>
      <c r="B7" s="2"/>
      <c r="C7" s="2"/>
      <c r="D7" s="2"/>
      <c r="E7" s="1"/>
      <c r="F7" s="2"/>
      <c r="G7" s="2"/>
      <c r="H7" s="2"/>
      <c r="I7" s="2"/>
    </row>
    <row r="8" spans="1:9" x14ac:dyDescent="0.25">
      <c r="A8" s="2" t="s">
        <v>469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470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5" t="s">
        <v>12</v>
      </c>
      <c r="B11" s="5" t="s">
        <v>13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15</v>
      </c>
      <c r="I11" s="5" t="s">
        <v>19</v>
      </c>
    </row>
    <row r="12" spans="1:9" x14ac:dyDescent="0.25">
      <c r="A12" s="6" t="s">
        <v>20</v>
      </c>
      <c r="B12" s="6"/>
      <c r="C12" s="6" t="s">
        <v>130</v>
      </c>
      <c r="D12" s="6" t="s">
        <v>22</v>
      </c>
      <c r="E12" s="6" t="s">
        <v>23</v>
      </c>
      <c r="F12" s="6" t="s">
        <v>23</v>
      </c>
      <c r="G12" s="6" t="s">
        <v>24</v>
      </c>
      <c r="H12" s="6" t="s">
        <v>25</v>
      </c>
      <c r="I12" s="6" t="s">
        <v>132</v>
      </c>
    </row>
    <row r="13" spans="1:9" x14ac:dyDescent="0.25">
      <c r="A13" s="6"/>
      <c r="B13" s="6"/>
      <c r="C13" s="6" t="s">
        <v>27</v>
      </c>
      <c r="D13" s="6" t="s">
        <v>28</v>
      </c>
      <c r="E13" s="6"/>
      <c r="F13" s="6"/>
      <c r="G13" s="6" t="s">
        <v>29</v>
      </c>
      <c r="H13" s="6" t="s">
        <v>30</v>
      </c>
      <c r="I13" s="6" t="s">
        <v>134</v>
      </c>
    </row>
    <row r="14" spans="1:9" x14ac:dyDescent="0.25">
      <c r="A14" s="6"/>
      <c r="B14" s="6"/>
      <c r="C14" s="6" t="s">
        <v>308</v>
      </c>
      <c r="D14" s="6" t="s">
        <v>33</v>
      </c>
      <c r="E14" s="6" t="s">
        <v>33</v>
      </c>
      <c r="F14" s="6" t="s">
        <v>33</v>
      </c>
      <c r="G14" s="6" t="s">
        <v>33</v>
      </c>
      <c r="H14" s="6" t="s">
        <v>33</v>
      </c>
      <c r="I14" s="6" t="s">
        <v>34</v>
      </c>
    </row>
    <row r="15" spans="1:9" x14ac:dyDescent="0.25">
      <c r="A15" s="7">
        <v>1</v>
      </c>
      <c r="B15" s="8">
        <v>2</v>
      </c>
      <c r="C15" s="9">
        <v>3</v>
      </c>
      <c r="D15" s="8">
        <v>4</v>
      </c>
      <c r="E15" s="9">
        <v>5</v>
      </c>
      <c r="F15" s="8">
        <v>6</v>
      </c>
      <c r="G15" s="9">
        <v>7</v>
      </c>
      <c r="H15" s="8">
        <v>8</v>
      </c>
      <c r="I15" s="8">
        <v>9</v>
      </c>
    </row>
    <row r="16" spans="1:9" x14ac:dyDescent="0.25">
      <c r="A16" s="14">
        <v>1</v>
      </c>
      <c r="B16" s="13" t="s">
        <v>471</v>
      </c>
      <c r="C16" s="10">
        <v>8.9600000000000009</v>
      </c>
      <c r="D16" s="38">
        <v>-20348.61</v>
      </c>
      <c r="E16" s="11">
        <v>274767.24</v>
      </c>
      <c r="F16" s="13">
        <v>255886.27</v>
      </c>
      <c r="G16" s="11">
        <f>E16</f>
        <v>274767.24</v>
      </c>
      <c r="H16" s="16">
        <f>D16+F16-G16</f>
        <v>-39229.580000000016</v>
      </c>
      <c r="I16" s="12">
        <f>H16</f>
        <v>-39229.580000000016</v>
      </c>
    </row>
    <row r="17" spans="1:9" x14ac:dyDescent="0.25">
      <c r="A17" s="66" t="s">
        <v>138</v>
      </c>
      <c r="B17" s="17" t="s">
        <v>37</v>
      </c>
      <c r="C17" s="61">
        <v>3.08</v>
      </c>
      <c r="D17" s="20"/>
      <c r="E17" s="187">
        <f>E16*34.4%</f>
        <v>94519.930559999993</v>
      </c>
      <c r="F17" s="21">
        <f>16:16*34.4%</f>
        <v>88024.876879999996</v>
      </c>
      <c r="G17" s="21">
        <f t="shared" ref="G17:G25" si="0">E17</f>
        <v>94519.930559999993</v>
      </c>
      <c r="H17" s="20"/>
      <c r="I17" s="21"/>
    </row>
    <row r="18" spans="1:9" x14ac:dyDescent="0.25">
      <c r="A18" s="22" t="s">
        <v>38</v>
      </c>
      <c r="B18" s="5" t="s">
        <v>39</v>
      </c>
      <c r="C18" s="54">
        <v>1.47</v>
      </c>
      <c r="D18" s="25"/>
      <c r="E18" s="33">
        <f>E16*16.4%</f>
        <v>45061.827359999996</v>
      </c>
      <c r="F18" s="33">
        <f>F16*16.4%</f>
        <v>41965.348279999991</v>
      </c>
      <c r="G18" s="33">
        <f t="shared" si="0"/>
        <v>45061.827359999996</v>
      </c>
      <c r="H18" s="25"/>
      <c r="I18" s="33"/>
    </row>
    <row r="19" spans="1:9" x14ac:dyDescent="0.25">
      <c r="A19" s="22" t="s">
        <v>40</v>
      </c>
      <c r="B19" s="5" t="s">
        <v>41</v>
      </c>
      <c r="C19" s="54">
        <v>1.81</v>
      </c>
      <c r="D19" s="234"/>
      <c r="E19" s="33">
        <f>E16*20.2%</f>
        <v>55502.982479999991</v>
      </c>
      <c r="F19" s="33">
        <f>F16*20.2%</f>
        <v>51689.026539999992</v>
      </c>
      <c r="G19" s="33">
        <f t="shared" si="0"/>
        <v>55502.982479999991</v>
      </c>
      <c r="H19" s="234"/>
      <c r="I19" s="33"/>
    </row>
    <row r="20" spans="1:9" x14ac:dyDescent="0.25">
      <c r="A20" s="31" t="s">
        <v>42</v>
      </c>
      <c r="B20" s="8" t="s">
        <v>43</v>
      </c>
      <c r="C20" s="9">
        <v>2.6</v>
      </c>
      <c r="D20" s="29"/>
      <c r="E20" s="30">
        <f>E16*29%</f>
        <v>79682.499599999996</v>
      </c>
      <c r="F20" s="30">
        <f>F16*29%</f>
        <v>74207.018299999996</v>
      </c>
      <c r="G20" s="30">
        <f t="shared" si="0"/>
        <v>79682.499599999996</v>
      </c>
      <c r="H20" s="29"/>
      <c r="I20" s="30"/>
    </row>
    <row r="21" spans="1:9" x14ac:dyDescent="0.25">
      <c r="A21" s="66" t="s">
        <v>44</v>
      </c>
      <c r="B21" s="17" t="s">
        <v>418</v>
      </c>
      <c r="C21" s="13">
        <v>1755.25</v>
      </c>
      <c r="D21" s="20">
        <v>1059.9100000000001</v>
      </c>
      <c r="E21" s="21">
        <v>12832.14</v>
      </c>
      <c r="F21" s="21">
        <v>12045.08</v>
      </c>
      <c r="G21" s="29">
        <f>E21</f>
        <v>12832.14</v>
      </c>
      <c r="H21" s="29">
        <f>D21+F21-E21</f>
        <v>272.85000000000036</v>
      </c>
      <c r="I21" s="30"/>
    </row>
    <row r="22" spans="1:9" x14ac:dyDescent="0.25">
      <c r="A22" s="66" t="s">
        <v>46</v>
      </c>
      <c r="B22" s="17" t="s">
        <v>47</v>
      </c>
      <c r="C22" s="13" t="s">
        <v>48</v>
      </c>
      <c r="D22" s="29">
        <v>-12856.49</v>
      </c>
      <c r="E22" s="8">
        <v>75573.3</v>
      </c>
      <c r="F22" s="8">
        <v>69908.820000000007</v>
      </c>
      <c r="G22" s="9">
        <f>E22</f>
        <v>75573.3</v>
      </c>
      <c r="H22" s="30">
        <f>D22+F22-E22</f>
        <v>-18520.969999999994</v>
      </c>
      <c r="I22" s="10">
        <f>H22</f>
        <v>-18520.969999999994</v>
      </c>
    </row>
    <row r="23" spans="1:9" x14ac:dyDescent="0.25">
      <c r="A23" s="66" t="s">
        <v>472</v>
      </c>
      <c r="B23" s="17" t="s">
        <v>473</v>
      </c>
      <c r="C23" s="13" t="s">
        <v>474</v>
      </c>
      <c r="D23" s="30"/>
      <c r="E23" s="17">
        <v>26280</v>
      </c>
      <c r="F23" s="17">
        <v>21259.119999999999</v>
      </c>
      <c r="G23" s="7">
        <v>26280</v>
      </c>
      <c r="H23" s="7">
        <f>F23-E23</f>
        <v>-5020.880000000001</v>
      </c>
      <c r="I23" s="10">
        <f>H23</f>
        <v>-5020.880000000001</v>
      </c>
    </row>
    <row r="24" spans="1:9" x14ac:dyDescent="0.25">
      <c r="A24" s="11" t="s">
        <v>49</v>
      </c>
      <c r="B24" s="11" t="s">
        <v>140</v>
      </c>
      <c r="C24" s="13">
        <v>3.43</v>
      </c>
      <c r="D24" s="41">
        <v>-24172.3</v>
      </c>
      <c r="E24" s="204">
        <v>104341.11</v>
      </c>
      <c r="F24" s="16">
        <v>97278.66</v>
      </c>
      <c r="G24" s="165">
        <f>E24</f>
        <v>104341.11</v>
      </c>
      <c r="H24" s="15">
        <f>D24+F24-G24</f>
        <v>-31234.75</v>
      </c>
      <c r="I24" s="41">
        <f>H24</f>
        <v>-31234.75</v>
      </c>
    </row>
    <row r="25" spans="1:9" x14ac:dyDescent="0.25">
      <c r="A25" s="10" t="s">
        <v>51</v>
      </c>
      <c r="B25" s="10" t="s">
        <v>50</v>
      </c>
      <c r="C25" s="10">
        <v>4.5999999999999996</v>
      </c>
      <c r="D25" s="38">
        <v>-13785.43</v>
      </c>
      <c r="E25" s="10">
        <v>141063.6</v>
      </c>
      <c r="F25" s="10">
        <v>129809.06</v>
      </c>
      <c r="G25" s="35">
        <f t="shared" si="0"/>
        <v>141063.6</v>
      </c>
      <c r="H25" s="37">
        <f>D25+F25-G25</f>
        <v>-25039.97</v>
      </c>
      <c r="I25" s="38">
        <f>H25</f>
        <v>-25039.97</v>
      </c>
    </row>
    <row r="26" spans="1:9" x14ac:dyDescent="0.25">
      <c r="A26" s="11" t="s">
        <v>56</v>
      </c>
      <c r="B26" s="11" t="s">
        <v>52</v>
      </c>
      <c r="C26" s="13">
        <v>1.82</v>
      </c>
      <c r="D26" s="10">
        <v>-31169.25</v>
      </c>
      <c r="E26" s="10">
        <v>55812.6</v>
      </c>
      <c r="F26" s="10">
        <f>F27+F28+F29</f>
        <v>147859.06</v>
      </c>
      <c r="G26" s="11">
        <f>I58</f>
        <v>33919.82</v>
      </c>
      <c r="H26" s="10">
        <f>D26+F26-G26</f>
        <v>82769.989999999991</v>
      </c>
      <c r="I26" s="38"/>
    </row>
    <row r="27" spans="1:9" x14ac:dyDescent="0.25">
      <c r="A27" s="39"/>
      <c r="B27" s="5" t="s">
        <v>53</v>
      </c>
      <c r="C27" s="4"/>
      <c r="D27" s="14"/>
      <c r="E27" s="17"/>
      <c r="F27" s="17">
        <v>52721.120000000003</v>
      </c>
      <c r="G27" s="2">
        <f>I58</f>
        <v>33919.82</v>
      </c>
      <c r="H27" s="14"/>
      <c r="I27" s="41"/>
    </row>
    <row r="28" spans="1:9" x14ac:dyDescent="0.25">
      <c r="A28" s="10"/>
      <c r="B28" s="8" t="s">
        <v>54</v>
      </c>
      <c r="C28" s="35"/>
      <c r="D28" s="36"/>
      <c r="E28" s="8"/>
      <c r="F28" s="8">
        <v>2036.11</v>
      </c>
      <c r="G28" s="9">
        <v>0</v>
      </c>
      <c r="H28" s="36"/>
      <c r="I28" s="38"/>
    </row>
    <row r="29" spans="1:9" x14ac:dyDescent="0.25">
      <c r="A29" s="11"/>
      <c r="B29" s="17" t="s">
        <v>143</v>
      </c>
      <c r="C29" s="36"/>
      <c r="D29" s="36"/>
      <c r="E29" s="8"/>
      <c r="F29" s="8">
        <v>93101.83</v>
      </c>
      <c r="G29" s="9"/>
      <c r="H29" s="36"/>
      <c r="I29" s="38"/>
    </row>
    <row r="30" spans="1:9" x14ac:dyDescent="0.25">
      <c r="A30" s="11" t="s">
        <v>60</v>
      </c>
      <c r="B30" s="11" t="s">
        <v>475</v>
      </c>
      <c r="C30" s="10">
        <v>0</v>
      </c>
      <c r="D30" s="36">
        <v>93101.68</v>
      </c>
      <c r="E30" s="10">
        <v>0</v>
      </c>
      <c r="F30" s="10">
        <v>-93101.83</v>
      </c>
      <c r="G30" s="35">
        <f>G31</f>
        <v>0</v>
      </c>
      <c r="H30" s="36">
        <v>0</v>
      </c>
      <c r="I30" s="38"/>
    </row>
    <row r="31" spans="1:9" x14ac:dyDescent="0.25">
      <c r="A31" s="6"/>
      <c r="B31" s="17" t="s">
        <v>142</v>
      </c>
      <c r="C31" s="43"/>
      <c r="D31" s="7"/>
      <c r="E31" s="8"/>
      <c r="F31" s="8">
        <v>0.15</v>
      </c>
      <c r="G31" s="9">
        <f>I60</f>
        <v>0</v>
      </c>
      <c r="H31" s="7"/>
      <c r="I31" s="30"/>
    </row>
    <row r="32" spans="1:9" x14ac:dyDescent="0.25">
      <c r="A32" s="8"/>
      <c r="B32" s="8" t="s">
        <v>58</v>
      </c>
      <c r="C32" s="9">
        <v>0</v>
      </c>
      <c r="D32" s="7"/>
      <c r="E32" s="8"/>
      <c r="F32" s="8">
        <f>D30+F31</f>
        <v>93101.829999999987</v>
      </c>
      <c r="G32" s="9">
        <v>0</v>
      </c>
      <c r="H32" s="7"/>
      <c r="I32" s="21"/>
    </row>
    <row r="33" spans="1:9" x14ac:dyDescent="0.25">
      <c r="A33" s="1" t="s">
        <v>59</v>
      </c>
      <c r="B33" s="1"/>
      <c r="C33" s="1"/>
      <c r="D33" s="239"/>
      <c r="E33" s="240"/>
      <c r="F33" s="241"/>
      <c r="G33" s="200"/>
      <c r="H33" s="200"/>
      <c r="I33" s="2"/>
    </row>
    <row r="34" spans="1:9" x14ac:dyDescent="0.25">
      <c r="A34" s="53" t="s">
        <v>355</v>
      </c>
      <c r="B34" s="46" t="s">
        <v>61</v>
      </c>
      <c r="C34" s="8" t="s">
        <v>62</v>
      </c>
      <c r="D34" s="8" t="s">
        <v>63</v>
      </c>
      <c r="E34" s="8" t="s">
        <v>476</v>
      </c>
      <c r="F34" s="8" t="s">
        <v>65</v>
      </c>
      <c r="G34" s="48"/>
      <c r="H34" s="7" t="s">
        <v>195</v>
      </c>
      <c r="I34" s="48"/>
    </row>
    <row r="35" spans="1:9" x14ac:dyDescent="0.25">
      <c r="A35" s="55"/>
      <c r="B35" s="49"/>
      <c r="C35" s="8" t="s">
        <v>67</v>
      </c>
      <c r="D35" s="48" t="s">
        <v>23</v>
      </c>
      <c r="E35" s="8" t="s">
        <v>312</v>
      </c>
      <c r="F35" s="8" t="s">
        <v>30</v>
      </c>
      <c r="G35" s="48"/>
      <c r="H35" s="61"/>
      <c r="I35" s="51"/>
    </row>
    <row r="36" spans="1:9" x14ac:dyDescent="0.25">
      <c r="A36" s="50"/>
      <c r="B36" s="50" t="s">
        <v>477</v>
      </c>
      <c r="C36" s="8">
        <v>15620.55</v>
      </c>
      <c r="D36" s="48">
        <v>6000</v>
      </c>
      <c r="E36" s="30">
        <f>D36*15%</f>
        <v>900</v>
      </c>
      <c r="F36" s="30">
        <f>C36+(D36-E36)</f>
        <v>20720.55</v>
      </c>
      <c r="G36" s="27"/>
      <c r="H36" s="162">
        <f>F36-G36</f>
        <v>20720.55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55"/>
      <c r="C40" s="6"/>
      <c r="D40" s="43"/>
      <c r="E40" s="6"/>
      <c r="F40" s="43" t="s">
        <v>88</v>
      </c>
      <c r="G40" s="6" t="s">
        <v>89</v>
      </c>
      <c r="H40" s="6"/>
      <c r="I40" s="6" t="s">
        <v>30</v>
      </c>
    </row>
    <row r="41" spans="1:9" x14ac:dyDescent="0.25">
      <c r="A41" s="8"/>
      <c r="B41" s="7"/>
      <c r="C41" s="8"/>
      <c r="D41" s="9"/>
      <c r="E41" s="8"/>
      <c r="F41" s="8"/>
      <c r="G41" s="9"/>
      <c r="H41" s="8"/>
      <c r="I41" s="8"/>
    </row>
    <row r="42" spans="1:9" x14ac:dyDescent="0.25">
      <c r="A42" s="8">
        <v>1</v>
      </c>
      <c r="B42" s="6" t="s">
        <v>91</v>
      </c>
      <c r="C42" s="4" t="s">
        <v>92</v>
      </c>
      <c r="D42" s="6">
        <v>-45374.15</v>
      </c>
      <c r="E42" s="217">
        <v>165308.67000000001</v>
      </c>
      <c r="F42" s="6">
        <v>146991.04000000001</v>
      </c>
      <c r="G42" s="217">
        <f>E42</f>
        <v>165308.67000000001</v>
      </c>
      <c r="H42" s="6">
        <f>D42+F42-G42</f>
        <v>-63691.78</v>
      </c>
      <c r="I42" s="17">
        <f>H42</f>
        <v>-63691.78</v>
      </c>
    </row>
    <row r="43" spans="1:9" x14ac:dyDescent="0.25">
      <c r="A43" s="6"/>
      <c r="B43" s="8" t="s">
        <v>93</v>
      </c>
      <c r="C43" s="35" t="s">
        <v>94</v>
      </c>
      <c r="D43" s="8"/>
      <c r="E43" s="59"/>
      <c r="F43" s="8"/>
      <c r="G43" s="59"/>
      <c r="H43" s="8"/>
      <c r="I43" s="17"/>
    </row>
    <row r="44" spans="1:9" x14ac:dyDescent="0.25">
      <c r="A44" s="8">
        <v>2</v>
      </c>
      <c r="B44" s="6" t="s">
        <v>95</v>
      </c>
      <c r="C44" s="1" t="s">
        <v>96</v>
      </c>
      <c r="D44" s="17">
        <v>-117103.28</v>
      </c>
      <c r="E44" s="2">
        <v>248378.07</v>
      </c>
      <c r="F44" s="6">
        <v>209175.43</v>
      </c>
      <c r="G44" s="2">
        <f>E44</f>
        <v>248378.07</v>
      </c>
      <c r="H44" s="6">
        <f>D44-E44+F44</f>
        <v>-156305.91999999998</v>
      </c>
      <c r="I44" s="8">
        <f>H44</f>
        <v>-156305.91999999998</v>
      </c>
    </row>
    <row r="45" spans="1:9" x14ac:dyDescent="0.25">
      <c r="A45" s="8"/>
      <c r="B45" s="8" t="s">
        <v>97</v>
      </c>
      <c r="C45" s="35"/>
      <c r="D45" s="8" t="s">
        <v>72</v>
      </c>
      <c r="E45" s="9"/>
      <c r="F45" s="8"/>
      <c r="G45" s="9"/>
      <c r="H45" s="5" t="s">
        <v>72</v>
      </c>
      <c r="I45" s="8" t="str">
        <f>H45</f>
        <v xml:space="preserve"> </v>
      </c>
    </row>
    <row r="46" spans="1:9" x14ac:dyDescent="0.25">
      <c r="A46" s="48"/>
      <c r="B46" s="8" t="s">
        <v>198</v>
      </c>
      <c r="C46" s="35" t="s">
        <v>94</v>
      </c>
      <c r="D46" s="8"/>
      <c r="E46" s="9"/>
      <c r="F46" s="8"/>
      <c r="G46" s="9"/>
      <c r="H46" s="5"/>
      <c r="I46" s="8"/>
    </row>
    <row r="47" spans="1:9" x14ac:dyDescent="0.25">
      <c r="A47" s="48">
        <v>3</v>
      </c>
      <c r="B47" s="8" t="s">
        <v>99</v>
      </c>
      <c r="C47" s="35" t="s">
        <v>100</v>
      </c>
      <c r="D47" s="8">
        <v>-330147.36</v>
      </c>
      <c r="E47" s="9">
        <v>691680.22</v>
      </c>
      <c r="F47" s="8">
        <v>638107.02</v>
      </c>
      <c r="G47" s="9">
        <f>E47</f>
        <v>691680.22</v>
      </c>
      <c r="H47" s="8">
        <f>D47+F47-G47</f>
        <v>-383720.55999999994</v>
      </c>
      <c r="I47" s="8">
        <f>H47</f>
        <v>-383720.55999999994</v>
      </c>
    </row>
    <row r="48" spans="1:9" x14ac:dyDescent="0.25">
      <c r="A48" s="1" t="s">
        <v>251</v>
      </c>
      <c r="B48" s="43"/>
      <c r="C48" s="4"/>
      <c r="D48" s="43"/>
      <c r="E48" s="43"/>
      <c r="F48" s="43"/>
      <c r="G48" s="43"/>
      <c r="H48" s="43"/>
      <c r="I48" s="43"/>
    </row>
    <row r="49" spans="1:9" x14ac:dyDescent="0.25">
      <c r="A49" s="4" t="s">
        <v>252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46" t="s">
        <v>199</v>
      </c>
      <c r="H50" s="5" t="s">
        <v>200</v>
      </c>
      <c r="I50" s="47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49" t="s">
        <v>201</v>
      </c>
      <c r="H51" s="6"/>
      <c r="I51" s="56" t="s">
        <v>109</v>
      </c>
    </row>
    <row r="52" spans="1:9" x14ac:dyDescent="0.25">
      <c r="A52" s="49"/>
      <c r="B52" s="6"/>
      <c r="C52" s="49"/>
      <c r="D52" s="43"/>
      <c r="E52" s="43"/>
      <c r="F52" s="43"/>
      <c r="G52" s="49"/>
      <c r="H52" s="6"/>
      <c r="I52" s="56"/>
    </row>
    <row r="53" spans="1:9" x14ac:dyDescent="0.25">
      <c r="A53" s="242"/>
      <c r="B53" s="53"/>
      <c r="C53" s="53" t="s">
        <v>110</v>
      </c>
      <c r="D53" s="159"/>
      <c r="E53" s="159"/>
      <c r="F53" s="47"/>
      <c r="G53" s="54"/>
      <c r="H53" s="5"/>
      <c r="I53" s="47"/>
    </row>
    <row r="54" spans="1:9" x14ac:dyDescent="0.25">
      <c r="A54" s="236" t="s">
        <v>111</v>
      </c>
      <c r="B54" s="232">
        <v>43186</v>
      </c>
      <c r="C54" s="49" t="s">
        <v>112</v>
      </c>
      <c r="D54" s="43"/>
      <c r="E54" s="43"/>
      <c r="F54" s="56"/>
      <c r="G54" s="19" t="s">
        <v>390</v>
      </c>
      <c r="H54" s="6">
        <v>50</v>
      </c>
      <c r="I54" s="56">
        <v>10000</v>
      </c>
    </row>
    <row r="55" spans="1:9" x14ac:dyDescent="0.25">
      <c r="A55" s="236" t="s">
        <v>114</v>
      </c>
      <c r="B55" s="232">
        <v>43404</v>
      </c>
      <c r="C55" s="49" t="s">
        <v>112</v>
      </c>
      <c r="D55" s="43"/>
      <c r="E55" s="43"/>
      <c r="F55" s="56"/>
      <c r="G55" s="19" t="s">
        <v>116</v>
      </c>
      <c r="H55" s="6">
        <v>50</v>
      </c>
      <c r="I55" s="56">
        <v>10000</v>
      </c>
    </row>
    <row r="56" spans="1:9" x14ac:dyDescent="0.25">
      <c r="A56" s="236" t="s">
        <v>170</v>
      </c>
      <c r="B56" s="232">
        <v>43462</v>
      </c>
      <c r="C56" s="49" t="s">
        <v>478</v>
      </c>
      <c r="D56" s="43"/>
      <c r="E56" s="43"/>
      <c r="F56" s="56"/>
      <c r="G56" s="19" t="s">
        <v>205</v>
      </c>
      <c r="H56" s="6">
        <v>1</v>
      </c>
      <c r="I56" s="56">
        <v>5669.82</v>
      </c>
    </row>
    <row r="57" spans="1:9" x14ac:dyDescent="0.25">
      <c r="A57" s="236" t="s">
        <v>173</v>
      </c>
      <c r="B57" s="232" t="s">
        <v>29</v>
      </c>
      <c r="C57" s="49" t="s">
        <v>392</v>
      </c>
      <c r="D57" s="43"/>
      <c r="E57" s="43"/>
      <c r="F57" s="56"/>
      <c r="G57" s="19" t="s">
        <v>172</v>
      </c>
      <c r="H57" s="6">
        <v>1</v>
      </c>
      <c r="I57" s="56">
        <v>8250</v>
      </c>
    </row>
    <row r="58" spans="1:9" x14ac:dyDescent="0.25">
      <c r="A58" s="237"/>
      <c r="B58" s="50"/>
      <c r="C58" s="14" t="s">
        <v>117</v>
      </c>
      <c r="D58" s="13"/>
      <c r="E58" s="13"/>
      <c r="F58" s="67"/>
      <c r="G58" s="161"/>
      <c r="H58" s="11"/>
      <c r="I58" s="67">
        <f>SUM(I53:I57)</f>
        <v>33919.82</v>
      </c>
    </row>
    <row r="59" spans="1:9" x14ac:dyDescent="0.25">
      <c r="A59" s="43"/>
      <c r="B59" s="166"/>
      <c r="C59" s="43"/>
      <c r="D59" s="43"/>
      <c r="E59" s="43"/>
      <c r="F59" s="43"/>
      <c r="G59" s="43"/>
      <c r="H59" s="43"/>
      <c r="I59" s="43"/>
    </row>
    <row r="60" spans="1:9" x14ac:dyDescent="0.25">
      <c r="A60" s="68"/>
      <c r="B60" s="43"/>
      <c r="C60" s="4"/>
      <c r="D60" s="4"/>
      <c r="E60" s="4"/>
      <c r="F60" s="4"/>
      <c r="G60" s="165"/>
      <c r="H60" s="4"/>
      <c r="I60" s="4"/>
    </row>
    <row r="61" spans="1:9" x14ac:dyDescent="0.25">
      <c r="A61" s="2" t="s">
        <v>479</v>
      </c>
      <c r="B61" s="43"/>
      <c r="C61" s="43"/>
      <c r="D61" s="189" t="s">
        <v>119</v>
      </c>
      <c r="E61" s="2" t="s">
        <v>120</v>
      </c>
      <c r="F61" s="2"/>
      <c r="G61" s="2" t="s">
        <v>264</v>
      </c>
      <c r="H61" s="2"/>
      <c r="I61" s="2" t="s">
        <v>265</v>
      </c>
    </row>
    <row r="62" spans="1:9" x14ac:dyDescent="0.25">
      <c r="A62" s="2"/>
      <c r="B62" s="2"/>
      <c r="C62" s="2"/>
    </row>
    <row r="63" spans="1:9" x14ac:dyDescent="0.25">
      <c r="B63" s="2"/>
    </row>
  </sheetData>
  <pageMargins left="0.7" right="0.7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22" workbookViewId="0">
      <selection activeCell="C27" sqref="C27"/>
    </sheetView>
  </sheetViews>
  <sheetFormatPr defaultRowHeight="15" x14ac:dyDescent="0.25"/>
  <cols>
    <col min="1" max="1" width="5.5703125" customWidth="1"/>
    <col min="2" max="2" width="31" customWidth="1"/>
    <col min="3" max="4" width="12.85546875" customWidth="1"/>
    <col min="5" max="5" width="11.85546875" customWidth="1"/>
    <col min="6" max="6" width="11.7109375" customWidth="1"/>
    <col min="8" max="8" width="11.28515625" customWidth="1"/>
    <col min="9" max="9" width="19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2"/>
      <c r="I6" s="2"/>
    </row>
    <row r="7" spans="1:9" x14ac:dyDescent="0.25">
      <c r="A7" s="1" t="s">
        <v>480</v>
      </c>
      <c r="B7" s="1"/>
      <c r="C7" s="1"/>
      <c r="D7" s="1"/>
      <c r="E7" s="2"/>
      <c r="F7" s="2"/>
      <c r="G7" s="2"/>
      <c r="H7" s="2"/>
      <c r="I7" s="2"/>
    </row>
    <row r="8" spans="1:9" x14ac:dyDescent="0.25">
      <c r="A8" s="2" t="s">
        <v>481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482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4" t="s">
        <v>11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483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484</v>
      </c>
    </row>
    <row r="17" spans="1:9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221</v>
      </c>
    </row>
    <row r="18" spans="1:9" x14ac:dyDescent="0.25">
      <c r="A18" s="9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53">
        <v>1</v>
      </c>
      <c r="B19" s="63" t="s">
        <v>186</v>
      </c>
      <c r="C19" s="63"/>
      <c r="D19" s="63"/>
      <c r="E19" s="203" t="s">
        <v>72</v>
      </c>
      <c r="F19" s="63" t="s">
        <v>72</v>
      </c>
      <c r="G19" s="63"/>
      <c r="H19" s="53" t="s">
        <v>72</v>
      </c>
      <c r="I19" s="160"/>
    </row>
    <row r="20" spans="1:9" x14ac:dyDescent="0.25">
      <c r="A20" s="14"/>
      <c r="B20" s="11" t="s">
        <v>187</v>
      </c>
      <c r="C20" s="11">
        <v>8.9600000000000009</v>
      </c>
      <c r="D20" s="16">
        <v>32400.38</v>
      </c>
      <c r="E20" s="12">
        <v>412215.53</v>
      </c>
      <c r="F20" s="13">
        <v>398305.97</v>
      </c>
      <c r="G20" s="16">
        <f>E20</f>
        <v>412215.53</v>
      </c>
      <c r="H20" s="15">
        <f>D20+F20-G20</f>
        <v>18490.819999999949</v>
      </c>
      <c r="I20" s="16"/>
    </row>
    <row r="21" spans="1:9" x14ac:dyDescent="0.25">
      <c r="A21" s="6" t="s">
        <v>36</v>
      </c>
      <c r="B21" s="17" t="s">
        <v>37</v>
      </c>
      <c r="C21" s="61">
        <v>3.08</v>
      </c>
      <c r="D21" s="21"/>
      <c r="E21" s="243">
        <f>E20*34.4%</f>
        <v>141802.14231999998</v>
      </c>
      <c r="F21" s="21">
        <f>F20*34.4%</f>
        <v>137017.25367999997</v>
      </c>
      <c r="G21" s="21">
        <f t="shared" ref="G21:G29" si="0">E21</f>
        <v>141802.14231999998</v>
      </c>
      <c r="H21" s="20"/>
      <c r="I21" s="21"/>
    </row>
    <row r="22" spans="1:9" x14ac:dyDescent="0.25">
      <c r="A22" s="22" t="s">
        <v>38</v>
      </c>
      <c r="B22" s="5" t="s">
        <v>39</v>
      </c>
      <c r="C22" s="54">
        <v>1.47</v>
      </c>
      <c r="D22" s="33"/>
      <c r="E22" s="24">
        <f>E20*16.4%</f>
        <v>67603.346919999996</v>
      </c>
      <c r="F22" s="33">
        <f>F20*16.4%</f>
        <v>65322.179079999987</v>
      </c>
      <c r="G22" s="33">
        <f t="shared" si="0"/>
        <v>67603.346919999996</v>
      </c>
      <c r="H22" s="25"/>
      <c r="I22" s="33"/>
    </row>
    <row r="23" spans="1:9" x14ac:dyDescent="0.25">
      <c r="A23" s="22" t="s">
        <v>40</v>
      </c>
      <c r="B23" s="5" t="s">
        <v>41</v>
      </c>
      <c r="C23" s="54">
        <v>1.81</v>
      </c>
      <c r="D23" s="33"/>
      <c r="E23" s="24">
        <f>E20*20.2%</f>
        <v>83267.537060000002</v>
      </c>
      <c r="F23" s="33">
        <f>F20*20.2%</f>
        <v>80457.805939999991</v>
      </c>
      <c r="G23" s="33">
        <f t="shared" si="0"/>
        <v>83267.537060000002</v>
      </c>
      <c r="H23" s="234"/>
      <c r="I23" s="33"/>
    </row>
    <row r="24" spans="1:9" x14ac:dyDescent="0.25">
      <c r="A24" s="22" t="s">
        <v>42</v>
      </c>
      <c r="B24" s="5" t="s">
        <v>43</v>
      </c>
      <c r="C24" s="54">
        <v>2.6</v>
      </c>
      <c r="D24" s="30"/>
      <c r="E24" s="24">
        <f>E20*29%</f>
        <v>119542.5037</v>
      </c>
      <c r="F24" s="33">
        <f>F20*29%</f>
        <v>115508.73129999998</v>
      </c>
      <c r="G24" s="30">
        <f t="shared" si="0"/>
        <v>119542.5037</v>
      </c>
      <c r="H24" s="25"/>
      <c r="I24" s="30"/>
    </row>
    <row r="25" spans="1:9" x14ac:dyDescent="0.25">
      <c r="A25" s="22" t="s">
        <v>44</v>
      </c>
      <c r="B25" s="5" t="s">
        <v>45</v>
      </c>
      <c r="C25" s="54">
        <v>1755.25</v>
      </c>
      <c r="D25" s="30">
        <v>1230.6099999999999</v>
      </c>
      <c r="E25" s="24">
        <v>12836.02</v>
      </c>
      <c r="F25" s="33">
        <v>12637.75</v>
      </c>
      <c r="G25" s="24">
        <f>E25</f>
        <v>12836.02</v>
      </c>
      <c r="H25" s="25">
        <f>D25+F25-E25</f>
        <v>1032.3400000000001</v>
      </c>
      <c r="I25" s="26"/>
    </row>
    <row r="26" spans="1:9" x14ac:dyDescent="0.25">
      <c r="A26" s="22" t="s">
        <v>46</v>
      </c>
      <c r="B26" s="5" t="s">
        <v>276</v>
      </c>
      <c r="C26" s="159" t="s">
        <v>48</v>
      </c>
      <c r="D26" s="30">
        <v>-15965.76</v>
      </c>
      <c r="E26" s="8">
        <v>115260.05</v>
      </c>
      <c r="F26" s="9">
        <v>115543.74</v>
      </c>
      <c r="G26" s="8">
        <f>E26</f>
        <v>115260.05</v>
      </c>
      <c r="H26" s="30">
        <f>D26+F26-E26</f>
        <v>-15682.069999999992</v>
      </c>
      <c r="I26" s="10">
        <f>H26</f>
        <v>-15682.069999999992</v>
      </c>
    </row>
    <row r="27" spans="1:9" x14ac:dyDescent="0.25">
      <c r="A27" s="22" t="s">
        <v>472</v>
      </c>
      <c r="B27" s="5" t="s">
        <v>473</v>
      </c>
      <c r="C27" s="159" t="s">
        <v>485</v>
      </c>
      <c r="D27" s="30"/>
      <c r="E27" s="7">
        <v>3600</v>
      </c>
      <c r="F27" s="8">
        <v>0</v>
      </c>
      <c r="G27" s="9">
        <v>0</v>
      </c>
      <c r="H27" s="7">
        <v>-3600</v>
      </c>
      <c r="I27" s="10">
        <v>-3600</v>
      </c>
    </row>
    <row r="28" spans="1:9" x14ac:dyDescent="0.25">
      <c r="A28" s="10" t="s">
        <v>49</v>
      </c>
      <c r="B28" s="10" t="s">
        <v>50</v>
      </c>
      <c r="C28" s="10">
        <v>4.5999999999999996</v>
      </c>
      <c r="D28" s="38">
        <v>-23307.64</v>
      </c>
      <c r="E28" s="35">
        <v>211628.52</v>
      </c>
      <c r="F28" s="10">
        <v>207118.07</v>
      </c>
      <c r="G28" s="35">
        <f t="shared" si="0"/>
        <v>211628.52</v>
      </c>
      <c r="H28" s="37">
        <f>D28+F28-G28</f>
        <v>-27818.089999999997</v>
      </c>
      <c r="I28" s="38">
        <f>H28</f>
        <v>-27818.089999999997</v>
      </c>
    </row>
    <row r="29" spans="1:9" x14ac:dyDescent="0.25">
      <c r="A29" s="10" t="s">
        <v>51</v>
      </c>
      <c r="B29" s="36" t="s">
        <v>140</v>
      </c>
      <c r="C29" s="10">
        <v>3.43</v>
      </c>
      <c r="D29" s="37">
        <v>-7493.7</v>
      </c>
      <c r="E29" s="244">
        <v>155693.99</v>
      </c>
      <c r="F29" s="193">
        <v>152466.12</v>
      </c>
      <c r="G29" s="38">
        <f t="shared" si="0"/>
        <v>155693.99</v>
      </c>
      <c r="H29" s="34">
        <f>D29+F29-G29</f>
        <v>-10721.570000000007</v>
      </c>
      <c r="I29" s="38">
        <f>H29</f>
        <v>-10721.570000000007</v>
      </c>
    </row>
    <row r="30" spans="1:9" x14ac:dyDescent="0.25">
      <c r="A30" s="11" t="s">
        <v>56</v>
      </c>
      <c r="B30" s="11" t="s">
        <v>310</v>
      </c>
      <c r="C30" s="13">
        <v>1.82</v>
      </c>
      <c r="D30" s="14">
        <v>218027.48</v>
      </c>
      <c r="E30" s="11">
        <v>83730.75</v>
      </c>
      <c r="F30" s="11">
        <v>81903.990000000005</v>
      </c>
      <c r="G30" s="11">
        <f>I62</f>
        <v>58227.47</v>
      </c>
      <c r="H30" s="14">
        <f>D30+F30-G30</f>
        <v>241704.00000000003</v>
      </c>
      <c r="I30" s="41"/>
    </row>
    <row r="31" spans="1:9" x14ac:dyDescent="0.25">
      <c r="A31" s="10" t="s">
        <v>60</v>
      </c>
      <c r="B31" s="10" t="s">
        <v>399</v>
      </c>
      <c r="C31" s="38">
        <v>0</v>
      </c>
      <c r="D31" s="36">
        <v>148881.26999999999</v>
      </c>
      <c r="E31" s="10">
        <f>E32</f>
        <v>0</v>
      </c>
      <c r="F31" s="10">
        <f>F32</f>
        <v>0.02</v>
      </c>
      <c r="G31" s="42">
        <v>0</v>
      </c>
      <c r="H31" s="36">
        <f>D31+F31-G31</f>
        <v>148881.28999999998</v>
      </c>
      <c r="I31" s="38"/>
    </row>
    <row r="32" spans="1:9" x14ac:dyDescent="0.25">
      <c r="A32" s="8"/>
      <c r="B32" s="8" t="s">
        <v>53</v>
      </c>
      <c r="C32" s="28">
        <v>0</v>
      </c>
      <c r="D32" s="8"/>
      <c r="E32" s="35">
        <v>0</v>
      </c>
      <c r="F32" s="10">
        <v>0.02</v>
      </c>
      <c r="G32" s="9">
        <f>I64</f>
        <v>0</v>
      </c>
      <c r="H32" s="7"/>
      <c r="I32" s="30"/>
    </row>
    <row r="33" spans="1:9" x14ac:dyDescent="0.25">
      <c r="A33" s="1" t="s">
        <v>59</v>
      </c>
      <c r="B33" s="1"/>
      <c r="C33" s="1"/>
      <c r="D33" s="45"/>
      <c r="E33" s="1"/>
      <c r="F33" s="43"/>
      <c r="G33" s="43"/>
      <c r="H33" s="43"/>
      <c r="I33" s="19"/>
    </row>
    <row r="34" spans="1:9" x14ac:dyDescent="0.25">
      <c r="A34" s="1"/>
      <c r="B34" s="1"/>
      <c r="C34" s="1"/>
      <c r="D34" s="45"/>
      <c r="E34" s="1"/>
      <c r="F34" s="43"/>
      <c r="G34" s="43"/>
      <c r="H34" s="43"/>
      <c r="I34" s="19"/>
    </row>
    <row r="35" spans="1:9" x14ac:dyDescent="0.25">
      <c r="A35" s="53" t="s">
        <v>355</v>
      </c>
      <c r="B35" s="46" t="s">
        <v>61</v>
      </c>
      <c r="C35" s="8" t="s">
        <v>486</v>
      </c>
      <c r="D35" s="8" t="s">
        <v>63</v>
      </c>
      <c r="E35" s="8" t="s">
        <v>64</v>
      </c>
      <c r="F35" s="7" t="s">
        <v>356</v>
      </c>
      <c r="G35" s="8"/>
      <c r="H35" s="9" t="s">
        <v>195</v>
      </c>
      <c r="I35" s="48"/>
    </row>
    <row r="36" spans="1:9" x14ac:dyDescent="0.25">
      <c r="A36" s="55"/>
      <c r="B36" s="49"/>
      <c r="C36" s="8" t="s">
        <v>67</v>
      </c>
      <c r="D36" s="8" t="s">
        <v>23</v>
      </c>
      <c r="E36" s="8" t="s">
        <v>312</v>
      </c>
      <c r="F36" s="49" t="s">
        <v>30</v>
      </c>
      <c r="G36" s="6"/>
      <c r="H36" s="61"/>
      <c r="I36" s="51"/>
    </row>
    <row r="37" spans="1:9" x14ac:dyDescent="0.25">
      <c r="A37" s="50"/>
      <c r="B37" s="50" t="s">
        <v>69</v>
      </c>
      <c r="C37" s="8">
        <v>35029.129999999997</v>
      </c>
      <c r="D37" s="30">
        <v>12000</v>
      </c>
      <c r="E37" s="29">
        <f>D37*15%</f>
        <v>1800</v>
      </c>
      <c r="F37" s="29">
        <f>C37+(D37-E37)</f>
        <v>45229.13</v>
      </c>
      <c r="G37" s="27"/>
      <c r="H37" s="162">
        <f>F37-G37</f>
        <v>45229.13</v>
      </c>
      <c r="I37" s="51"/>
    </row>
    <row r="38" spans="1:9" x14ac:dyDescent="0.25">
      <c r="A38" s="43"/>
      <c r="B38" s="43"/>
      <c r="C38" s="43"/>
      <c r="D38" s="166"/>
      <c r="E38" s="19"/>
      <c r="F38" s="19"/>
      <c r="G38" s="19"/>
      <c r="H38" s="19"/>
      <c r="I38" s="43"/>
    </row>
    <row r="39" spans="1:9" x14ac:dyDescent="0.25">
      <c r="A39" s="1" t="s">
        <v>155</v>
      </c>
      <c r="B39" s="1"/>
      <c r="C39" s="1"/>
      <c r="D39" s="45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249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/>
      <c r="I42" s="6" t="s">
        <v>30</v>
      </c>
    </row>
    <row r="43" spans="1:9" x14ac:dyDescent="0.25">
      <c r="A43" s="17"/>
      <c r="B43" s="50"/>
      <c r="C43" s="17"/>
      <c r="D43" s="61"/>
      <c r="E43" s="17"/>
      <c r="F43" s="61"/>
      <c r="G43" s="17"/>
      <c r="H43" s="61"/>
      <c r="I43" s="17"/>
    </row>
    <row r="44" spans="1:9" x14ac:dyDescent="0.25">
      <c r="A44" s="17"/>
      <c r="B44" s="50"/>
      <c r="C44" s="8"/>
      <c r="D44" s="61"/>
      <c r="E44" s="8"/>
      <c r="F44" s="61"/>
      <c r="G44" s="8"/>
      <c r="H44" s="8"/>
      <c r="I44" s="17"/>
    </row>
    <row r="45" spans="1:9" x14ac:dyDescent="0.25">
      <c r="A45" s="5">
        <v>1</v>
      </c>
      <c r="B45" s="5" t="s">
        <v>91</v>
      </c>
      <c r="C45" s="159" t="s">
        <v>92</v>
      </c>
      <c r="D45" s="5">
        <v>-27680.52</v>
      </c>
      <c r="E45" s="188">
        <v>251716.82</v>
      </c>
      <c r="F45" s="5">
        <v>236155.74</v>
      </c>
      <c r="G45" s="188">
        <f>E45</f>
        <v>251716.82</v>
      </c>
      <c r="H45" s="6">
        <f>D45+F45-G45</f>
        <v>-43241.600000000006</v>
      </c>
      <c r="I45" s="8">
        <f>H45</f>
        <v>-43241.600000000006</v>
      </c>
    </row>
    <row r="46" spans="1:9" x14ac:dyDescent="0.25">
      <c r="A46" s="8"/>
      <c r="B46" s="8" t="s">
        <v>487</v>
      </c>
      <c r="C46" s="35" t="s">
        <v>94</v>
      </c>
      <c r="D46" s="8"/>
      <c r="E46" s="59"/>
      <c r="F46" s="8"/>
      <c r="G46" s="59"/>
      <c r="H46" s="8"/>
      <c r="I46" s="8"/>
    </row>
    <row r="47" spans="1:9" x14ac:dyDescent="0.25">
      <c r="A47" s="6">
        <v>2</v>
      </c>
      <c r="B47" s="6" t="s">
        <v>160</v>
      </c>
      <c r="C47" s="1" t="s">
        <v>96</v>
      </c>
      <c r="D47" s="6">
        <v>-96960.69</v>
      </c>
      <c r="E47" s="2">
        <v>425247.02</v>
      </c>
      <c r="F47" s="6">
        <v>402260.96</v>
      </c>
      <c r="G47" s="2">
        <f>E47</f>
        <v>425247.02</v>
      </c>
      <c r="H47" s="6">
        <f>D47+F47-G47</f>
        <v>-119946.75</v>
      </c>
      <c r="I47" s="8">
        <f>H47</f>
        <v>-119946.75</v>
      </c>
    </row>
    <row r="48" spans="1:9" x14ac:dyDescent="0.25">
      <c r="A48" s="8"/>
      <c r="B48" s="8" t="s">
        <v>487</v>
      </c>
      <c r="C48" s="35" t="s">
        <v>94</v>
      </c>
      <c r="D48" s="8"/>
      <c r="E48" s="9"/>
      <c r="F48" s="8"/>
      <c r="G48" s="48"/>
      <c r="H48" s="5"/>
      <c r="I48" s="8"/>
    </row>
    <row r="49" spans="1:9" x14ac:dyDescent="0.25">
      <c r="A49" s="8">
        <v>3</v>
      </c>
      <c r="B49" s="8" t="s">
        <v>99</v>
      </c>
      <c r="C49" s="35" t="s">
        <v>100</v>
      </c>
      <c r="D49" s="8">
        <v>-322144.37</v>
      </c>
      <c r="E49" s="9">
        <v>1240171.94</v>
      </c>
      <c r="F49" s="8">
        <v>1217705.8</v>
      </c>
      <c r="G49" s="9">
        <f>E49</f>
        <v>1240171.94</v>
      </c>
      <c r="H49" s="8">
        <f>D49+F49-G49</f>
        <v>-344610.50999999989</v>
      </c>
      <c r="I49" s="8">
        <f>H49</f>
        <v>-344610.50999999989</v>
      </c>
    </row>
    <row r="50" spans="1:9" x14ac:dyDescent="0.25">
      <c r="A50" s="1" t="s">
        <v>251</v>
      </c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4" t="s">
        <v>252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46" t="s">
        <v>12</v>
      </c>
      <c r="B52" s="5" t="s">
        <v>103</v>
      </c>
      <c r="C52" s="46" t="s">
        <v>104</v>
      </c>
      <c r="D52" s="54"/>
      <c r="E52" s="54"/>
      <c r="F52" s="47"/>
      <c r="G52" s="47" t="s">
        <v>105</v>
      </c>
      <c r="H52" s="47" t="s">
        <v>374</v>
      </c>
      <c r="I52" s="5" t="s">
        <v>107</v>
      </c>
    </row>
    <row r="53" spans="1:9" x14ac:dyDescent="0.25">
      <c r="A53" s="49" t="s">
        <v>108</v>
      </c>
      <c r="B53" s="6" t="s">
        <v>72</v>
      </c>
      <c r="C53" s="49"/>
      <c r="D53" s="43"/>
      <c r="E53" s="43"/>
      <c r="F53" s="56"/>
      <c r="G53" s="56"/>
      <c r="H53" s="56" t="s">
        <v>85</v>
      </c>
      <c r="I53" s="6" t="s">
        <v>109</v>
      </c>
    </row>
    <row r="54" spans="1:9" x14ac:dyDescent="0.25">
      <c r="A54" s="49"/>
      <c r="B54" s="17"/>
      <c r="C54" s="50"/>
      <c r="D54" s="61"/>
      <c r="E54" s="61"/>
      <c r="F54" s="51"/>
      <c r="G54" s="56"/>
      <c r="H54" s="56"/>
      <c r="I54" s="17"/>
    </row>
    <row r="55" spans="1:9" x14ac:dyDescent="0.25">
      <c r="A55" s="62"/>
      <c r="B55" s="63"/>
      <c r="C55" s="53" t="s">
        <v>110</v>
      </c>
      <c r="D55" s="159"/>
      <c r="E55" s="159"/>
      <c r="F55" s="47"/>
      <c r="G55" s="47"/>
      <c r="H55" s="47"/>
      <c r="I55" s="5"/>
    </row>
    <row r="56" spans="1:9" x14ac:dyDescent="0.25">
      <c r="A56" s="64"/>
      <c r="B56" s="6"/>
      <c r="C56" s="49" t="s">
        <v>166</v>
      </c>
      <c r="D56" s="43"/>
      <c r="E56" s="43"/>
      <c r="F56" s="56"/>
      <c r="G56" s="32"/>
      <c r="H56" s="56"/>
      <c r="I56" s="6" t="s">
        <v>72</v>
      </c>
    </row>
    <row r="57" spans="1:9" x14ac:dyDescent="0.25">
      <c r="A57" s="64" t="s">
        <v>111</v>
      </c>
      <c r="B57" s="6" t="s">
        <v>488</v>
      </c>
      <c r="C57" s="43" t="s">
        <v>237</v>
      </c>
      <c r="D57" s="43"/>
      <c r="E57" s="43"/>
      <c r="F57" s="43"/>
      <c r="G57" s="26" t="s">
        <v>390</v>
      </c>
      <c r="H57" s="56">
        <v>53</v>
      </c>
      <c r="I57" s="6">
        <v>10600</v>
      </c>
    </row>
    <row r="58" spans="1:9" x14ac:dyDescent="0.25">
      <c r="A58" s="64" t="s">
        <v>114</v>
      </c>
      <c r="B58" s="65" t="s">
        <v>489</v>
      </c>
      <c r="C58" s="49" t="s">
        <v>490</v>
      </c>
      <c r="D58" s="43"/>
      <c r="E58" s="43"/>
      <c r="F58" s="56"/>
      <c r="G58" s="32" t="s">
        <v>205</v>
      </c>
      <c r="H58" s="56">
        <v>2</v>
      </c>
      <c r="I58" s="6">
        <v>8480.33</v>
      </c>
    </row>
    <row r="59" spans="1:9" x14ac:dyDescent="0.25">
      <c r="A59" s="64" t="s">
        <v>170</v>
      </c>
      <c r="B59" s="65" t="s">
        <v>489</v>
      </c>
      <c r="C59" s="43" t="s">
        <v>237</v>
      </c>
      <c r="D59" s="43"/>
      <c r="E59" s="43"/>
      <c r="F59" s="56"/>
      <c r="G59" s="32" t="s">
        <v>116</v>
      </c>
      <c r="H59" s="56">
        <v>53</v>
      </c>
      <c r="I59" s="6">
        <v>10600</v>
      </c>
    </row>
    <row r="60" spans="1:9" x14ac:dyDescent="0.25">
      <c r="A60" s="64" t="s">
        <v>173</v>
      </c>
      <c r="B60" s="65" t="s">
        <v>491</v>
      </c>
      <c r="C60" s="49" t="s">
        <v>492</v>
      </c>
      <c r="D60" s="43"/>
      <c r="E60" s="43"/>
      <c r="F60" s="56"/>
      <c r="G60" s="32" t="s">
        <v>205</v>
      </c>
      <c r="H60" s="56">
        <v>1</v>
      </c>
      <c r="I60" s="6">
        <v>28547.14</v>
      </c>
    </row>
    <row r="61" spans="1:9" x14ac:dyDescent="0.25">
      <c r="A61" s="64"/>
      <c r="B61" s="65"/>
      <c r="C61" s="49"/>
      <c r="D61" s="43"/>
      <c r="E61" s="43"/>
      <c r="F61" s="56"/>
      <c r="G61" s="32"/>
      <c r="H61" s="56"/>
      <c r="I61" s="6"/>
    </row>
    <row r="62" spans="1:9" x14ac:dyDescent="0.25">
      <c r="A62" s="66"/>
      <c r="B62" s="17"/>
      <c r="C62" s="14" t="s">
        <v>117</v>
      </c>
      <c r="D62" s="13"/>
      <c r="E62" s="13"/>
      <c r="F62" s="67"/>
      <c r="G62" s="12"/>
      <c r="H62" s="67"/>
      <c r="I62" s="11">
        <f>SUM(I57:I61)</f>
        <v>58227.47</v>
      </c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68"/>
      <c r="B64" s="43"/>
      <c r="C64" s="4"/>
      <c r="D64" s="4"/>
      <c r="E64" s="4"/>
      <c r="F64" s="4"/>
      <c r="G64" s="19"/>
      <c r="H64" s="4"/>
      <c r="I64" s="4"/>
    </row>
    <row r="65" spans="1:9" x14ac:dyDescent="0.25">
      <c r="A65" s="2" t="s">
        <v>493</v>
      </c>
      <c r="B65" s="2"/>
      <c r="C65" s="189" t="s">
        <v>119</v>
      </c>
      <c r="D65" s="189"/>
      <c r="E65" s="2" t="s">
        <v>120</v>
      </c>
      <c r="F65" s="2"/>
      <c r="G65" s="2" t="s">
        <v>264</v>
      </c>
      <c r="H65" s="2"/>
      <c r="I65" s="2" t="s">
        <v>265</v>
      </c>
    </row>
    <row r="66" spans="1:9" x14ac:dyDescent="0.25">
      <c r="A66" s="2"/>
      <c r="B66" s="2"/>
      <c r="G66" s="210"/>
    </row>
    <row r="67" spans="1:9" x14ac:dyDescent="0.25">
      <c r="A67" s="2"/>
      <c r="B67" s="2"/>
      <c r="C67" s="2"/>
      <c r="D67" s="2"/>
    </row>
  </sheetData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3" workbookViewId="0">
      <selection activeCell="A53" sqref="A53"/>
    </sheetView>
  </sheetViews>
  <sheetFormatPr defaultRowHeight="15" x14ac:dyDescent="0.25"/>
  <cols>
    <col min="1" max="1" width="5.140625" customWidth="1"/>
    <col min="2" max="2" width="32.7109375" customWidth="1"/>
    <col min="3" max="3" width="13.42578125" customWidth="1"/>
    <col min="5" max="6" width="12.140625" customWidth="1"/>
    <col min="8" max="8" width="12.28515625" customWidth="1"/>
    <col min="9" max="9" width="18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494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495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496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497</v>
      </c>
    </row>
    <row r="15" spans="1:9" x14ac:dyDescent="0.25">
      <c r="A15" s="6"/>
      <c r="B15" s="6"/>
      <c r="C15" s="6" t="s">
        <v>498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499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53"/>
      <c r="E18" s="160" t="s">
        <v>72</v>
      </c>
      <c r="F18" s="63" t="s">
        <v>72</v>
      </c>
      <c r="G18" s="63"/>
      <c r="H18" s="53" t="s">
        <v>72</v>
      </c>
      <c r="I18" s="160"/>
    </row>
    <row r="19" spans="1:9" x14ac:dyDescent="0.25">
      <c r="A19" s="14"/>
      <c r="B19" s="11" t="s">
        <v>187</v>
      </c>
      <c r="C19" s="11">
        <v>8.9600000000000009</v>
      </c>
      <c r="D19" s="16">
        <v>-32702.99</v>
      </c>
      <c r="E19" s="16">
        <v>610638</v>
      </c>
      <c r="F19" s="13">
        <v>599952.17000000004</v>
      </c>
      <c r="G19" s="16">
        <f t="shared" ref="G19:G28" si="0">E19</f>
        <v>610638</v>
      </c>
      <c r="H19" s="15">
        <f>D19+F19-G19</f>
        <v>-43388.819999999949</v>
      </c>
      <c r="I19" s="16">
        <f>H19</f>
        <v>-43388.819999999949</v>
      </c>
    </row>
    <row r="20" spans="1:9" x14ac:dyDescent="0.25">
      <c r="A20" s="6" t="s">
        <v>36</v>
      </c>
      <c r="B20" s="17" t="s">
        <v>37</v>
      </c>
      <c r="C20" s="61">
        <v>3.08</v>
      </c>
      <c r="D20" s="20"/>
      <c r="E20" s="187">
        <f>E19*34.4%</f>
        <v>210059.47199999998</v>
      </c>
      <c r="F20" s="21">
        <f>F19*34.4%</f>
        <v>206383.54647999999</v>
      </c>
      <c r="G20" s="21">
        <f t="shared" si="0"/>
        <v>210059.47199999998</v>
      </c>
      <c r="H20" s="20"/>
      <c r="I20" s="30"/>
    </row>
    <row r="21" spans="1:9" x14ac:dyDescent="0.25">
      <c r="A21" s="22" t="s">
        <v>38</v>
      </c>
      <c r="B21" s="5" t="s">
        <v>39</v>
      </c>
      <c r="C21" s="54">
        <v>1.47</v>
      </c>
      <c r="D21" s="25"/>
      <c r="E21" s="33">
        <f>E19*16.4%</f>
        <v>100144.63199999998</v>
      </c>
      <c r="F21" s="33">
        <f>F19*16.4%</f>
        <v>98392.155879999991</v>
      </c>
      <c r="G21" s="33">
        <f t="shared" si="0"/>
        <v>100144.63199999998</v>
      </c>
      <c r="H21" s="25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234"/>
      <c r="E22" s="33">
        <f>E19*20.2%</f>
        <v>123348.87599999999</v>
      </c>
      <c r="F22" s="33">
        <f>F19*20.2%</f>
        <v>121190.33834</v>
      </c>
      <c r="G22" s="30">
        <f t="shared" si="0"/>
        <v>123348.87599999999</v>
      </c>
      <c r="H22" s="234"/>
      <c r="I22" s="33"/>
    </row>
    <row r="23" spans="1:9" x14ac:dyDescent="0.25">
      <c r="A23" s="22" t="s">
        <v>42</v>
      </c>
      <c r="B23" s="5" t="s">
        <v>43</v>
      </c>
      <c r="C23" s="54">
        <v>2.6</v>
      </c>
      <c r="D23" s="25"/>
      <c r="E23" s="33">
        <f>E19*29%</f>
        <v>177085.02</v>
      </c>
      <c r="F23" s="33">
        <f>F19*29%</f>
        <v>173986.1293</v>
      </c>
      <c r="G23" s="30">
        <f t="shared" si="0"/>
        <v>177085.02</v>
      </c>
      <c r="H23" s="25"/>
      <c r="I23" s="30"/>
    </row>
    <row r="24" spans="1:9" x14ac:dyDescent="0.25">
      <c r="A24" s="22" t="s">
        <v>44</v>
      </c>
      <c r="B24" s="5" t="s">
        <v>45</v>
      </c>
      <c r="C24" s="54">
        <v>1755.25</v>
      </c>
      <c r="D24" s="25">
        <v>1637.98</v>
      </c>
      <c r="E24" s="33">
        <v>13281.77</v>
      </c>
      <c r="F24" s="33">
        <v>13152.59</v>
      </c>
      <c r="G24" s="19">
        <f t="shared" si="0"/>
        <v>13281.77</v>
      </c>
      <c r="H24" s="25">
        <f>D24+F24-E24</f>
        <v>1508.7999999999993</v>
      </c>
      <c r="I24" s="26"/>
    </row>
    <row r="25" spans="1:9" x14ac:dyDescent="0.25">
      <c r="A25" s="22" t="s">
        <v>46</v>
      </c>
      <c r="B25" s="5" t="s">
        <v>47</v>
      </c>
      <c r="C25" s="159" t="s">
        <v>48</v>
      </c>
      <c r="D25" s="5">
        <v>-98410.39</v>
      </c>
      <c r="E25" s="54">
        <v>877133</v>
      </c>
      <c r="F25" s="5">
        <v>857567.25</v>
      </c>
      <c r="G25" s="7">
        <f>E25</f>
        <v>877133</v>
      </c>
      <c r="H25" s="8">
        <f>D25+F25-G25</f>
        <v>-117976.14000000001</v>
      </c>
      <c r="I25" s="48">
        <f>H25</f>
        <v>-117976.14000000001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-37891.800000000003</v>
      </c>
      <c r="E26" s="10">
        <v>313497.36</v>
      </c>
      <c r="F26" s="10">
        <v>310855.77</v>
      </c>
      <c r="G26" s="35">
        <f t="shared" si="0"/>
        <v>313497.36</v>
      </c>
      <c r="H26" s="37">
        <f>D26+F26-G26</f>
        <v>-40533.389999999956</v>
      </c>
      <c r="I26" s="38">
        <f>H26</f>
        <v>-40533.389999999956</v>
      </c>
    </row>
    <row r="27" spans="1:9" x14ac:dyDescent="0.25">
      <c r="A27" s="10" t="s">
        <v>51</v>
      </c>
      <c r="B27" s="10" t="s">
        <v>191</v>
      </c>
      <c r="C27" s="38">
        <v>1</v>
      </c>
      <c r="D27" s="38">
        <v>0</v>
      </c>
      <c r="E27" s="244">
        <v>0</v>
      </c>
      <c r="F27" s="193">
        <v>0</v>
      </c>
      <c r="G27" s="38">
        <f t="shared" si="0"/>
        <v>0</v>
      </c>
      <c r="H27" s="193">
        <f>D27+F27-G27</f>
        <v>0</v>
      </c>
      <c r="I27" s="38"/>
    </row>
    <row r="28" spans="1:9" x14ac:dyDescent="0.25">
      <c r="A28" s="10" t="s">
        <v>56</v>
      </c>
      <c r="B28" s="1" t="s">
        <v>140</v>
      </c>
      <c r="C28" s="10">
        <v>3.43</v>
      </c>
      <c r="D28" s="38">
        <v>-33949.93</v>
      </c>
      <c r="E28" s="244">
        <v>232716.69</v>
      </c>
      <c r="F28" s="193">
        <v>229335.7</v>
      </c>
      <c r="G28" s="38">
        <f t="shared" si="0"/>
        <v>232716.69</v>
      </c>
      <c r="H28" s="34">
        <f>D28+F28-G28</f>
        <v>-37330.919999999984</v>
      </c>
      <c r="I28" s="38">
        <f>H28</f>
        <v>-37330.919999999984</v>
      </c>
    </row>
    <row r="29" spans="1:9" x14ac:dyDescent="0.25">
      <c r="A29" s="63" t="s">
        <v>60</v>
      </c>
      <c r="B29" s="63" t="s">
        <v>310</v>
      </c>
      <c r="C29" s="4">
        <v>1.82</v>
      </c>
      <c r="D29" s="160">
        <v>115241.12</v>
      </c>
      <c r="E29" s="39">
        <v>124036.08</v>
      </c>
      <c r="F29" s="39">
        <f>F30</f>
        <v>123139.54</v>
      </c>
      <c r="G29" s="39">
        <f>I61</f>
        <v>73517.740000000005</v>
      </c>
      <c r="H29" s="40">
        <f>D29+F29-G29</f>
        <v>164862.91999999998</v>
      </c>
      <c r="I29" s="41"/>
    </row>
    <row r="30" spans="1:9" x14ac:dyDescent="0.25">
      <c r="A30" s="10"/>
      <c r="B30" s="8" t="s">
        <v>53</v>
      </c>
      <c r="C30" s="35"/>
      <c r="D30" s="38"/>
      <c r="E30" s="10"/>
      <c r="F30" s="10">
        <v>123139.54</v>
      </c>
      <c r="G30" s="35"/>
      <c r="H30" s="36"/>
      <c r="I30" s="38"/>
    </row>
    <row r="31" spans="1:9" x14ac:dyDescent="0.25">
      <c r="A31" s="39" t="s">
        <v>355</v>
      </c>
      <c r="B31" s="39" t="s">
        <v>144</v>
      </c>
      <c r="C31" s="4"/>
      <c r="D31" s="41"/>
      <c r="E31" s="39"/>
      <c r="F31" s="39"/>
      <c r="G31" s="4" t="s">
        <v>145</v>
      </c>
      <c r="H31" s="55" t="s">
        <v>72</v>
      </c>
      <c r="I31" s="41" t="str">
        <f>H31</f>
        <v xml:space="preserve"> </v>
      </c>
    </row>
    <row r="32" spans="1:9" x14ac:dyDescent="0.25">
      <c r="A32" s="10"/>
      <c r="B32" s="10" t="s">
        <v>146</v>
      </c>
      <c r="C32" s="38">
        <v>0</v>
      </c>
      <c r="D32" s="38">
        <v>43577.77</v>
      </c>
      <c r="E32" s="10">
        <v>0</v>
      </c>
      <c r="F32" s="10">
        <f>F33</f>
        <v>0</v>
      </c>
      <c r="G32" s="35">
        <f>G33</f>
        <v>0</v>
      </c>
      <c r="H32" s="36">
        <f>D32+F32-G32</f>
        <v>43577.77</v>
      </c>
      <c r="I32" s="38"/>
    </row>
    <row r="33" spans="1:9" x14ac:dyDescent="0.25">
      <c r="A33" s="8"/>
      <c r="B33" s="8" t="s">
        <v>53</v>
      </c>
      <c r="C33" s="28">
        <v>0</v>
      </c>
      <c r="D33" s="38"/>
      <c r="E33" s="8">
        <v>0</v>
      </c>
      <c r="F33" s="8">
        <v>0</v>
      </c>
      <c r="G33" s="9">
        <f>I65</f>
        <v>0</v>
      </c>
      <c r="H33" s="7"/>
      <c r="I33" s="30"/>
    </row>
    <row r="34" spans="1:9" x14ac:dyDescent="0.25">
      <c r="A34" s="1" t="s">
        <v>59</v>
      </c>
      <c r="B34" s="1"/>
      <c r="C34" s="1"/>
      <c r="D34" s="45"/>
      <c r="E34" s="1"/>
      <c r="F34" s="2"/>
      <c r="G34" s="2"/>
      <c r="H34" s="2"/>
      <c r="I34" s="2"/>
    </row>
    <row r="35" spans="1:9" x14ac:dyDescent="0.25">
      <c r="A35" s="1"/>
      <c r="B35" s="1"/>
      <c r="C35" s="1"/>
      <c r="D35" s="45"/>
      <c r="E35" s="1"/>
      <c r="F35" s="2"/>
      <c r="G35" s="2"/>
      <c r="H35" s="2"/>
      <c r="I35" s="2"/>
    </row>
    <row r="36" spans="1:9" x14ac:dyDescent="0.25">
      <c r="A36" s="63" t="s">
        <v>60</v>
      </c>
      <c r="B36" s="54" t="s">
        <v>61</v>
      </c>
      <c r="C36" s="5" t="s">
        <v>65</v>
      </c>
      <c r="D36" s="47" t="s">
        <v>63</v>
      </c>
      <c r="E36" s="54" t="s">
        <v>64</v>
      </c>
      <c r="F36" s="5" t="s">
        <v>65</v>
      </c>
      <c r="G36" s="5"/>
      <c r="H36" s="54" t="s">
        <v>195</v>
      </c>
      <c r="I36" s="47"/>
    </row>
    <row r="37" spans="1:9" x14ac:dyDescent="0.25">
      <c r="A37" s="6"/>
      <c r="B37" s="43"/>
      <c r="C37" s="17" t="s">
        <v>67</v>
      </c>
      <c r="D37" s="51" t="s">
        <v>23</v>
      </c>
      <c r="E37" s="61" t="s">
        <v>312</v>
      </c>
      <c r="F37" s="17" t="s">
        <v>30</v>
      </c>
      <c r="G37" s="17"/>
      <c r="H37" s="61"/>
      <c r="I37" s="51"/>
    </row>
    <row r="38" spans="1:9" x14ac:dyDescent="0.25">
      <c r="A38" s="11"/>
      <c r="B38" s="61" t="s">
        <v>69</v>
      </c>
      <c r="C38" s="30">
        <v>30292.46</v>
      </c>
      <c r="D38" s="8">
        <v>12000</v>
      </c>
      <c r="E38" s="162">
        <f>D38*15%</f>
        <v>1800</v>
      </c>
      <c r="F38" s="21">
        <f>C38+(D38-E38)</f>
        <v>40492.46</v>
      </c>
      <c r="G38" s="21"/>
      <c r="H38" s="162">
        <f>F38</f>
        <v>40492.46</v>
      </c>
      <c r="I38" s="51"/>
    </row>
    <row r="39" spans="1:9" x14ac:dyDescent="0.25">
      <c r="A39" s="1" t="s">
        <v>248</v>
      </c>
      <c r="B39" s="1"/>
      <c r="C39" s="1"/>
      <c r="D39" s="45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46" t="s">
        <v>75</v>
      </c>
      <c r="E40" s="5" t="s">
        <v>76</v>
      </c>
      <c r="F40" s="54" t="s">
        <v>77</v>
      </c>
      <c r="G40" s="5" t="s">
        <v>249</v>
      </c>
      <c r="H40" s="47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9" t="s">
        <v>82</v>
      </c>
      <c r="E41" s="6" t="s">
        <v>83</v>
      </c>
      <c r="F41" s="43" t="s">
        <v>84</v>
      </c>
      <c r="G41" s="6" t="s">
        <v>85</v>
      </c>
      <c r="H41" s="56" t="s">
        <v>86</v>
      </c>
      <c r="I41" s="6" t="s">
        <v>87</v>
      </c>
    </row>
    <row r="42" spans="1:9" x14ac:dyDescent="0.25">
      <c r="A42" s="6"/>
      <c r="B42" s="49"/>
      <c r="C42" s="6"/>
      <c r="D42" s="50"/>
      <c r="E42" s="17"/>
      <c r="F42" s="61" t="s">
        <v>88</v>
      </c>
      <c r="G42" s="17" t="s">
        <v>89</v>
      </c>
      <c r="H42" s="51"/>
      <c r="I42" s="6" t="s">
        <v>30</v>
      </c>
    </row>
    <row r="43" spans="1:9" x14ac:dyDescent="0.25">
      <c r="A43" s="5">
        <v>1</v>
      </c>
      <c r="B43" s="5" t="s">
        <v>91</v>
      </c>
      <c r="C43" s="159" t="s">
        <v>92</v>
      </c>
      <c r="D43" s="6">
        <v>-119367.74</v>
      </c>
      <c r="E43" s="217">
        <v>499494</v>
      </c>
      <c r="F43" s="6">
        <v>492266.77</v>
      </c>
      <c r="G43" s="217">
        <f>E43</f>
        <v>499494</v>
      </c>
      <c r="H43" s="6">
        <f>D43+F43-G43</f>
        <v>-126594.96999999997</v>
      </c>
      <c r="I43" s="8">
        <f>H43</f>
        <v>-126594.96999999997</v>
      </c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95</v>
      </c>
      <c r="C45" s="1" t="s">
        <v>96</v>
      </c>
      <c r="D45" s="6">
        <v>-299465.23</v>
      </c>
      <c r="E45" s="2">
        <v>632375.32999999996</v>
      </c>
      <c r="F45" s="6">
        <v>651500.79</v>
      </c>
      <c r="G45" s="2">
        <f>E45</f>
        <v>632375.32999999996</v>
      </c>
      <c r="H45" s="6">
        <f>D45+F45-G45</f>
        <v>-280339.7699999999</v>
      </c>
      <c r="I45" s="8">
        <f>H45</f>
        <v>-280339.7699999999</v>
      </c>
    </row>
    <row r="46" spans="1:9" x14ac:dyDescent="0.25">
      <c r="A46" s="8"/>
      <c r="B46" s="8" t="s">
        <v>97</v>
      </c>
      <c r="C46" s="35"/>
      <c r="D46" s="5" t="s">
        <v>72</v>
      </c>
      <c r="E46" s="9"/>
      <c r="F46" s="8"/>
      <c r="G46" s="9"/>
      <c r="H46" s="5" t="s">
        <v>72</v>
      </c>
      <c r="I46" s="8" t="str">
        <f>H46</f>
        <v xml:space="preserve"> </v>
      </c>
    </row>
    <row r="47" spans="1:9" x14ac:dyDescent="0.25">
      <c r="A47" s="8"/>
      <c r="B47" s="8" t="s">
        <v>313</v>
      </c>
      <c r="C47" s="35" t="s">
        <v>94</v>
      </c>
      <c r="D47" s="5"/>
      <c r="E47" s="9"/>
      <c r="F47" s="8"/>
      <c r="G47" s="9"/>
      <c r="H47" s="5"/>
      <c r="I47" s="8"/>
    </row>
    <row r="48" spans="1:9" x14ac:dyDescent="0.25">
      <c r="A48" s="8">
        <v>3</v>
      </c>
      <c r="B48" s="8" t="s">
        <v>99</v>
      </c>
      <c r="C48" s="35" t="s">
        <v>100</v>
      </c>
      <c r="D48" s="8">
        <v>-429843.46</v>
      </c>
      <c r="E48" s="9">
        <v>1529525.67</v>
      </c>
      <c r="F48" s="8">
        <v>1456058.8</v>
      </c>
      <c r="G48" s="9">
        <f>E48</f>
        <v>1529525.67</v>
      </c>
      <c r="H48" s="8">
        <f>D48+F48-G48</f>
        <v>-503310.32999999984</v>
      </c>
      <c r="I48" s="8">
        <f>H48</f>
        <v>-503310.32999999984</v>
      </c>
    </row>
    <row r="49" spans="1:9" x14ac:dyDescent="0.25">
      <c r="A49" s="1" t="s">
        <v>251</v>
      </c>
      <c r="B49" s="43"/>
      <c r="C49" s="4"/>
      <c r="D49" s="43"/>
      <c r="E49" s="43"/>
      <c r="F49" s="43"/>
      <c r="G49" s="43"/>
      <c r="H49" s="43"/>
      <c r="I49" s="43"/>
    </row>
    <row r="50" spans="1:9" x14ac:dyDescent="0.25">
      <c r="A50" s="4" t="s">
        <v>252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54"/>
      <c r="G51" s="5" t="s">
        <v>105</v>
      </c>
      <c r="H51" s="47" t="s">
        <v>374</v>
      </c>
      <c r="I51" s="5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43"/>
      <c r="G52" s="6"/>
      <c r="H52" s="56" t="s">
        <v>85</v>
      </c>
      <c r="I52" s="6" t="s">
        <v>109</v>
      </c>
    </row>
    <row r="53" spans="1:9" x14ac:dyDescent="0.25">
      <c r="A53" s="49"/>
      <c r="B53" s="17"/>
      <c r="C53" s="50"/>
      <c r="D53" s="61"/>
      <c r="E53" s="61"/>
      <c r="F53" s="61"/>
      <c r="G53" s="17"/>
      <c r="H53" s="56"/>
      <c r="I53" s="17"/>
    </row>
    <row r="54" spans="1:9" x14ac:dyDescent="0.25">
      <c r="A54" s="62"/>
      <c r="B54" s="39"/>
      <c r="C54" s="55" t="s">
        <v>500</v>
      </c>
      <c r="D54" s="4"/>
      <c r="E54" s="4"/>
      <c r="F54" s="43"/>
      <c r="G54" s="6"/>
      <c r="H54" s="47"/>
      <c r="I54" s="6"/>
    </row>
    <row r="55" spans="1:9" x14ac:dyDescent="0.25">
      <c r="A55" s="64" t="s">
        <v>111</v>
      </c>
      <c r="B55" s="65">
        <v>43312</v>
      </c>
      <c r="C55" s="49" t="s">
        <v>501</v>
      </c>
      <c r="D55" s="43"/>
      <c r="E55" s="43"/>
      <c r="F55" s="43"/>
      <c r="G55" s="26" t="s">
        <v>169</v>
      </c>
      <c r="H55" s="56">
        <v>7.5</v>
      </c>
      <c r="I55" s="6">
        <v>30001.83</v>
      </c>
    </row>
    <row r="56" spans="1:9" x14ac:dyDescent="0.25">
      <c r="A56" s="64" t="s">
        <v>114</v>
      </c>
      <c r="B56" s="65">
        <v>43371</v>
      </c>
      <c r="C56" s="49" t="s">
        <v>502</v>
      </c>
      <c r="D56" s="43"/>
      <c r="E56" s="43"/>
      <c r="F56" s="43"/>
      <c r="G56" s="26" t="s">
        <v>169</v>
      </c>
      <c r="H56" s="56">
        <v>4.5</v>
      </c>
      <c r="I56" s="6">
        <v>9988.9</v>
      </c>
    </row>
    <row r="57" spans="1:9" x14ac:dyDescent="0.25">
      <c r="A57" s="64" t="s">
        <v>170</v>
      </c>
      <c r="B57" s="65">
        <v>43404</v>
      </c>
      <c r="C57" s="49" t="s">
        <v>112</v>
      </c>
      <c r="D57" s="43"/>
      <c r="E57" s="43"/>
      <c r="F57" s="43"/>
      <c r="G57" s="26" t="s">
        <v>116</v>
      </c>
      <c r="H57" s="56">
        <v>92</v>
      </c>
      <c r="I57" s="6">
        <v>18400</v>
      </c>
    </row>
    <row r="58" spans="1:9" x14ac:dyDescent="0.25">
      <c r="A58" s="64" t="s">
        <v>173</v>
      </c>
      <c r="B58" s="65">
        <v>43431</v>
      </c>
      <c r="C58" s="49" t="s">
        <v>503</v>
      </c>
      <c r="D58" s="43"/>
      <c r="E58" s="43"/>
      <c r="F58" s="43"/>
      <c r="G58" s="26" t="s">
        <v>205</v>
      </c>
      <c r="H58" s="56">
        <v>4</v>
      </c>
      <c r="I58" s="6">
        <v>4612.01</v>
      </c>
    </row>
    <row r="59" spans="1:9" x14ac:dyDescent="0.25">
      <c r="A59" s="64" t="s">
        <v>257</v>
      </c>
      <c r="B59" s="65">
        <v>43434</v>
      </c>
      <c r="C59" s="49" t="s">
        <v>504</v>
      </c>
      <c r="D59" s="43"/>
      <c r="E59" s="43"/>
      <c r="F59" s="43"/>
      <c r="G59" s="26" t="s">
        <v>205</v>
      </c>
      <c r="H59" s="56">
        <v>14</v>
      </c>
      <c r="I59" s="6">
        <v>10515</v>
      </c>
    </row>
    <row r="60" spans="1:9" x14ac:dyDescent="0.25">
      <c r="A60" s="64"/>
      <c r="B60" s="65"/>
      <c r="C60" s="49"/>
      <c r="D60" s="43"/>
      <c r="E60" s="43"/>
      <c r="F60" s="43"/>
      <c r="G60" s="26"/>
      <c r="H60" s="56"/>
      <c r="I60" s="6"/>
    </row>
    <row r="61" spans="1:9" x14ac:dyDescent="0.25">
      <c r="A61" s="64"/>
      <c r="B61" s="6"/>
      <c r="C61" s="14" t="s">
        <v>117</v>
      </c>
      <c r="D61" s="13"/>
      <c r="E61" s="13"/>
      <c r="F61" s="13"/>
      <c r="G61" s="16"/>
      <c r="H61" s="194"/>
      <c r="I61" s="39">
        <f>SUM(I54:I60)</f>
        <v>73517.740000000005</v>
      </c>
    </row>
    <row r="62" spans="1:9" x14ac:dyDescent="0.25">
      <c r="A62" s="5"/>
      <c r="B62" s="5"/>
      <c r="C62" s="49"/>
      <c r="D62" s="43"/>
      <c r="E62" s="43"/>
      <c r="F62" s="43"/>
      <c r="G62" s="19"/>
      <c r="H62" s="47"/>
      <c r="I62" s="5"/>
    </row>
    <row r="63" spans="1:9" x14ac:dyDescent="0.25">
      <c r="A63" s="5" t="s">
        <v>49</v>
      </c>
      <c r="B63" s="63" t="s">
        <v>258</v>
      </c>
      <c r="C63" s="53" t="s">
        <v>259</v>
      </c>
      <c r="D63" s="54"/>
      <c r="E63" s="54"/>
      <c r="F63" s="54" t="s">
        <v>260</v>
      </c>
      <c r="G63" s="5"/>
      <c r="H63" s="47"/>
      <c r="I63" s="5"/>
    </row>
    <row r="64" spans="1:9" x14ac:dyDescent="0.25">
      <c r="A64" s="64" t="s">
        <v>138</v>
      </c>
      <c r="B64" s="65"/>
      <c r="C64" s="49"/>
      <c r="D64" s="43"/>
      <c r="E64" s="43"/>
      <c r="F64" s="43"/>
      <c r="G64" s="26"/>
      <c r="H64" s="56"/>
      <c r="I64" s="6"/>
    </row>
    <row r="65" spans="1:9" x14ac:dyDescent="0.25">
      <c r="A65" s="66"/>
      <c r="B65" s="17" t="s">
        <v>258</v>
      </c>
      <c r="C65" s="14" t="s">
        <v>117</v>
      </c>
      <c r="D65" s="61"/>
      <c r="E65" s="61"/>
      <c r="F65" s="13" t="s">
        <v>72</v>
      </c>
      <c r="G65" s="16">
        <f>SUM(G64:G64)</f>
        <v>0</v>
      </c>
      <c r="H65" s="67"/>
      <c r="I65" s="11">
        <f>SUM(I64:I64)</f>
        <v>0</v>
      </c>
    </row>
    <row r="66" spans="1:9" x14ac:dyDescent="0.25">
      <c r="A66" s="2" t="s">
        <v>505</v>
      </c>
      <c r="B66" s="43"/>
      <c r="C66" s="2" t="s">
        <v>207</v>
      </c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  <c r="G67" s="210"/>
    </row>
    <row r="68" spans="1:9" x14ac:dyDescent="0.25">
      <c r="A68" s="2"/>
      <c r="B68" s="2"/>
    </row>
  </sheetData>
  <pageMargins left="0.7" right="0.7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9" workbookViewId="0">
      <selection activeCell="A2" sqref="A2"/>
    </sheetView>
  </sheetViews>
  <sheetFormatPr defaultRowHeight="15" x14ac:dyDescent="0.25"/>
  <cols>
    <col min="1" max="1" width="4.28515625" customWidth="1"/>
    <col min="2" max="2" width="33.140625" customWidth="1"/>
    <col min="3" max="3" width="14.5703125" customWidth="1"/>
    <col min="5" max="5" width="11" customWidth="1"/>
    <col min="6" max="6" width="10.85546875" customWidth="1"/>
    <col min="7" max="7" width="11.7109375" customWidth="1"/>
    <col min="8" max="8" width="12.7109375" customWidth="1"/>
    <col min="9" max="9" width="19.4257812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1"/>
      <c r="C4" s="1"/>
      <c r="D4" s="1"/>
      <c r="E4" s="1"/>
      <c r="F4" s="1"/>
      <c r="G4" s="1"/>
      <c r="H4" s="2"/>
      <c r="I4" s="2"/>
    </row>
    <row r="5" spans="1:9" x14ac:dyDescent="0.25">
      <c r="A5" s="1" t="s">
        <v>507</v>
      </c>
      <c r="B5" s="2"/>
      <c r="C5" s="2"/>
      <c r="D5" s="2"/>
      <c r="E5" s="2"/>
      <c r="F5" s="2"/>
      <c r="G5" s="2"/>
      <c r="I5" s="2"/>
    </row>
    <row r="6" spans="1:9" x14ac:dyDescent="0.25">
      <c r="A6" s="2" t="s">
        <v>508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509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510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2"/>
      <c r="I9" s="2"/>
    </row>
    <row r="10" spans="1:9" x14ac:dyDescent="0.25">
      <c r="A10" s="1" t="s">
        <v>10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4" t="s">
        <v>11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132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134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9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53">
        <v>1</v>
      </c>
      <c r="B17" s="11" t="s">
        <v>323</v>
      </c>
      <c r="C17" s="11">
        <v>8.9600000000000009</v>
      </c>
      <c r="D17" s="16">
        <v>453.51</v>
      </c>
      <c r="E17" s="16">
        <v>410372.04</v>
      </c>
      <c r="F17" s="13">
        <v>404972.66</v>
      </c>
      <c r="G17" s="16">
        <f t="shared" ref="G17:G23" si="0">E17</f>
        <v>410372.04</v>
      </c>
      <c r="H17" s="15">
        <f>D17+F17-G17</f>
        <v>-4945.8699999999953</v>
      </c>
      <c r="I17" s="16">
        <f>H17</f>
        <v>-4945.8699999999953</v>
      </c>
    </row>
    <row r="18" spans="1:9" x14ac:dyDescent="0.25">
      <c r="A18" s="8" t="s">
        <v>36</v>
      </c>
      <c r="B18" s="17" t="s">
        <v>37</v>
      </c>
      <c r="C18" s="61">
        <v>3.08</v>
      </c>
      <c r="D18" s="21"/>
      <c r="E18" s="187">
        <f>E17*34.4%</f>
        <v>141167.98176</v>
      </c>
      <c r="F18" s="21">
        <f>F17*34.4%</f>
        <v>139310.59503999999</v>
      </c>
      <c r="G18" s="21">
        <f t="shared" si="0"/>
        <v>141167.98176</v>
      </c>
      <c r="H18" s="20"/>
      <c r="I18" s="21"/>
    </row>
    <row r="19" spans="1:9" x14ac:dyDescent="0.25">
      <c r="A19" s="22" t="s">
        <v>38</v>
      </c>
      <c r="B19" s="5" t="s">
        <v>39</v>
      </c>
      <c r="C19" s="54">
        <v>1.47</v>
      </c>
      <c r="D19" s="33"/>
      <c r="E19" s="33">
        <f>E17*16.4%</f>
        <v>67301.014559999981</v>
      </c>
      <c r="F19" s="33">
        <f>F17*16.4%</f>
        <v>66415.516239999983</v>
      </c>
      <c r="G19" s="33">
        <f t="shared" si="0"/>
        <v>67301.014559999981</v>
      </c>
      <c r="H19" s="25"/>
      <c r="I19" s="33"/>
    </row>
    <row r="20" spans="1:9" x14ac:dyDescent="0.25">
      <c r="A20" s="22" t="s">
        <v>40</v>
      </c>
      <c r="B20" s="5" t="s">
        <v>41</v>
      </c>
      <c r="C20" s="54">
        <v>1.81</v>
      </c>
      <c r="D20" s="30"/>
      <c r="E20" s="33">
        <f>E17*20.2%</f>
        <v>82895.152079999985</v>
      </c>
      <c r="F20" s="33">
        <f>F17*20.2%</f>
        <v>81804.477319999991</v>
      </c>
      <c r="G20" s="30">
        <f t="shared" si="0"/>
        <v>82895.152079999985</v>
      </c>
      <c r="H20" s="235"/>
      <c r="I20" s="30"/>
    </row>
    <row r="21" spans="1:9" x14ac:dyDescent="0.25">
      <c r="A21" s="22" t="s">
        <v>42</v>
      </c>
      <c r="B21" s="5" t="s">
        <v>43</v>
      </c>
      <c r="C21" s="54">
        <v>2.6</v>
      </c>
      <c r="D21" s="30"/>
      <c r="E21" s="33">
        <f>E17*29%</f>
        <v>119007.89159999999</v>
      </c>
      <c r="F21" s="33">
        <f>F17*29%</f>
        <v>117442.07139999999</v>
      </c>
      <c r="G21" s="29">
        <f t="shared" si="0"/>
        <v>119007.89159999999</v>
      </c>
      <c r="H21" s="29"/>
      <c r="I21" s="30"/>
    </row>
    <row r="22" spans="1:9" x14ac:dyDescent="0.25">
      <c r="A22" s="22" t="s">
        <v>44</v>
      </c>
      <c r="B22" s="5" t="s">
        <v>45</v>
      </c>
      <c r="C22" s="54">
        <v>1755.25</v>
      </c>
      <c r="D22" s="30">
        <v>1816.88</v>
      </c>
      <c r="E22" s="30">
        <v>12689.44</v>
      </c>
      <c r="F22" s="30">
        <v>12499.53</v>
      </c>
      <c r="G22" s="28">
        <f t="shared" si="0"/>
        <v>12689.44</v>
      </c>
      <c r="H22" s="29">
        <f>D22+F22-E22</f>
        <v>1626.9699999999993</v>
      </c>
      <c r="I22" s="30"/>
    </row>
    <row r="23" spans="1:9" x14ac:dyDescent="0.25">
      <c r="A23" s="22" t="s">
        <v>46</v>
      </c>
      <c r="B23" s="5" t="s">
        <v>473</v>
      </c>
      <c r="C23" s="7">
        <v>2.37</v>
      </c>
      <c r="D23" s="30">
        <v>-5533.54</v>
      </c>
      <c r="E23" s="30">
        <v>36297.120000000003</v>
      </c>
      <c r="F23" s="30">
        <v>45628.91</v>
      </c>
      <c r="G23" s="28">
        <f t="shared" si="0"/>
        <v>36297.120000000003</v>
      </c>
      <c r="H23" s="38">
        <f>D23+F23-G23</f>
        <v>3798.25</v>
      </c>
      <c r="I23" s="38"/>
    </row>
    <row r="24" spans="1:9" x14ac:dyDescent="0.25">
      <c r="A24" s="22" t="s">
        <v>472</v>
      </c>
      <c r="B24" s="5" t="s">
        <v>276</v>
      </c>
      <c r="C24" s="36" t="s">
        <v>48</v>
      </c>
      <c r="D24" s="30">
        <v>-4140.57</v>
      </c>
      <c r="E24" s="30">
        <v>81896.23</v>
      </c>
      <c r="F24" s="30">
        <v>76347.539999999994</v>
      </c>
      <c r="G24" s="28">
        <f>E24</f>
        <v>81896.23</v>
      </c>
      <c r="H24" s="37">
        <f>D24+F24-G24</f>
        <v>-9689.2599999999948</v>
      </c>
      <c r="I24" s="38">
        <f>H24</f>
        <v>-9689.2599999999948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8">
        <v>-16598.14</v>
      </c>
      <c r="E25" s="10">
        <v>210681.84</v>
      </c>
      <c r="F25" s="10">
        <v>209706.68</v>
      </c>
      <c r="G25" s="35">
        <f>E25</f>
        <v>210681.84</v>
      </c>
      <c r="H25" s="37">
        <f>D25+F25-G25</f>
        <v>-17573.300000000017</v>
      </c>
      <c r="I25" s="38">
        <f>H25</f>
        <v>-17573.300000000017</v>
      </c>
    </row>
    <row r="26" spans="1:9" x14ac:dyDescent="0.25">
      <c r="A26" s="10" t="s">
        <v>51</v>
      </c>
      <c r="B26" s="10" t="s">
        <v>191</v>
      </c>
      <c r="C26" s="38">
        <v>1</v>
      </c>
      <c r="D26" s="38">
        <v>-67.8</v>
      </c>
      <c r="E26" s="244">
        <v>22827.599999999999</v>
      </c>
      <c r="F26" s="193">
        <v>22557.81</v>
      </c>
      <c r="G26" s="38">
        <f>E26</f>
        <v>22827.599999999999</v>
      </c>
      <c r="H26" s="193">
        <f>D26+F26-G26</f>
        <v>-337.58999999999651</v>
      </c>
      <c r="I26" s="38">
        <f>H26</f>
        <v>-337.58999999999651</v>
      </c>
    </row>
    <row r="27" spans="1:9" x14ac:dyDescent="0.25">
      <c r="A27" s="10" t="s">
        <v>56</v>
      </c>
      <c r="B27" s="35" t="s">
        <v>140</v>
      </c>
      <c r="C27" s="10">
        <v>3.43</v>
      </c>
      <c r="D27" s="38">
        <v>-12351.38</v>
      </c>
      <c r="E27" s="38">
        <v>117664.35</v>
      </c>
      <c r="F27" s="38">
        <v>126527.6</v>
      </c>
      <c r="G27" s="38">
        <f>E27</f>
        <v>117664.35</v>
      </c>
      <c r="H27" s="34">
        <f>D27+F27-G27</f>
        <v>-3488.1300000000047</v>
      </c>
      <c r="I27" s="38">
        <f>H27</f>
        <v>-3488.1300000000047</v>
      </c>
    </row>
    <row r="28" spans="1:9" x14ac:dyDescent="0.25">
      <c r="A28" s="11" t="s">
        <v>60</v>
      </c>
      <c r="B28" s="11" t="s">
        <v>310</v>
      </c>
      <c r="C28" s="13">
        <v>1.82</v>
      </c>
      <c r="D28" s="41">
        <v>126014.79</v>
      </c>
      <c r="E28" s="11">
        <v>83356.44</v>
      </c>
      <c r="F28" s="11">
        <f>F29+F30</f>
        <v>84186.89</v>
      </c>
      <c r="G28" s="11">
        <f>I60</f>
        <v>40052.14</v>
      </c>
      <c r="H28" s="15">
        <f t="shared" ref="H28" si="1">D28+F28-G28</f>
        <v>170149.53999999998</v>
      </c>
      <c r="I28" s="41"/>
    </row>
    <row r="29" spans="1:9" x14ac:dyDescent="0.25">
      <c r="A29" s="11"/>
      <c r="B29" s="8" t="s">
        <v>53</v>
      </c>
      <c r="C29" s="13"/>
      <c r="D29" s="38"/>
      <c r="E29" s="11">
        <v>0</v>
      </c>
      <c r="F29" s="11">
        <v>83086.149999999994</v>
      </c>
      <c r="G29" s="13"/>
      <c r="H29" s="15"/>
      <c r="I29" s="38"/>
    </row>
    <row r="30" spans="1:9" x14ac:dyDescent="0.25">
      <c r="A30" s="11"/>
      <c r="B30" s="8" t="s">
        <v>54</v>
      </c>
      <c r="C30" s="13"/>
      <c r="D30" s="38"/>
      <c r="E30" s="11"/>
      <c r="F30" s="11">
        <v>1100.74</v>
      </c>
      <c r="G30" s="13"/>
      <c r="H30" s="15"/>
      <c r="I30" s="38"/>
    </row>
    <row r="31" spans="1:9" x14ac:dyDescent="0.25">
      <c r="A31" s="11" t="s">
        <v>355</v>
      </c>
      <c r="B31" s="11" t="s">
        <v>511</v>
      </c>
      <c r="C31" s="16">
        <v>0</v>
      </c>
      <c r="D31" s="14">
        <v>76728.179999999993</v>
      </c>
      <c r="E31" s="11">
        <v>0</v>
      </c>
      <c r="F31" s="11">
        <v>0</v>
      </c>
      <c r="G31" s="13">
        <v>0</v>
      </c>
      <c r="H31" s="14">
        <f>D31+F31-G31</f>
        <v>76728.179999999993</v>
      </c>
      <c r="I31" s="16"/>
    </row>
    <row r="32" spans="1:9" x14ac:dyDescent="0.25">
      <c r="A32" s="8"/>
      <c r="B32" s="8" t="s">
        <v>53</v>
      </c>
      <c r="C32" s="28"/>
      <c r="D32" s="7"/>
      <c r="E32" s="8">
        <v>0</v>
      </c>
      <c r="F32" s="8">
        <v>0</v>
      </c>
      <c r="G32" s="9">
        <v>0</v>
      </c>
      <c r="H32" s="7"/>
      <c r="I32" s="30"/>
    </row>
    <row r="33" spans="1:9" x14ac:dyDescent="0.25">
      <c r="A33" s="1" t="s">
        <v>59</v>
      </c>
      <c r="B33" s="2"/>
      <c r="C33" s="2"/>
      <c r="D33" s="210"/>
      <c r="E33" s="211"/>
      <c r="F33" s="200"/>
      <c r="G33" s="200"/>
      <c r="H33" s="200"/>
      <c r="I33" s="2"/>
    </row>
    <row r="34" spans="1:9" x14ac:dyDescent="0.25">
      <c r="A34" s="63" t="s">
        <v>193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30292.46</v>
      </c>
      <c r="D36" s="8">
        <v>12000</v>
      </c>
      <c r="E36" s="162">
        <f>D36*15%</f>
        <v>1800</v>
      </c>
      <c r="F36" s="21">
        <f>C36+D36-E36</f>
        <v>40492.46</v>
      </c>
      <c r="G36" s="21"/>
      <c r="H36" s="162">
        <f>F36</f>
        <v>40492.46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55"/>
      <c r="C40" s="6"/>
      <c r="D40" s="43"/>
      <c r="E40" s="6"/>
      <c r="F40" s="43" t="s">
        <v>88</v>
      </c>
      <c r="G40" s="6" t="s">
        <v>89</v>
      </c>
      <c r="H40" s="6"/>
      <c r="I40" s="6" t="s">
        <v>512</v>
      </c>
    </row>
    <row r="41" spans="1:9" x14ac:dyDescent="0.25">
      <c r="A41" s="6"/>
      <c r="B41" s="55"/>
      <c r="C41" s="6"/>
      <c r="D41" s="43"/>
      <c r="E41" s="6"/>
      <c r="F41" s="43"/>
      <c r="G41" s="6"/>
      <c r="H41" s="6"/>
      <c r="I41" s="6"/>
    </row>
    <row r="42" spans="1:9" x14ac:dyDescent="0.25">
      <c r="A42" s="8"/>
      <c r="B42" s="8"/>
      <c r="C42" s="9"/>
      <c r="D42" s="8"/>
      <c r="E42" s="9"/>
      <c r="F42" s="8"/>
      <c r="G42" s="9"/>
      <c r="H42" s="8"/>
      <c r="I42" s="8"/>
    </row>
    <row r="43" spans="1:9" x14ac:dyDescent="0.25">
      <c r="A43" s="6">
        <v>1</v>
      </c>
      <c r="B43" s="6" t="s">
        <v>91</v>
      </c>
      <c r="C43" s="4" t="s">
        <v>92</v>
      </c>
      <c r="D43" s="6">
        <v>-29897.439999999999</v>
      </c>
      <c r="E43" s="217">
        <v>294927.46999999997</v>
      </c>
      <c r="F43" s="6">
        <v>289184.59999999998</v>
      </c>
      <c r="G43" s="217">
        <f>E43</f>
        <v>294927.46999999997</v>
      </c>
      <c r="H43" s="6">
        <f>D43+F43-G43</f>
        <v>-35640.31</v>
      </c>
      <c r="I43" s="6">
        <f>H43</f>
        <v>-35640.31</v>
      </c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95</v>
      </c>
      <c r="C45" s="1" t="s">
        <v>96</v>
      </c>
      <c r="D45" s="17">
        <v>-110383.13</v>
      </c>
      <c r="E45" s="2">
        <v>458884.48</v>
      </c>
      <c r="F45" s="6">
        <v>454413.44</v>
      </c>
      <c r="G45" s="2">
        <f>E45</f>
        <v>458884.48</v>
      </c>
      <c r="H45" s="6">
        <f>D45+F45-G45</f>
        <v>-114854.16999999998</v>
      </c>
      <c r="I45" s="17">
        <f>H45</f>
        <v>-114854.16999999998</v>
      </c>
    </row>
    <row r="46" spans="1:9" x14ac:dyDescent="0.25">
      <c r="A46" s="8"/>
      <c r="B46" s="8" t="s">
        <v>97</v>
      </c>
      <c r="C46" s="35"/>
      <c r="D46" s="8" t="s">
        <v>72</v>
      </c>
      <c r="E46" s="9"/>
      <c r="F46" s="8"/>
      <c r="G46" s="9"/>
      <c r="H46" s="5" t="s">
        <v>72</v>
      </c>
      <c r="I46" s="8" t="str">
        <f>H46</f>
        <v xml:space="preserve"> </v>
      </c>
    </row>
    <row r="47" spans="1:9" x14ac:dyDescent="0.25">
      <c r="A47" s="8"/>
      <c r="B47" s="8" t="s">
        <v>313</v>
      </c>
      <c r="C47" s="35" t="s">
        <v>94</v>
      </c>
      <c r="D47" s="8"/>
      <c r="E47" s="9"/>
      <c r="F47" s="8"/>
      <c r="G47" s="9"/>
      <c r="H47" s="5"/>
      <c r="I47" s="8"/>
    </row>
    <row r="48" spans="1:9" x14ac:dyDescent="0.25">
      <c r="A48" s="8">
        <v>3</v>
      </c>
      <c r="B48" s="8" t="s">
        <v>99</v>
      </c>
      <c r="C48" s="35" t="s">
        <v>100</v>
      </c>
      <c r="D48" s="8">
        <v>-209427.51</v>
      </c>
      <c r="E48" s="9">
        <v>1060892.04</v>
      </c>
      <c r="F48" s="8">
        <v>1009347.3</v>
      </c>
      <c r="G48" s="9">
        <f>E48</f>
        <v>1060892.04</v>
      </c>
      <c r="H48" s="8">
        <f>D48+F48-G48</f>
        <v>-260972.25</v>
      </c>
      <c r="I48" s="8">
        <f>H48</f>
        <v>-260972.25</v>
      </c>
    </row>
    <row r="49" spans="1:9" x14ac:dyDescent="0.25">
      <c r="A49" s="4"/>
      <c r="B49" s="4" t="s">
        <v>251</v>
      </c>
      <c r="C49" s="1"/>
      <c r="D49" s="1"/>
      <c r="E49" s="1"/>
      <c r="F49" s="1"/>
      <c r="G49" s="1"/>
      <c r="H49" s="1"/>
      <c r="I49" s="1"/>
    </row>
    <row r="50" spans="1:9" x14ac:dyDescent="0.25">
      <c r="A50" s="4" t="s">
        <v>252</v>
      </c>
      <c r="B50" s="4"/>
      <c r="C50" s="1"/>
      <c r="D50" s="1"/>
      <c r="E50" s="1"/>
      <c r="F50" s="1"/>
      <c r="G50" s="1"/>
      <c r="H50" s="1"/>
      <c r="I50" s="1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54"/>
      <c r="G51" s="5" t="s">
        <v>199</v>
      </c>
      <c r="H51" s="47" t="s">
        <v>200</v>
      </c>
      <c r="I51" s="47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43"/>
      <c r="G52" s="6" t="s">
        <v>201</v>
      </c>
      <c r="H52" s="56"/>
      <c r="I52" s="56" t="s">
        <v>109</v>
      </c>
    </row>
    <row r="53" spans="1:9" x14ac:dyDescent="0.25">
      <c r="A53" s="49"/>
      <c r="B53" s="6"/>
      <c r="C53" s="49"/>
      <c r="D53" s="43"/>
      <c r="E53" s="43"/>
      <c r="F53" s="43"/>
      <c r="G53" s="6"/>
      <c r="H53" s="56"/>
      <c r="I53" s="56"/>
    </row>
    <row r="54" spans="1:9" x14ac:dyDescent="0.25">
      <c r="A54" s="49"/>
      <c r="B54" s="17"/>
      <c r="C54" s="50"/>
      <c r="D54" s="61"/>
      <c r="E54" s="61"/>
      <c r="F54" s="61"/>
      <c r="G54" s="17"/>
      <c r="H54" s="51"/>
      <c r="I54" s="51"/>
    </row>
    <row r="55" spans="1:9" x14ac:dyDescent="0.25">
      <c r="A55" s="62"/>
      <c r="B55" s="63"/>
      <c r="C55" s="55" t="s">
        <v>110</v>
      </c>
      <c r="D55" s="4"/>
      <c r="E55" s="4"/>
      <c r="F55" s="43"/>
      <c r="G55" s="6"/>
      <c r="H55" s="56"/>
      <c r="I55" s="47"/>
    </row>
    <row r="56" spans="1:9" x14ac:dyDescent="0.25">
      <c r="A56" s="64" t="s">
        <v>111</v>
      </c>
      <c r="B56" s="65">
        <v>43186</v>
      </c>
      <c r="C56" s="49" t="s">
        <v>112</v>
      </c>
      <c r="D56" s="43"/>
      <c r="E56" s="43"/>
      <c r="F56" s="43"/>
      <c r="G56" s="26" t="s">
        <v>513</v>
      </c>
      <c r="H56" s="56">
        <v>68</v>
      </c>
      <c r="I56" s="56">
        <v>13600</v>
      </c>
    </row>
    <row r="57" spans="1:9" x14ac:dyDescent="0.25">
      <c r="A57" s="64" t="s">
        <v>114</v>
      </c>
      <c r="B57" s="65">
        <v>43312</v>
      </c>
      <c r="C57" s="49" t="s">
        <v>490</v>
      </c>
      <c r="D57" s="43"/>
      <c r="E57" s="43"/>
      <c r="F57" s="43"/>
      <c r="G57" s="26" t="s">
        <v>169</v>
      </c>
      <c r="H57" s="56">
        <v>32.200000000000003</v>
      </c>
      <c r="I57" s="56">
        <v>12852.14</v>
      </c>
    </row>
    <row r="58" spans="1:9" x14ac:dyDescent="0.25">
      <c r="A58" s="64" t="s">
        <v>170</v>
      </c>
      <c r="B58" s="65">
        <v>43404</v>
      </c>
      <c r="C58" s="49" t="s">
        <v>112</v>
      </c>
      <c r="D58" s="43"/>
      <c r="E58" s="43"/>
      <c r="F58" s="43"/>
      <c r="G58" s="26" t="s">
        <v>116</v>
      </c>
      <c r="H58" s="56">
        <v>68</v>
      </c>
      <c r="I58" s="56">
        <v>13600</v>
      </c>
    </row>
    <row r="59" spans="1:9" x14ac:dyDescent="0.25">
      <c r="A59" s="64"/>
      <c r="B59" s="65"/>
      <c r="C59" s="49"/>
      <c r="D59" s="43"/>
      <c r="E59" s="43"/>
      <c r="F59" s="43"/>
      <c r="G59" s="26"/>
      <c r="H59" s="56"/>
      <c r="I59" s="56"/>
    </row>
    <row r="60" spans="1:9" x14ac:dyDescent="0.25">
      <c r="A60" s="66"/>
      <c r="B60" s="17"/>
      <c r="C60" s="14" t="s">
        <v>117</v>
      </c>
      <c r="D60" s="61"/>
      <c r="E60" s="61"/>
      <c r="F60" s="61"/>
      <c r="G60" s="21"/>
      <c r="H60" s="51"/>
      <c r="I60" s="67">
        <f>SUM(I55:I59)</f>
        <v>40052.14</v>
      </c>
    </row>
    <row r="61" spans="1:9" x14ac:dyDescent="0.25">
      <c r="A61" s="43"/>
      <c r="B61" s="43"/>
      <c r="C61" s="43"/>
      <c r="D61" s="43"/>
      <c r="E61" s="43"/>
      <c r="F61" s="43"/>
      <c r="G61" s="19"/>
      <c r="H61" s="43"/>
      <c r="I61" s="43"/>
    </row>
    <row r="62" spans="1:9" x14ac:dyDescent="0.25">
      <c r="A62" s="2" t="s">
        <v>206</v>
      </c>
      <c r="B62" s="2"/>
      <c r="C62" s="2"/>
      <c r="D62" s="189" t="s">
        <v>119</v>
      </c>
      <c r="F62" s="2" t="s">
        <v>120</v>
      </c>
      <c r="H62" s="2" t="s">
        <v>264</v>
      </c>
      <c r="I62" s="2" t="s">
        <v>265</v>
      </c>
    </row>
  </sheetData>
  <pageMargins left="0.7" right="0.7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7" workbookViewId="0">
      <selection activeCell="E30" sqref="E30"/>
    </sheetView>
  </sheetViews>
  <sheetFormatPr defaultRowHeight="15" x14ac:dyDescent="0.25"/>
  <cols>
    <col min="1" max="1" width="5.7109375" customWidth="1"/>
    <col min="2" max="2" width="35.28515625" customWidth="1"/>
    <col min="3" max="3" width="13.7109375" customWidth="1"/>
    <col min="4" max="4" width="10.7109375" customWidth="1"/>
    <col min="5" max="5" width="10.85546875" customWidth="1"/>
    <col min="7" max="7" width="11.5703125" customWidth="1"/>
    <col min="8" max="8" width="13" customWidth="1"/>
    <col min="9" max="9" width="21.425781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368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514</v>
      </c>
      <c r="B7" s="1"/>
      <c r="C7" s="1"/>
      <c r="D7" s="1"/>
      <c r="E7" s="2"/>
      <c r="F7" s="2"/>
      <c r="G7" s="2"/>
      <c r="H7" s="2"/>
      <c r="I7" s="2"/>
    </row>
    <row r="8" spans="1:9" x14ac:dyDescent="0.25">
      <c r="A8" s="2" t="s">
        <v>515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516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517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518</v>
      </c>
    </row>
    <row r="17" spans="1:9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519</v>
      </c>
    </row>
    <row r="18" spans="1:9" x14ac:dyDescent="0.25">
      <c r="A18" s="209">
        <v>1</v>
      </c>
      <c r="B18" s="9">
        <v>2</v>
      </c>
      <c r="C18" s="8">
        <v>3</v>
      </c>
      <c r="D18" s="9">
        <v>4</v>
      </c>
      <c r="E18" s="8">
        <v>5</v>
      </c>
      <c r="F18" s="9">
        <v>6</v>
      </c>
      <c r="G18" s="8">
        <v>7</v>
      </c>
      <c r="H18" s="9">
        <v>8</v>
      </c>
      <c r="I18" s="8">
        <v>9</v>
      </c>
    </row>
    <row r="19" spans="1:9" x14ac:dyDescent="0.25">
      <c r="A19" s="159">
        <v>1</v>
      </c>
      <c r="B19" s="63" t="s">
        <v>186</v>
      </c>
      <c r="C19" s="159"/>
      <c r="D19" s="63"/>
      <c r="E19" s="203" t="s">
        <v>72</v>
      </c>
      <c r="F19" s="63" t="s">
        <v>72</v>
      </c>
      <c r="G19" s="53"/>
      <c r="H19" s="63" t="s">
        <v>72</v>
      </c>
      <c r="I19" s="160" t="s">
        <v>72</v>
      </c>
    </row>
    <row r="20" spans="1:9" x14ac:dyDescent="0.25">
      <c r="A20" s="13"/>
      <c r="B20" s="11" t="s">
        <v>187</v>
      </c>
      <c r="C20" s="13">
        <v>8.07</v>
      </c>
      <c r="D20" s="16">
        <v>3193.62</v>
      </c>
      <c r="E20" s="13">
        <v>54172.44</v>
      </c>
      <c r="F20" s="11">
        <v>52205.63</v>
      </c>
      <c r="G20" s="14">
        <f t="shared" ref="G20:G26" si="0">E20</f>
        <v>54172.44</v>
      </c>
      <c r="H20" s="16">
        <f>D20+F20-G20</f>
        <v>1226.8099999999977</v>
      </c>
      <c r="I20" s="16"/>
    </row>
    <row r="21" spans="1:9" x14ac:dyDescent="0.25">
      <c r="A21" s="6" t="s">
        <v>36</v>
      </c>
      <c r="B21" s="17" t="s">
        <v>37</v>
      </c>
      <c r="C21" s="61">
        <v>3.08</v>
      </c>
      <c r="D21" s="26"/>
      <c r="E21" s="19">
        <f>E20*38/100</f>
        <v>20585.5272</v>
      </c>
      <c r="F21" s="26">
        <f>F20*38%</f>
        <v>19838.1394</v>
      </c>
      <c r="G21" s="19">
        <f t="shared" si="0"/>
        <v>20585.5272</v>
      </c>
      <c r="H21" s="26"/>
      <c r="I21" s="26"/>
    </row>
    <row r="22" spans="1:9" x14ac:dyDescent="0.25">
      <c r="A22" s="22" t="s">
        <v>38</v>
      </c>
      <c r="B22" s="5" t="s">
        <v>39</v>
      </c>
      <c r="C22" s="54">
        <v>1.51</v>
      </c>
      <c r="D22" s="33"/>
      <c r="E22" s="24">
        <f>E20*18.7/100</f>
        <v>10130.246279999999</v>
      </c>
      <c r="F22" s="33">
        <f>F20*18.7/100</f>
        <v>9762.4528099999989</v>
      </c>
      <c r="G22" s="25">
        <f t="shared" si="0"/>
        <v>10130.246279999999</v>
      </c>
      <c r="H22" s="33"/>
      <c r="I22" s="33"/>
    </row>
    <row r="23" spans="1:9" x14ac:dyDescent="0.25">
      <c r="A23" s="22" t="s">
        <v>40</v>
      </c>
      <c r="B23" s="5" t="s">
        <v>41</v>
      </c>
      <c r="C23" s="54">
        <v>0.88</v>
      </c>
      <c r="D23" s="30"/>
      <c r="E23" s="24">
        <f>E20*11.1/100</f>
        <v>6013.14084</v>
      </c>
      <c r="F23" s="33">
        <f>F20*11.1/100</f>
        <v>5794.8249299999989</v>
      </c>
      <c r="G23" s="29">
        <f t="shared" si="0"/>
        <v>6013.14084</v>
      </c>
      <c r="H23" s="30"/>
      <c r="I23" s="30"/>
    </row>
    <row r="24" spans="1:9" x14ac:dyDescent="0.25">
      <c r="A24" s="31" t="s">
        <v>42</v>
      </c>
      <c r="B24" s="8" t="s">
        <v>43</v>
      </c>
      <c r="C24" s="9">
        <v>2.6</v>
      </c>
      <c r="D24" s="33"/>
      <c r="E24" s="28">
        <f>E20*32.2%</f>
        <v>17443.525680000002</v>
      </c>
      <c r="F24" s="30">
        <f>F20*32.2/100</f>
        <v>16810.21286</v>
      </c>
      <c r="G24" s="30">
        <f t="shared" si="0"/>
        <v>17443.525680000002</v>
      </c>
      <c r="H24" s="33"/>
      <c r="I24" s="33"/>
    </row>
    <row r="25" spans="1:9" x14ac:dyDescent="0.25">
      <c r="A25" s="245" t="s">
        <v>44</v>
      </c>
      <c r="B25" s="8" t="s">
        <v>47</v>
      </c>
      <c r="C25" s="35" t="s">
        <v>48</v>
      </c>
      <c r="D25" s="8">
        <v>-1457.14</v>
      </c>
      <c r="E25" s="8">
        <v>10540.14</v>
      </c>
      <c r="F25" s="8">
        <v>10456.530000000001</v>
      </c>
      <c r="G25" s="48">
        <f>E25</f>
        <v>10540.14</v>
      </c>
      <c r="H25" s="8">
        <f>D25+F25-G25</f>
        <v>-1540.7499999999982</v>
      </c>
      <c r="I25" s="63">
        <f>H25</f>
        <v>-1540.7499999999982</v>
      </c>
    </row>
    <row r="26" spans="1:9" x14ac:dyDescent="0.25">
      <c r="A26" s="1" t="s">
        <v>49</v>
      </c>
      <c r="B26" s="11" t="s">
        <v>50</v>
      </c>
      <c r="C26" s="39">
        <v>4.5999999999999996</v>
      </c>
      <c r="D26" s="39">
        <v>1552.09</v>
      </c>
      <c r="E26" s="39">
        <v>30878.880000000001</v>
      </c>
      <c r="F26" s="1">
        <v>29995.13</v>
      </c>
      <c r="G26" s="39">
        <f t="shared" si="0"/>
        <v>30878.880000000001</v>
      </c>
      <c r="H26" s="63">
        <f>D26+F26-G26</f>
        <v>668.34000000000015</v>
      </c>
      <c r="I26" s="63"/>
    </row>
    <row r="27" spans="1:9" x14ac:dyDescent="0.25">
      <c r="A27" s="63" t="s">
        <v>51</v>
      </c>
      <c r="B27" s="39" t="s">
        <v>310</v>
      </c>
      <c r="C27" s="53">
        <v>1.48</v>
      </c>
      <c r="D27" s="63">
        <v>58917.16</v>
      </c>
      <c r="E27" s="159">
        <v>9934.92</v>
      </c>
      <c r="F27" s="63">
        <f>F28+F29</f>
        <v>30377.17</v>
      </c>
      <c r="G27" s="159">
        <f>G28</f>
        <v>24156</v>
      </c>
      <c r="H27" s="63">
        <f>D27+F27-G27</f>
        <v>65138.33</v>
      </c>
      <c r="I27" s="63"/>
    </row>
    <row r="28" spans="1:9" x14ac:dyDescent="0.25">
      <c r="A28" s="10"/>
      <c r="B28" s="8" t="s">
        <v>53</v>
      </c>
      <c r="C28" s="35"/>
      <c r="D28" s="10"/>
      <c r="E28" s="35"/>
      <c r="F28" s="10">
        <v>9703.8700000000008</v>
      </c>
      <c r="G28" s="35">
        <f>I52</f>
        <v>24156</v>
      </c>
      <c r="H28" s="10"/>
      <c r="I28" s="10"/>
    </row>
    <row r="29" spans="1:9" x14ac:dyDescent="0.25">
      <c r="A29" s="39"/>
      <c r="B29" s="8" t="s">
        <v>367</v>
      </c>
      <c r="C29" s="10"/>
      <c r="D29" s="10"/>
      <c r="E29" s="35"/>
      <c r="F29" s="10">
        <v>20673.3</v>
      </c>
      <c r="G29" s="35"/>
      <c r="H29" s="10"/>
      <c r="I29" s="39"/>
    </row>
    <row r="30" spans="1:9" x14ac:dyDescent="0.25">
      <c r="A30" s="10" t="s">
        <v>56</v>
      </c>
      <c r="B30" s="10" t="s">
        <v>57</v>
      </c>
      <c r="C30" s="13">
        <v>0</v>
      </c>
      <c r="D30" s="10">
        <v>20673.3</v>
      </c>
      <c r="E30" s="10">
        <v>0</v>
      </c>
      <c r="F30" s="10">
        <v>-20673.3</v>
      </c>
      <c r="G30" s="35">
        <v>0</v>
      </c>
      <c r="H30" s="10">
        <f>D30+F30-G30</f>
        <v>0</v>
      </c>
      <c r="I30" s="10"/>
    </row>
    <row r="31" spans="1:9" x14ac:dyDescent="0.25">
      <c r="A31" s="8"/>
      <c r="B31" s="8" t="s">
        <v>58</v>
      </c>
      <c r="C31" s="9" t="s">
        <v>72</v>
      </c>
      <c r="D31" s="8"/>
      <c r="E31" s="9">
        <v>0</v>
      </c>
      <c r="F31" s="8">
        <v>20673.3</v>
      </c>
      <c r="G31" s="9">
        <v>0</v>
      </c>
      <c r="H31" s="8"/>
      <c r="I31" s="8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4" t="s">
        <v>70</v>
      </c>
      <c r="B36" s="2"/>
      <c r="C36" s="2"/>
      <c r="E36" s="2"/>
      <c r="F36" s="2"/>
      <c r="G36" s="2"/>
      <c r="H36" s="2"/>
      <c r="I36" s="2"/>
    </row>
    <row r="37" spans="1:9" x14ac:dyDescent="0.25">
      <c r="A37" s="1" t="s">
        <v>71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520</v>
      </c>
      <c r="H38" s="54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89</v>
      </c>
      <c r="H39" s="43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/>
      <c r="H40" s="43"/>
      <c r="I40" s="6" t="s">
        <v>521</v>
      </c>
    </row>
    <row r="41" spans="1:9" x14ac:dyDescent="0.25">
      <c r="A41" s="6"/>
      <c r="B41" s="49"/>
      <c r="C41" s="6"/>
      <c r="D41" s="43"/>
      <c r="E41" s="6"/>
      <c r="F41" s="43"/>
      <c r="G41" s="17"/>
      <c r="H41" s="43"/>
      <c r="I41" s="6"/>
    </row>
    <row r="42" spans="1:9" x14ac:dyDescent="0.25">
      <c r="A42" s="8">
        <v>1</v>
      </c>
      <c r="B42" s="8" t="s">
        <v>91</v>
      </c>
      <c r="C42" s="35" t="s">
        <v>92</v>
      </c>
      <c r="D42" s="8">
        <v>-4111.5</v>
      </c>
      <c r="E42" s="59">
        <v>70736.36</v>
      </c>
      <c r="F42" s="8">
        <v>71660.36</v>
      </c>
      <c r="G42" s="59">
        <f>E42</f>
        <v>70736.36</v>
      </c>
      <c r="H42" s="7">
        <f>D42+F42-G42</f>
        <v>-3187.5</v>
      </c>
      <c r="I42" s="8">
        <f>H42</f>
        <v>-3187.5</v>
      </c>
    </row>
    <row r="43" spans="1:9" x14ac:dyDescent="0.25">
      <c r="A43" s="8"/>
      <c r="B43" s="8" t="s">
        <v>487</v>
      </c>
      <c r="C43" s="35" t="s">
        <v>94</v>
      </c>
      <c r="D43" s="8"/>
      <c r="E43" s="59"/>
      <c r="F43" s="8"/>
      <c r="G43" s="59"/>
      <c r="H43" s="49"/>
      <c r="I43" s="6"/>
    </row>
    <row r="44" spans="1:9" x14ac:dyDescent="0.25">
      <c r="A44" s="8">
        <v>2</v>
      </c>
      <c r="B44" s="8" t="s">
        <v>99</v>
      </c>
      <c r="C44" s="35" t="s">
        <v>100</v>
      </c>
      <c r="D44" s="8">
        <v>-18866.02</v>
      </c>
      <c r="E44" s="9">
        <v>0</v>
      </c>
      <c r="F44" s="8">
        <v>92.69</v>
      </c>
      <c r="G44" s="9">
        <f>E44</f>
        <v>0</v>
      </c>
      <c r="H44" s="7">
        <f>D44+F44-G44</f>
        <v>-18773.330000000002</v>
      </c>
      <c r="I44" s="8">
        <f>H44</f>
        <v>-18773.330000000002</v>
      </c>
    </row>
    <row r="45" spans="1:9" x14ac:dyDescent="0.25">
      <c r="A45" s="1" t="s">
        <v>522</v>
      </c>
      <c r="B45" s="2"/>
      <c r="C45" s="2"/>
      <c r="D45" s="2"/>
      <c r="E45" s="2"/>
      <c r="F45" s="2"/>
      <c r="G45" s="2"/>
      <c r="H45" s="2"/>
      <c r="I45" s="6"/>
    </row>
    <row r="46" spans="1:9" x14ac:dyDescent="0.25">
      <c r="A46" s="4" t="s">
        <v>523</v>
      </c>
      <c r="B46" s="2"/>
      <c r="C46" s="2"/>
      <c r="D46" s="2"/>
      <c r="E46" s="2"/>
      <c r="F46" s="2"/>
      <c r="G46" s="2"/>
      <c r="H46" s="2"/>
      <c r="I46" s="6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47"/>
      <c r="G47" s="5" t="s">
        <v>105</v>
      </c>
      <c r="H47" s="46" t="s">
        <v>106</v>
      </c>
      <c r="I47" s="5" t="s">
        <v>107</v>
      </c>
    </row>
    <row r="48" spans="1:9" x14ac:dyDescent="0.25">
      <c r="A48" s="50" t="s">
        <v>108</v>
      </c>
      <c r="B48" s="17"/>
      <c r="C48" s="50"/>
      <c r="D48" s="61"/>
      <c r="E48" s="61"/>
      <c r="F48" s="51"/>
      <c r="G48" s="6"/>
      <c r="H48" s="49"/>
      <c r="I48" s="6" t="s">
        <v>109</v>
      </c>
    </row>
    <row r="49" spans="1:9" x14ac:dyDescent="0.25">
      <c r="A49" s="62"/>
      <c r="B49" s="63"/>
      <c r="C49" s="55"/>
      <c r="D49" s="4"/>
      <c r="E49" s="4"/>
      <c r="F49" s="56"/>
      <c r="G49" s="5"/>
      <c r="H49" s="46"/>
      <c r="I49" s="5"/>
    </row>
    <row r="50" spans="1:9" x14ac:dyDescent="0.25">
      <c r="A50" s="64" t="s">
        <v>111</v>
      </c>
      <c r="B50" s="65">
        <v>43251</v>
      </c>
      <c r="C50" s="49" t="s">
        <v>524</v>
      </c>
      <c r="D50" s="43"/>
      <c r="E50" s="43"/>
      <c r="F50" s="56" t="s">
        <v>72</v>
      </c>
      <c r="G50" s="6" t="s">
        <v>205</v>
      </c>
      <c r="H50" s="49">
        <v>1</v>
      </c>
      <c r="I50" s="6">
        <v>17756</v>
      </c>
    </row>
    <row r="51" spans="1:9" x14ac:dyDescent="0.25">
      <c r="A51" s="64" t="s">
        <v>114</v>
      </c>
      <c r="B51" s="65">
        <v>43404</v>
      </c>
      <c r="C51" s="49" t="s">
        <v>112</v>
      </c>
      <c r="D51" s="43"/>
      <c r="E51" s="43"/>
      <c r="F51" s="56"/>
      <c r="G51" s="26" t="s">
        <v>116</v>
      </c>
      <c r="H51" s="49">
        <v>32</v>
      </c>
      <c r="I51" s="6">
        <v>6400</v>
      </c>
    </row>
    <row r="52" spans="1:9" x14ac:dyDescent="0.25">
      <c r="A52" s="66"/>
      <c r="B52" s="17"/>
      <c r="C52" s="14" t="s">
        <v>117</v>
      </c>
      <c r="D52" s="13"/>
      <c r="E52" s="13"/>
      <c r="F52" s="67"/>
      <c r="G52" s="16"/>
      <c r="H52" s="14"/>
      <c r="I52" s="11">
        <f>SUM(I49:I51)</f>
        <v>24156</v>
      </c>
    </row>
    <row r="53" spans="1:9" x14ac:dyDescent="0.25">
      <c r="A53" s="43"/>
      <c r="B53" s="43"/>
      <c r="C53" s="43"/>
      <c r="D53" s="43"/>
      <c r="E53" s="43"/>
      <c r="F53" s="43"/>
      <c r="G53" s="43"/>
      <c r="H53" s="43"/>
      <c r="I53" s="43"/>
    </row>
    <row r="54" spans="1:9" x14ac:dyDescent="0.25">
      <c r="A54" s="43"/>
      <c r="B54" s="4"/>
      <c r="C54" s="4"/>
      <c r="D54" s="43"/>
      <c r="E54" s="43"/>
      <c r="F54" s="43"/>
      <c r="G54" s="43"/>
      <c r="H54" s="43"/>
      <c r="I54" s="43"/>
    </row>
    <row r="55" spans="1:9" x14ac:dyDescent="0.25">
      <c r="A55" s="68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2" t="s">
        <v>302</v>
      </c>
      <c r="B56" s="2"/>
      <c r="C56" s="2" t="s">
        <v>525</v>
      </c>
      <c r="D56" s="2"/>
      <c r="E56" s="2"/>
      <c r="F56" s="2"/>
      <c r="G56" s="2" t="s">
        <v>526</v>
      </c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9" spans="1:9" x14ac:dyDescent="0.25">
      <c r="A59" s="166"/>
      <c r="B59" s="166"/>
      <c r="C59" s="166"/>
      <c r="D59" s="166"/>
      <c r="E59" s="166"/>
      <c r="F59" s="166"/>
      <c r="G59" s="166"/>
      <c r="H59" s="166"/>
      <c r="I59" s="166"/>
    </row>
    <row r="60" spans="1:9" x14ac:dyDescent="0.25">
      <c r="A60" s="166"/>
      <c r="B60" s="166"/>
      <c r="C60" s="166"/>
      <c r="D60" s="166"/>
      <c r="E60" s="166"/>
      <c r="F60" s="166"/>
      <c r="G60" s="166"/>
      <c r="H60" s="166"/>
      <c r="I60" s="166"/>
    </row>
    <row r="61" spans="1:9" x14ac:dyDescent="0.25">
      <c r="A61" s="166"/>
      <c r="B61" s="166"/>
      <c r="C61" s="166"/>
      <c r="D61" s="166"/>
      <c r="E61" s="166"/>
      <c r="F61" s="166"/>
      <c r="G61" s="166"/>
      <c r="H61" s="166"/>
      <c r="I61" s="166"/>
    </row>
    <row r="62" spans="1:9" x14ac:dyDescent="0.25">
      <c r="A62" s="166"/>
      <c r="B62" s="166"/>
      <c r="C62" s="166"/>
      <c r="D62" s="166"/>
      <c r="E62" s="166"/>
      <c r="F62" s="166"/>
      <c r="G62" s="166"/>
      <c r="H62" s="166"/>
      <c r="I62" s="1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I23" sqref="I23:I24"/>
    </sheetView>
  </sheetViews>
  <sheetFormatPr defaultRowHeight="15" x14ac:dyDescent="0.25"/>
  <cols>
    <col min="1" max="1" width="5.7109375" style="71" customWidth="1"/>
    <col min="2" max="2" width="30" style="71" customWidth="1"/>
    <col min="3" max="3" width="14.42578125" style="71" customWidth="1"/>
    <col min="4" max="4" width="9.140625" style="71"/>
    <col min="5" max="5" width="13.42578125" style="71" customWidth="1"/>
    <col min="6" max="6" width="14.140625" style="71" customWidth="1"/>
    <col min="7" max="7" width="9.140625" style="71"/>
    <col min="8" max="8" width="12" style="71" customWidth="1"/>
    <col min="9" max="9" width="17.85546875" style="71" customWidth="1"/>
    <col min="10" max="16384" width="9.140625" style="71"/>
  </cols>
  <sheetData>
    <row r="1" spans="1:9" x14ac:dyDescent="0.25">
      <c r="A1" s="72" t="s">
        <v>180</v>
      </c>
      <c r="B1" s="72"/>
      <c r="C1" s="72"/>
      <c r="D1" s="72"/>
      <c r="E1" s="72"/>
      <c r="F1" s="72"/>
      <c r="G1" s="72"/>
      <c r="H1" s="72"/>
      <c r="I1" s="73"/>
    </row>
    <row r="2" spans="1:9" x14ac:dyDescent="0.25">
      <c r="A2" s="72" t="s">
        <v>181</v>
      </c>
      <c r="B2" s="72"/>
      <c r="C2" s="72"/>
      <c r="D2" s="72"/>
      <c r="E2" s="72"/>
      <c r="F2" s="72"/>
      <c r="G2" s="72"/>
      <c r="H2" s="72"/>
      <c r="I2" s="73"/>
    </row>
    <row r="3" spans="1:9" x14ac:dyDescent="0.25">
      <c r="A3" s="72"/>
      <c r="B3" s="72"/>
      <c r="C3" s="72"/>
      <c r="D3" s="72"/>
      <c r="E3" s="72"/>
      <c r="F3" s="72"/>
      <c r="G3" s="72"/>
      <c r="H3" s="72"/>
      <c r="I3" s="73"/>
    </row>
    <row r="4" spans="1:9" x14ac:dyDescent="0.25">
      <c r="A4" s="138" t="s">
        <v>182</v>
      </c>
      <c r="B4" s="138"/>
      <c r="C4" s="138"/>
      <c r="D4" s="138"/>
      <c r="E4" s="138"/>
      <c r="F4" s="72"/>
      <c r="G4" s="73"/>
      <c r="H4" s="73"/>
      <c r="I4" s="73"/>
    </row>
    <row r="5" spans="1:9" x14ac:dyDescent="0.25">
      <c r="A5" s="73" t="s">
        <v>183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3" t="s">
        <v>184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3" t="s">
        <v>185</v>
      </c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2" t="s">
        <v>9</v>
      </c>
      <c r="B8" s="72"/>
      <c r="C8" s="72"/>
      <c r="D8" s="72"/>
      <c r="E8" s="72"/>
      <c r="F8" s="72"/>
      <c r="G8" s="72"/>
      <c r="H8" s="72"/>
      <c r="I8" s="73"/>
    </row>
    <row r="9" spans="1:9" x14ac:dyDescent="0.25">
      <c r="A9" s="72" t="s">
        <v>10</v>
      </c>
      <c r="B9" s="72"/>
      <c r="C9" s="72"/>
      <c r="D9" s="72"/>
      <c r="E9" s="72"/>
      <c r="F9" s="72"/>
      <c r="G9" s="72"/>
      <c r="H9" s="72"/>
      <c r="I9" s="73"/>
    </row>
    <row r="10" spans="1:9" x14ac:dyDescent="0.25">
      <c r="A10" s="74" t="s">
        <v>11</v>
      </c>
      <c r="B10" s="72"/>
      <c r="C10" s="72"/>
      <c r="D10" s="72"/>
      <c r="E10" s="72"/>
      <c r="F10" s="72"/>
      <c r="G10" s="72"/>
      <c r="H10" s="72"/>
      <c r="I10" s="73"/>
    </row>
    <row r="11" spans="1:9" x14ac:dyDescent="0.25">
      <c r="A11" s="116" t="s">
        <v>12</v>
      </c>
      <c r="B11" s="75" t="s">
        <v>13</v>
      </c>
      <c r="C11" s="75" t="s">
        <v>14</v>
      </c>
      <c r="D11" s="75" t="s">
        <v>15</v>
      </c>
      <c r="E11" s="75" t="s">
        <v>16</v>
      </c>
      <c r="F11" s="75" t="s">
        <v>17</v>
      </c>
      <c r="G11" s="75" t="s">
        <v>18</v>
      </c>
      <c r="H11" s="75" t="s">
        <v>15</v>
      </c>
      <c r="I11" s="75" t="s">
        <v>19</v>
      </c>
    </row>
    <row r="12" spans="1:9" x14ac:dyDescent="0.25">
      <c r="A12" s="119" t="s">
        <v>20</v>
      </c>
      <c r="B12" s="76"/>
      <c r="C12" s="76" t="s">
        <v>130</v>
      </c>
      <c r="D12" s="76" t="s">
        <v>22</v>
      </c>
      <c r="E12" s="76" t="s">
        <v>23</v>
      </c>
      <c r="F12" s="76" t="s">
        <v>23</v>
      </c>
      <c r="G12" s="76" t="s">
        <v>24</v>
      </c>
      <c r="H12" s="76" t="s">
        <v>25</v>
      </c>
      <c r="I12" s="76" t="s">
        <v>26</v>
      </c>
    </row>
    <row r="13" spans="1:9" x14ac:dyDescent="0.25">
      <c r="A13" s="119"/>
      <c r="B13" s="76"/>
      <c r="C13" s="76" t="s">
        <v>27</v>
      </c>
      <c r="D13" s="76" t="s">
        <v>28</v>
      </c>
      <c r="E13" s="76"/>
      <c r="F13" s="76"/>
      <c r="G13" s="76" t="s">
        <v>29</v>
      </c>
      <c r="H13" s="76" t="s">
        <v>30</v>
      </c>
      <c r="I13" s="76" t="s">
        <v>31</v>
      </c>
    </row>
    <row r="14" spans="1:9" x14ac:dyDescent="0.25">
      <c r="A14" s="119"/>
      <c r="B14" s="76"/>
      <c r="C14" s="76" t="s">
        <v>32</v>
      </c>
      <c r="D14" s="76" t="s">
        <v>33</v>
      </c>
      <c r="E14" s="76" t="s">
        <v>33</v>
      </c>
      <c r="F14" s="76" t="s">
        <v>33</v>
      </c>
      <c r="G14" s="76" t="s">
        <v>33</v>
      </c>
      <c r="H14" s="76" t="s">
        <v>33</v>
      </c>
      <c r="I14" s="76" t="s">
        <v>30</v>
      </c>
    </row>
    <row r="15" spans="1:9" x14ac:dyDescent="0.25">
      <c r="A15" s="97">
        <v>1</v>
      </c>
      <c r="B15" s="78">
        <v>2</v>
      </c>
      <c r="C15" s="97">
        <v>3</v>
      </c>
      <c r="D15" s="78">
        <v>4</v>
      </c>
      <c r="E15" s="97">
        <v>5</v>
      </c>
      <c r="F15" s="78">
        <v>6</v>
      </c>
      <c r="G15" s="79">
        <v>7</v>
      </c>
      <c r="H15" s="75">
        <v>8</v>
      </c>
      <c r="I15" s="75">
        <v>9</v>
      </c>
    </row>
    <row r="16" spans="1:9" x14ac:dyDescent="0.25">
      <c r="A16" s="139">
        <v>1</v>
      </c>
      <c r="B16" s="114" t="s">
        <v>186</v>
      </c>
      <c r="C16" s="114"/>
      <c r="D16" s="140"/>
      <c r="E16" s="141" t="s">
        <v>72</v>
      </c>
      <c r="F16" s="129" t="s">
        <v>72</v>
      </c>
      <c r="G16" s="142" t="str">
        <f>E16</f>
        <v xml:space="preserve"> </v>
      </c>
      <c r="H16" s="140"/>
      <c r="I16" s="140" t="s">
        <v>72</v>
      </c>
    </row>
    <row r="17" spans="1:9" x14ac:dyDescent="0.25">
      <c r="A17" s="101"/>
      <c r="B17" s="103" t="s">
        <v>187</v>
      </c>
      <c r="C17" s="103">
        <v>8.9600000000000009</v>
      </c>
      <c r="D17" s="143">
        <v>-22466.1</v>
      </c>
      <c r="E17" s="101">
        <v>243960.34</v>
      </c>
      <c r="F17" s="105">
        <v>229491.73</v>
      </c>
      <c r="G17" s="110">
        <f>E17</f>
        <v>243960.34</v>
      </c>
      <c r="H17" s="99">
        <f>D17+F17-G17</f>
        <v>-36934.709999999992</v>
      </c>
      <c r="I17" s="143">
        <f>H17+H23</f>
        <v>-36967.76999999999</v>
      </c>
    </row>
    <row r="18" spans="1:9" x14ac:dyDescent="0.25">
      <c r="A18" s="144" t="s">
        <v>138</v>
      </c>
      <c r="B18" s="85" t="s">
        <v>37</v>
      </c>
      <c r="C18" s="85">
        <v>3.08</v>
      </c>
      <c r="D18" s="82"/>
      <c r="E18" s="89">
        <f>E17*34.4/100</f>
        <v>83922.356960000005</v>
      </c>
      <c r="F18" s="94">
        <f>F17*34.4/100</f>
        <v>78945.155119999996</v>
      </c>
      <c r="G18" s="94">
        <f>E18</f>
        <v>83922.356960000005</v>
      </c>
      <c r="H18" s="88"/>
      <c r="I18" s="82"/>
    </row>
    <row r="19" spans="1:9" x14ac:dyDescent="0.25">
      <c r="A19" s="145" t="s">
        <v>38</v>
      </c>
      <c r="B19" s="75" t="s">
        <v>188</v>
      </c>
      <c r="C19" s="75">
        <v>1.47</v>
      </c>
      <c r="D19" s="92"/>
      <c r="E19" s="146">
        <f>E17*16.4/100</f>
        <v>40009.495759999991</v>
      </c>
      <c r="F19" s="93">
        <f>F17*16.4/100</f>
        <v>37636.64372</v>
      </c>
      <c r="G19" s="93">
        <f>E19</f>
        <v>40009.495759999991</v>
      </c>
      <c r="H19" s="147"/>
      <c r="I19" s="92"/>
    </row>
    <row r="20" spans="1:9" x14ac:dyDescent="0.25">
      <c r="A20" s="122"/>
      <c r="B20" s="85" t="s">
        <v>189</v>
      </c>
      <c r="C20" s="85"/>
      <c r="D20" s="88"/>
      <c r="E20" s="102"/>
      <c r="F20" s="94"/>
      <c r="G20" s="94"/>
      <c r="H20" s="147"/>
      <c r="I20" s="88"/>
    </row>
    <row r="21" spans="1:9" x14ac:dyDescent="0.25">
      <c r="A21" s="145" t="s">
        <v>40</v>
      </c>
      <c r="B21" s="75" t="s">
        <v>41</v>
      </c>
      <c r="C21" s="75">
        <v>1.81</v>
      </c>
      <c r="D21" s="92"/>
      <c r="E21" s="146">
        <f>E17*20.2/100</f>
        <v>49279.988679999995</v>
      </c>
      <c r="F21" s="93">
        <f>F17*20.2/100</f>
        <v>46357.329460000008</v>
      </c>
      <c r="G21" s="93">
        <f t="shared" ref="G21:G26" si="0">E21</f>
        <v>49279.988679999995</v>
      </c>
      <c r="H21" s="87"/>
      <c r="I21" s="92"/>
    </row>
    <row r="22" spans="1:9" x14ac:dyDescent="0.25">
      <c r="A22" s="145" t="s">
        <v>42</v>
      </c>
      <c r="B22" s="75" t="s">
        <v>43</v>
      </c>
      <c r="C22" s="75">
        <v>2.6</v>
      </c>
      <c r="D22" s="92"/>
      <c r="E22" s="124">
        <f>E17*29/100</f>
        <v>70748.498600000006</v>
      </c>
      <c r="F22" s="95">
        <f>F17*29/100</f>
        <v>66552.601699999999</v>
      </c>
      <c r="G22" s="95">
        <f t="shared" si="0"/>
        <v>70748.498600000006</v>
      </c>
      <c r="H22" s="87"/>
      <c r="I22" s="92"/>
    </row>
    <row r="23" spans="1:9" x14ac:dyDescent="0.25">
      <c r="A23" s="145" t="s">
        <v>44</v>
      </c>
      <c r="B23" s="75" t="s">
        <v>190</v>
      </c>
      <c r="C23" s="75">
        <v>1755.25</v>
      </c>
      <c r="D23" s="92">
        <v>-5.9</v>
      </c>
      <c r="E23" s="89">
        <v>438.84</v>
      </c>
      <c r="F23" s="131">
        <v>411.68</v>
      </c>
      <c r="G23" s="131">
        <f t="shared" si="0"/>
        <v>438.84</v>
      </c>
      <c r="H23" s="147">
        <f t="shared" ref="H23:H28" si="1">D23+F23-G23</f>
        <v>-33.059999999999945</v>
      </c>
      <c r="I23" s="140">
        <f t="shared" ref="I23:I28" si="2">H23</f>
        <v>-33.059999999999945</v>
      </c>
    </row>
    <row r="24" spans="1:9" x14ac:dyDescent="0.25">
      <c r="A24" s="145" t="s">
        <v>46</v>
      </c>
      <c r="B24" s="75" t="s">
        <v>47</v>
      </c>
      <c r="C24" s="140" t="s">
        <v>48</v>
      </c>
      <c r="D24" s="92">
        <v>-10805.37</v>
      </c>
      <c r="E24" s="95">
        <v>63469.3</v>
      </c>
      <c r="F24" s="95">
        <v>62452.21</v>
      </c>
      <c r="G24" s="95">
        <f>E24</f>
        <v>63469.3</v>
      </c>
      <c r="H24" s="87">
        <f t="shared" si="1"/>
        <v>-11822.460000000006</v>
      </c>
      <c r="I24" s="140">
        <f t="shared" si="2"/>
        <v>-11822.460000000006</v>
      </c>
    </row>
    <row r="25" spans="1:9" x14ac:dyDescent="0.25">
      <c r="A25" s="148" t="s">
        <v>49</v>
      </c>
      <c r="B25" s="81" t="s">
        <v>140</v>
      </c>
      <c r="C25" s="81">
        <v>3.43</v>
      </c>
      <c r="D25" s="82">
        <v>-18882.09</v>
      </c>
      <c r="E25" s="104">
        <v>93351.12</v>
      </c>
      <c r="F25" s="80">
        <v>88157.75</v>
      </c>
      <c r="G25" s="149">
        <f t="shared" si="0"/>
        <v>93351.12</v>
      </c>
      <c r="H25" s="82">
        <f t="shared" si="1"/>
        <v>-24075.459999999992</v>
      </c>
      <c r="I25" s="82">
        <f t="shared" si="2"/>
        <v>-24075.459999999992</v>
      </c>
    </row>
    <row r="26" spans="1:9" x14ac:dyDescent="0.25">
      <c r="A26" s="148" t="s">
        <v>51</v>
      </c>
      <c r="B26" s="81" t="s">
        <v>50</v>
      </c>
      <c r="C26" s="81">
        <v>4.5999999999999996</v>
      </c>
      <c r="D26" s="82">
        <v>-14519.55</v>
      </c>
      <c r="E26" s="104">
        <v>126926.88</v>
      </c>
      <c r="F26" s="80">
        <v>118350.35</v>
      </c>
      <c r="G26" s="149">
        <f t="shared" si="0"/>
        <v>126926.88</v>
      </c>
      <c r="H26" s="99">
        <f t="shared" si="1"/>
        <v>-23096.080000000002</v>
      </c>
      <c r="I26" s="82">
        <f t="shared" si="2"/>
        <v>-23096.080000000002</v>
      </c>
    </row>
    <row r="27" spans="1:9" x14ac:dyDescent="0.25">
      <c r="A27" s="148" t="s">
        <v>56</v>
      </c>
      <c r="B27" s="80" t="s">
        <v>191</v>
      </c>
      <c r="C27" s="82">
        <v>1</v>
      </c>
      <c r="D27" s="82">
        <v>-211.63</v>
      </c>
      <c r="E27" s="104">
        <v>0</v>
      </c>
      <c r="F27" s="80">
        <v>0.03</v>
      </c>
      <c r="G27" s="82">
        <v>0</v>
      </c>
      <c r="H27" s="149">
        <f t="shared" si="1"/>
        <v>-211.6</v>
      </c>
      <c r="I27" s="82">
        <f t="shared" si="2"/>
        <v>-211.6</v>
      </c>
    </row>
    <row r="28" spans="1:9" x14ac:dyDescent="0.25">
      <c r="A28" s="148" t="s">
        <v>60</v>
      </c>
      <c r="B28" s="81" t="s">
        <v>192</v>
      </c>
      <c r="C28" s="103">
        <v>1.82</v>
      </c>
      <c r="D28" s="82">
        <v>-13523.77</v>
      </c>
      <c r="E28" s="104">
        <v>49471.77</v>
      </c>
      <c r="F28" s="99">
        <v>47111.42</v>
      </c>
      <c r="G28" s="81">
        <f>I53</f>
        <v>33658</v>
      </c>
      <c r="H28" s="150">
        <f t="shared" si="1"/>
        <v>-70.350000000005821</v>
      </c>
      <c r="I28" s="82">
        <f t="shared" si="2"/>
        <v>-70.350000000005821</v>
      </c>
    </row>
    <row r="29" spans="1:9" x14ac:dyDescent="0.25">
      <c r="A29" s="134"/>
      <c r="B29" s="81" t="s">
        <v>53</v>
      </c>
      <c r="C29" s="101"/>
      <c r="D29" s="149"/>
      <c r="E29" s="81"/>
      <c r="F29" s="99"/>
      <c r="G29" s="105"/>
      <c r="H29" s="82"/>
      <c r="I29" s="82"/>
    </row>
    <row r="30" spans="1:9" x14ac:dyDescent="0.25">
      <c r="A30" s="72" t="s">
        <v>59</v>
      </c>
      <c r="B30" s="72"/>
      <c r="C30" s="72"/>
      <c r="D30" s="113"/>
      <c r="E30" s="72"/>
      <c r="F30" s="72"/>
      <c r="G30" s="73"/>
      <c r="H30" s="73"/>
      <c r="I30" s="73"/>
    </row>
    <row r="31" spans="1:9" x14ac:dyDescent="0.25">
      <c r="A31" s="79" t="s">
        <v>193</v>
      </c>
      <c r="B31" s="115" t="s">
        <v>61</v>
      </c>
      <c r="C31" s="77" t="s">
        <v>62</v>
      </c>
      <c r="D31" s="78" t="s">
        <v>63</v>
      </c>
      <c r="E31" s="78" t="s">
        <v>194</v>
      </c>
      <c r="F31" s="78" t="s">
        <v>62</v>
      </c>
      <c r="G31" s="123"/>
      <c r="H31" s="77" t="s">
        <v>195</v>
      </c>
      <c r="I31" s="123"/>
    </row>
    <row r="32" spans="1:9" x14ac:dyDescent="0.25">
      <c r="A32" s="117"/>
      <c r="B32" s="118"/>
      <c r="C32" s="77" t="s">
        <v>67</v>
      </c>
      <c r="D32" s="78" t="s">
        <v>23</v>
      </c>
      <c r="E32" s="151">
        <v>0.15</v>
      </c>
      <c r="F32" s="78" t="s">
        <v>30</v>
      </c>
      <c r="G32" s="123"/>
      <c r="H32" s="120"/>
      <c r="I32" s="122"/>
    </row>
    <row r="33" spans="1:9" x14ac:dyDescent="0.25">
      <c r="A33" s="86"/>
      <c r="B33" s="120" t="s">
        <v>69</v>
      </c>
      <c r="C33" s="94">
        <v>17680.580000000002</v>
      </c>
      <c r="D33" s="78">
        <v>6000</v>
      </c>
      <c r="E33" s="87">
        <f>D33*15%</f>
        <v>900</v>
      </c>
      <c r="F33" s="87">
        <f>C33+(D33-E33)</f>
        <v>22780.58</v>
      </c>
      <c r="G33" s="125"/>
      <c r="H33" s="94">
        <f>F33-G33</f>
        <v>22780.58</v>
      </c>
      <c r="I33" s="122"/>
    </row>
    <row r="34" spans="1:9" x14ac:dyDescent="0.25">
      <c r="A34" s="74" t="s">
        <v>70</v>
      </c>
      <c r="B34" s="74"/>
      <c r="C34" s="74"/>
      <c r="D34" s="152"/>
      <c r="E34" s="74"/>
      <c r="F34" s="74"/>
      <c r="G34" s="74"/>
      <c r="H34" s="74"/>
      <c r="I34" s="74"/>
    </row>
    <row r="35" spans="1:9" x14ac:dyDescent="0.25">
      <c r="A35" s="72" t="s">
        <v>71</v>
      </c>
      <c r="B35" s="72"/>
      <c r="C35" s="72"/>
      <c r="D35" s="72"/>
      <c r="E35" s="72"/>
      <c r="F35" s="72"/>
      <c r="G35" s="72"/>
      <c r="H35" s="72"/>
      <c r="I35" s="72"/>
    </row>
    <row r="36" spans="1:9" x14ac:dyDescent="0.25">
      <c r="A36" s="116" t="s">
        <v>72</v>
      </c>
      <c r="B36" s="115" t="s">
        <v>73</v>
      </c>
      <c r="C36" s="75" t="s">
        <v>74</v>
      </c>
      <c r="D36" s="115" t="s">
        <v>75</v>
      </c>
      <c r="E36" s="75" t="s">
        <v>76</v>
      </c>
      <c r="F36" s="79" t="s">
        <v>77</v>
      </c>
      <c r="G36" s="75" t="s">
        <v>78</v>
      </c>
      <c r="H36" s="79" t="s">
        <v>79</v>
      </c>
      <c r="I36" s="75" t="s">
        <v>196</v>
      </c>
    </row>
    <row r="37" spans="1:9" x14ac:dyDescent="0.25">
      <c r="A37" s="119"/>
      <c r="B37" s="118" t="s">
        <v>80</v>
      </c>
      <c r="C37" s="76" t="s">
        <v>81</v>
      </c>
      <c r="D37" s="118" t="s">
        <v>82</v>
      </c>
      <c r="E37" s="76" t="s">
        <v>83</v>
      </c>
      <c r="F37" s="117" t="s">
        <v>84</v>
      </c>
      <c r="G37" s="76" t="s">
        <v>85</v>
      </c>
      <c r="H37" s="117" t="s">
        <v>86</v>
      </c>
      <c r="I37" s="76" t="s">
        <v>197</v>
      </c>
    </row>
    <row r="38" spans="1:9" x14ac:dyDescent="0.25">
      <c r="A38" s="119"/>
      <c r="B38" s="118"/>
      <c r="C38" s="76"/>
      <c r="D38" s="120"/>
      <c r="E38" s="85"/>
      <c r="F38" s="86" t="s">
        <v>88</v>
      </c>
      <c r="G38" s="85" t="s">
        <v>89</v>
      </c>
      <c r="H38" s="86"/>
      <c r="I38" s="85" t="s">
        <v>154</v>
      </c>
    </row>
    <row r="39" spans="1:9" x14ac:dyDescent="0.25">
      <c r="A39" s="123">
        <v>1</v>
      </c>
      <c r="B39" s="78" t="s">
        <v>91</v>
      </c>
      <c r="C39" s="81" t="s">
        <v>92</v>
      </c>
      <c r="D39" s="119">
        <v>-43393.1</v>
      </c>
      <c r="E39" s="153">
        <v>193217.92000000001</v>
      </c>
      <c r="F39" s="76">
        <v>180194.55</v>
      </c>
      <c r="G39" s="117">
        <f>E39</f>
        <v>193217.92000000001</v>
      </c>
      <c r="H39" s="76">
        <f>D39+F39-G39</f>
        <v>-56416.47000000003</v>
      </c>
      <c r="I39" s="119">
        <f>H39</f>
        <v>-56416.47000000003</v>
      </c>
    </row>
    <row r="40" spans="1:9" x14ac:dyDescent="0.25">
      <c r="A40" s="123"/>
      <c r="B40" s="78" t="s">
        <v>93</v>
      </c>
      <c r="C40" s="104" t="s">
        <v>94</v>
      </c>
      <c r="D40" s="78"/>
      <c r="E40" s="154"/>
      <c r="F40" s="78"/>
      <c r="G40" s="97"/>
      <c r="H40" s="78"/>
      <c r="I40" s="123"/>
    </row>
    <row r="41" spans="1:9" x14ac:dyDescent="0.25">
      <c r="A41" s="123">
        <v>2</v>
      </c>
      <c r="B41" s="78" t="s">
        <v>95</v>
      </c>
      <c r="C41" s="104" t="s">
        <v>96</v>
      </c>
      <c r="D41" s="78">
        <v>-117071.99</v>
      </c>
      <c r="E41" s="154">
        <v>292725.76000000001</v>
      </c>
      <c r="F41" s="78">
        <v>296302.82</v>
      </c>
      <c r="G41" s="97">
        <f>E41</f>
        <v>292725.76000000001</v>
      </c>
      <c r="H41" s="78">
        <f>D41+F41-E41</f>
        <v>-113494.93</v>
      </c>
      <c r="I41" s="78">
        <f>H41</f>
        <v>-113494.93</v>
      </c>
    </row>
    <row r="42" spans="1:9" x14ac:dyDescent="0.25">
      <c r="A42" s="123"/>
      <c r="B42" s="78" t="s">
        <v>97</v>
      </c>
      <c r="C42" s="104" t="s">
        <v>94</v>
      </c>
      <c r="D42" s="78"/>
      <c r="E42" s="155"/>
      <c r="F42" s="78"/>
      <c r="G42" s="78"/>
      <c r="H42" s="78"/>
      <c r="I42" s="78"/>
    </row>
    <row r="43" spans="1:9" x14ac:dyDescent="0.25">
      <c r="A43" s="123"/>
      <c r="B43" s="78" t="s">
        <v>198</v>
      </c>
      <c r="C43" s="104"/>
      <c r="D43" s="78"/>
      <c r="E43" s="155"/>
      <c r="F43" s="78"/>
      <c r="G43" s="77"/>
      <c r="H43" s="78"/>
      <c r="I43" s="78"/>
    </row>
    <row r="44" spans="1:9" x14ac:dyDescent="0.25">
      <c r="A44" s="123">
        <v>3</v>
      </c>
      <c r="B44" s="78" t="s">
        <v>99</v>
      </c>
      <c r="C44" s="104" t="s">
        <v>100</v>
      </c>
      <c r="D44" s="78">
        <v>-324653.96000000002</v>
      </c>
      <c r="E44" s="97">
        <v>821969.57</v>
      </c>
      <c r="F44" s="78">
        <v>778781.29</v>
      </c>
      <c r="G44" s="77">
        <f>E44</f>
        <v>821969.57</v>
      </c>
      <c r="H44" s="78">
        <f>D44+F44-G44</f>
        <v>-367842.23999999993</v>
      </c>
      <c r="I44" s="78">
        <f>H44</f>
        <v>-367842.23999999993</v>
      </c>
    </row>
    <row r="45" spans="1:9" x14ac:dyDescent="0.25">
      <c r="A45" s="72" t="s">
        <v>101</v>
      </c>
      <c r="B45" s="72"/>
      <c r="C45" s="72"/>
      <c r="D45" s="72"/>
      <c r="E45" s="72"/>
      <c r="F45" s="72"/>
      <c r="G45" s="72"/>
      <c r="H45" s="72"/>
      <c r="I45" s="72"/>
    </row>
    <row r="46" spans="1:9" x14ac:dyDescent="0.25">
      <c r="A46" s="74" t="s">
        <v>102</v>
      </c>
      <c r="B46" s="72"/>
      <c r="C46" s="72"/>
      <c r="D46" s="72"/>
      <c r="E46" s="72"/>
      <c r="F46" s="72"/>
      <c r="G46" s="72"/>
      <c r="H46" s="72"/>
      <c r="I46" s="72"/>
    </row>
    <row r="47" spans="1:9" x14ac:dyDescent="0.25">
      <c r="A47" s="79" t="s">
        <v>12</v>
      </c>
      <c r="B47" s="75" t="s">
        <v>103</v>
      </c>
      <c r="C47" s="115" t="s">
        <v>104</v>
      </c>
      <c r="D47" s="79"/>
      <c r="E47" s="79"/>
      <c r="F47" s="116"/>
      <c r="G47" s="75" t="s">
        <v>199</v>
      </c>
      <c r="H47" s="116" t="s">
        <v>200</v>
      </c>
      <c r="I47" s="75" t="s">
        <v>107</v>
      </c>
    </row>
    <row r="48" spans="1:9" x14ac:dyDescent="0.25">
      <c r="A48" s="117" t="s">
        <v>108</v>
      </c>
      <c r="B48" s="76"/>
      <c r="C48" s="118"/>
      <c r="D48" s="117"/>
      <c r="E48" s="117"/>
      <c r="F48" s="119"/>
      <c r="G48" s="76" t="s">
        <v>201</v>
      </c>
      <c r="H48" s="119"/>
      <c r="I48" s="76" t="s">
        <v>109</v>
      </c>
    </row>
    <row r="49" spans="1:10" x14ac:dyDescent="0.25">
      <c r="A49" s="117"/>
      <c r="B49" s="85"/>
      <c r="C49" s="120"/>
      <c r="D49" s="86"/>
      <c r="E49" s="86"/>
      <c r="F49" s="122"/>
      <c r="G49" s="76"/>
      <c r="H49" s="119"/>
      <c r="I49" s="76"/>
    </row>
    <row r="50" spans="1:10" x14ac:dyDescent="0.25">
      <c r="A50" s="128" t="s">
        <v>72</v>
      </c>
      <c r="B50" s="114"/>
      <c r="C50" s="108" t="s">
        <v>110</v>
      </c>
      <c r="D50" s="74"/>
      <c r="E50" s="74"/>
      <c r="F50" s="119"/>
      <c r="G50" s="75"/>
      <c r="H50" s="116"/>
      <c r="I50" s="75"/>
    </row>
    <row r="51" spans="1:10" x14ac:dyDescent="0.25">
      <c r="A51" s="130" t="s">
        <v>111</v>
      </c>
      <c r="B51" s="156">
        <v>43186</v>
      </c>
      <c r="C51" s="118" t="s">
        <v>202</v>
      </c>
      <c r="D51" s="117"/>
      <c r="E51" s="117"/>
      <c r="F51" s="119"/>
      <c r="G51" s="147" t="s">
        <v>203</v>
      </c>
      <c r="H51" s="119">
        <v>46</v>
      </c>
      <c r="I51" s="76">
        <v>9200</v>
      </c>
    </row>
    <row r="52" spans="1:10" x14ac:dyDescent="0.25">
      <c r="A52" s="130" t="s">
        <v>114</v>
      </c>
      <c r="B52" s="156">
        <v>43298</v>
      </c>
      <c r="C52" s="118" t="s">
        <v>204</v>
      </c>
      <c r="D52" s="117"/>
      <c r="E52" s="117"/>
      <c r="F52" s="119"/>
      <c r="G52" s="147" t="s">
        <v>205</v>
      </c>
      <c r="H52" s="119">
        <v>1</v>
      </c>
      <c r="I52" s="76">
        <v>24458</v>
      </c>
    </row>
    <row r="53" spans="1:10" x14ac:dyDescent="0.25">
      <c r="A53" s="84"/>
      <c r="B53" s="85"/>
      <c r="C53" s="105" t="s">
        <v>117</v>
      </c>
      <c r="D53" s="101"/>
      <c r="E53" s="101"/>
      <c r="F53" s="134"/>
      <c r="G53" s="99"/>
      <c r="H53" s="134"/>
      <c r="I53" s="103">
        <f>SUM(I51:I52)</f>
        <v>33658</v>
      </c>
    </row>
    <row r="54" spans="1:10" x14ac:dyDescent="0.25">
      <c r="A54" s="117"/>
      <c r="B54" s="136"/>
      <c r="C54" s="117"/>
      <c r="D54" s="117"/>
      <c r="E54" s="117"/>
      <c r="F54" s="117"/>
      <c r="G54" s="117"/>
      <c r="H54" s="117"/>
      <c r="I54" s="117"/>
      <c r="J54" s="157"/>
    </row>
    <row r="55" spans="1:10" x14ac:dyDescent="0.25">
      <c r="A55" s="73" t="s">
        <v>206</v>
      </c>
      <c r="B55" s="73"/>
      <c r="C55" s="73" t="s">
        <v>207</v>
      </c>
      <c r="D55" s="73" t="s">
        <v>119</v>
      </c>
      <c r="E55" s="73" t="s">
        <v>208</v>
      </c>
      <c r="F55" s="73"/>
      <c r="G55" s="73"/>
      <c r="H55" s="73" t="s">
        <v>121</v>
      </c>
      <c r="I55" s="73" t="s">
        <v>122</v>
      </c>
    </row>
    <row r="56" spans="1:10" x14ac:dyDescent="0.25">
      <c r="A56" s="73"/>
      <c r="B56" s="73"/>
      <c r="C56" s="73"/>
      <c r="E56" s="73"/>
      <c r="F56" s="73"/>
      <c r="G56" s="73"/>
      <c r="H56" s="73"/>
      <c r="I56" s="73"/>
    </row>
  </sheetData>
  <pageMargins left="0.7" right="0.7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4" workbookViewId="0">
      <selection activeCell="B45" sqref="B45:B46"/>
    </sheetView>
  </sheetViews>
  <sheetFormatPr defaultRowHeight="15" x14ac:dyDescent="0.25"/>
  <cols>
    <col min="1" max="1" width="4.5703125" customWidth="1"/>
    <col min="2" max="2" width="33.140625" customWidth="1"/>
    <col min="3" max="3" width="12.28515625" customWidth="1"/>
    <col min="4" max="4" width="11.28515625" customWidth="1"/>
    <col min="7" max="7" width="10.85546875" customWidth="1"/>
    <col min="8" max="8" width="12.85546875" customWidth="1"/>
    <col min="9" max="9" width="20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527</v>
      </c>
      <c r="B6" s="1"/>
      <c r="C6" s="1"/>
      <c r="D6" s="1"/>
      <c r="E6" s="1"/>
      <c r="F6" s="2"/>
      <c r="G6" s="2"/>
      <c r="H6" s="2"/>
      <c r="I6" s="2"/>
    </row>
    <row r="7" spans="1:9" x14ac:dyDescent="0.25">
      <c r="A7" s="2" t="s">
        <v>528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529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54">
        <v>7</v>
      </c>
      <c r="H17" s="5">
        <v>8</v>
      </c>
      <c r="I17" s="5">
        <v>9</v>
      </c>
    </row>
    <row r="18" spans="1:9" x14ac:dyDescent="0.25">
      <c r="A18" s="53">
        <v>1</v>
      </c>
      <c r="B18" s="63" t="s">
        <v>186</v>
      </c>
      <c r="C18" s="159"/>
      <c r="D18" s="63"/>
      <c r="E18" s="203" t="s">
        <v>72</v>
      </c>
      <c r="F18" s="53" t="s">
        <v>72</v>
      </c>
      <c r="G18" s="53"/>
      <c r="H18" s="63" t="s">
        <v>72</v>
      </c>
      <c r="I18" s="246" t="s">
        <v>72</v>
      </c>
    </row>
    <row r="19" spans="1:9" x14ac:dyDescent="0.25">
      <c r="A19" s="14"/>
      <c r="B19" s="11" t="s">
        <v>187</v>
      </c>
      <c r="C19" s="13">
        <v>8.5500000000000007</v>
      </c>
      <c r="D19" s="16">
        <v>-1996.54</v>
      </c>
      <c r="E19" s="13">
        <v>29066.76</v>
      </c>
      <c r="F19" s="14">
        <v>29141.45</v>
      </c>
      <c r="G19" s="14">
        <f>E19</f>
        <v>29066.76</v>
      </c>
      <c r="H19" s="41">
        <f>D19+F19-G19</f>
        <v>-1921.8499999999985</v>
      </c>
      <c r="I19" s="12">
        <f>H19</f>
        <v>-1921.8499999999985</v>
      </c>
    </row>
    <row r="20" spans="1:9" x14ac:dyDescent="0.25">
      <c r="A20" s="6" t="s">
        <v>36</v>
      </c>
      <c r="B20" s="49" t="s">
        <v>217</v>
      </c>
      <c r="C20" s="49">
        <v>3.08</v>
      </c>
      <c r="D20" s="26"/>
      <c r="E20" s="19">
        <f>E19*36/100</f>
        <v>10464.033600000001</v>
      </c>
      <c r="F20" s="26">
        <f>F19*36/100</f>
        <v>10490.921999999999</v>
      </c>
      <c r="G20" s="19">
        <f>E20</f>
        <v>10464.033600000001</v>
      </c>
      <c r="H20" s="33"/>
      <c r="I20" s="32"/>
    </row>
    <row r="21" spans="1:9" x14ac:dyDescent="0.25">
      <c r="A21" s="17"/>
      <c r="B21" s="50" t="s">
        <v>218</v>
      </c>
      <c r="C21" s="50"/>
      <c r="D21" s="21"/>
      <c r="E21" s="162"/>
      <c r="F21" s="21"/>
      <c r="G21" s="162"/>
      <c r="H21" s="16"/>
      <c r="I21" s="18"/>
    </row>
    <row r="22" spans="1:9" x14ac:dyDescent="0.25">
      <c r="A22" s="22" t="s">
        <v>38</v>
      </c>
      <c r="B22" s="5" t="s">
        <v>39</v>
      </c>
      <c r="C22" s="43">
        <v>1.51</v>
      </c>
      <c r="D22" s="33"/>
      <c r="E22" s="19">
        <f>E19*17.7/100</f>
        <v>5144.8165199999994</v>
      </c>
      <c r="F22" s="26">
        <f>F19*17.7/100</f>
        <v>5158.03665</v>
      </c>
      <c r="G22" s="25">
        <f>E22</f>
        <v>5144.8165199999994</v>
      </c>
      <c r="H22" s="21"/>
      <c r="I22" s="33"/>
    </row>
    <row r="23" spans="1:9" x14ac:dyDescent="0.25">
      <c r="A23" s="22" t="s">
        <v>40</v>
      </c>
      <c r="B23" s="5" t="s">
        <v>41</v>
      </c>
      <c r="C23" s="54">
        <v>1.36</v>
      </c>
      <c r="D23" s="33"/>
      <c r="E23" s="24">
        <f>E19*16/100</f>
        <v>4650.6815999999999</v>
      </c>
      <c r="F23" s="33">
        <f>F19*16/100</f>
        <v>4662.6320000000005</v>
      </c>
      <c r="G23" s="25">
        <f>E23</f>
        <v>4650.6815999999999</v>
      </c>
      <c r="H23" s="33"/>
      <c r="I23" s="33"/>
    </row>
    <row r="24" spans="1:9" x14ac:dyDescent="0.25">
      <c r="A24" s="22" t="s">
        <v>42</v>
      </c>
      <c r="B24" s="5" t="s">
        <v>43</v>
      </c>
      <c r="C24" s="54">
        <v>2.6</v>
      </c>
      <c r="D24" s="30" t="s">
        <v>72</v>
      </c>
      <c r="E24" s="24">
        <f>E19*30.3/100</f>
        <v>8807.2282799999994</v>
      </c>
      <c r="F24" s="33">
        <f>F19*30.3/100</f>
        <v>8829.8593500000006</v>
      </c>
      <c r="G24" s="30">
        <f>E24</f>
        <v>8807.2282799999994</v>
      </c>
      <c r="H24" s="33"/>
      <c r="I24" s="30" t="s">
        <v>72</v>
      </c>
    </row>
    <row r="25" spans="1:9" x14ac:dyDescent="0.25">
      <c r="A25" s="22" t="s">
        <v>44</v>
      </c>
      <c r="B25" s="5" t="s">
        <v>47</v>
      </c>
      <c r="C25" s="54" t="s">
        <v>48</v>
      </c>
      <c r="D25" s="30">
        <v>-542.04</v>
      </c>
      <c r="E25" s="9">
        <v>5422.26</v>
      </c>
      <c r="F25" s="8">
        <v>5504.51</v>
      </c>
      <c r="G25" s="9">
        <f>E25</f>
        <v>5422.26</v>
      </c>
      <c r="H25" s="30">
        <f>D25+F25-E25</f>
        <v>-459.78999999999996</v>
      </c>
      <c r="I25" s="42">
        <f>H25</f>
        <v>-459.78999999999996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38">
        <v>-489.31</v>
      </c>
      <c r="E26" s="35">
        <v>15638.16</v>
      </c>
      <c r="F26" s="10">
        <v>15854.26</v>
      </c>
      <c r="G26" s="35">
        <f>E26</f>
        <v>15638.16</v>
      </c>
      <c r="H26" s="38">
        <f>D26+F26-G26</f>
        <v>-273.20999999999913</v>
      </c>
      <c r="I26" s="34">
        <f>H26</f>
        <v>-273.20999999999913</v>
      </c>
    </row>
    <row r="27" spans="1:9" x14ac:dyDescent="0.25">
      <c r="A27" s="10" t="s">
        <v>51</v>
      </c>
      <c r="B27" s="10" t="s">
        <v>310</v>
      </c>
      <c r="C27" s="42">
        <v>1.65</v>
      </c>
      <c r="D27" s="204">
        <v>19454.88</v>
      </c>
      <c r="E27" s="13">
        <v>5609.52</v>
      </c>
      <c r="F27" s="11">
        <f>F28+F29</f>
        <v>4155.58</v>
      </c>
      <c r="G27" s="13">
        <f>G28</f>
        <v>6400</v>
      </c>
      <c r="H27" s="204">
        <f>D27-H29+F27-G27</f>
        <v>17210.46</v>
      </c>
      <c r="I27" s="16"/>
    </row>
    <row r="28" spans="1:9" x14ac:dyDescent="0.25">
      <c r="A28" s="39"/>
      <c r="B28" s="17" t="s">
        <v>53</v>
      </c>
      <c r="C28" s="4"/>
      <c r="D28" s="204"/>
      <c r="E28" s="1"/>
      <c r="F28" s="39">
        <v>5687.04</v>
      </c>
      <c r="G28" s="1">
        <f>I54</f>
        <v>6400</v>
      </c>
      <c r="H28" s="247"/>
      <c r="I28" s="16"/>
    </row>
    <row r="29" spans="1:9" x14ac:dyDescent="0.25">
      <c r="A29" s="10"/>
      <c r="B29" s="17" t="s">
        <v>58</v>
      </c>
      <c r="C29" s="36"/>
      <c r="D29" s="38"/>
      <c r="E29" s="35"/>
      <c r="F29" s="8">
        <v>-1531.46</v>
      </c>
      <c r="G29" s="35"/>
      <c r="H29" s="244"/>
      <c r="I29" s="16"/>
    </row>
    <row r="30" spans="1:9" x14ac:dyDescent="0.25">
      <c r="A30" s="10" t="s">
        <v>56</v>
      </c>
      <c r="B30" s="10" t="s">
        <v>57</v>
      </c>
      <c r="C30" s="13">
        <v>0</v>
      </c>
      <c r="D30" s="16">
        <v>-1531.46</v>
      </c>
      <c r="E30" s="35">
        <v>0</v>
      </c>
      <c r="F30" s="10">
        <v>-1531.46</v>
      </c>
      <c r="G30" s="35">
        <v>0</v>
      </c>
      <c r="H30" s="10">
        <v>0</v>
      </c>
      <c r="I30" s="16"/>
    </row>
    <row r="31" spans="1:9" x14ac:dyDescent="0.25">
      <c r="A31" s="8"/>
      <c r="B31" s="8" t="s">
        <v>58</v>
      </c>
      <c r="C31" s="9"/>
      <c r="D31" s="8"/>
      <c r="E31" s="9">
        <v>0</v>
      </c>
      <c r="F31" s="8">
        <v>-1531.46</v>
      </c>
      <c r="G31" s="9">
        <v>0</v>
      </c>
      <c r="H31" s="8"/>
      <c r="I31" s="30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19"/>
    </row>
    <row r="33" spans="1:9" x14ac:dyDescent="0.25">
      <c r="A33" s="1" t="s">
        <v>59</v>
      </c>
      <c r="B33" s="2"/>
      <c r="C33" s="2"/>
      <c r="D33" s="43"/>
      <c r="E33" s="2"/>
      <c r="F33" s="2"/>
      <c r="G33" s="2"/>
      <c r="H33" s="2"/>
      <c r="I33" s="2"/>
    </row>
    <row r="34" spans="1:9" x14ac:dyDescent="0.25">
      <c r="A34" s="4" t="s">
        <v>70</v>
      </c>
      <c r="B34" s="2"/>
      <c r="C34" s="2"/>
      <c r="D34" s="43"/>
      <c r="E34" s="2"/>
      <c r="F34" s="2"/>
      <c r="G34" s="2"/>
      <c r="H34" s="2"/>
      <c r="I34" s="2"/>
    </row>
    <row r="35" spans="1:9" x14ac:dyDescent="0.25">
      <c r="A35" s="1" t="s">
        <v>71</v>
      </c>
      <c r="B35" s="2"/>
      <c r="C35" s="2"/>
      <c r="D35" s="43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43"/>
      <c r="E36" s="2"/>
      <c r="F36" s="2"/>
      <c r="G36" s="2"/>
      <c r="H36" s="2"/>
      <c r="I36" s="2"/>
    </row>
    <row r="37" spans="1:9" x14ac:dyDescent="0.25">
      <c r="A37" s="5" t="s">
        <v>72</v>
      </c>
      <c r="B37" s="53" t="s">
        <v>73</v>
      </c>
      <c r="C37" s="46" t="s">
        <v>74</v>
      </c>
      <c r="D37" s="5" t="s">
        <v>79</v>
      </c>
      <c r="E37" s="47" t="s">
        <v>76</v>
      </c>
      <c r="F37" s="54" t="s">
        <v>77</v>
      </c>
      <c r="G37" s="5" t="s">
        <v>78</v>
      </c>
      <c r="H37" s="54" t="s">
        <v>79</v>
      </c>
      <c r="I37" s="5" t="s">
        <v>19</v>
      </c>
    </row>
    <row r="38" spans="1:9" x14ac:dyDescent="0.25">
      <c r="A38" s="6"/>
      <c r="B38" s="55" t="s">
        <v>80</v>
      </c>
      <c r="C38" s="49" t="s">
        <v>81</v>
      </c>
      <c r="D38" s="6" t="s">
        <v>530</v>
      </c>
      <c r="E38" s="56" t="s">
        <v>83</v>
      </c>
      <c r="F38" s="43" t="s">
        <v>84</v>
      </c>
      <c r="G38" s="6" t="s">
        <v>85</v>
      </c>
      <c r="H38" s="43" t="s">
        <v>86</v>
      </c>
      <c r="I38" s="6" t="s">
        <v>87</v>
      </c>
    </row>
    <row r="39" spans="1:9" x14ac:dyDescent="0.25">
      <c r="A39" s="6"/>
      <c r="B39" s="49"/>
      <c r="C39" s="49"/>
      <c r="D39" s="6"/>
      <c r="E39" s="56"/>
      <c r="F39" s="43" t="s">
        <v>88</v>
      </c>
      <c r="G39" s="6" t="s">
        <v>89</v>
      </c>
      <c r="H39" s="43"/>
      <c r="I39" s="6" t="s">
        <v>221</v>
      </c>
    </row>
    <row r="40" spans="1:9" x14ac:dyDescent="0.25">
      <c r="A40" s="8"/>
      <c r="B40" s="7"/>
      <c r="C40" s="8"/>
      <c r="D40" s="8"/>
      <c r="E40" s="9"/>
      <c r="F40" s="8"/>
      <c r="G40" s="9"/>
      <c r="H40" s="8"/>
      <c r="I40" s="48"/>
    </row>
    <row r="41" spans="1:9" x14ac:dyDescent="0.25">
      <c r="A41" s="17">
        <v>1</v>
      </c>
      <c r="B41" s="17" t="s">
        <v>91</v>
      </c>
      <c r="C41" s="13" t="s">
        <v>92</v>
      </c>
      <c r="D41" s="17">
        <v>-3509.48</v>
      </c>
      <c r="E41" s="60">
        <v>47847.81</v>
      </c>
      <c r="F41" s="17">
        <v>45970.04</v>
      </c>
      <c r="G41" s="7">
        <f>E41</f>
        <v>47847.81</v>
      </c>
      <c r="H41" s="8">
        <f>D41+F41-G41</f>
        <v>-5387.25</v>
      </c>
      <c r="I41" s="48">
        <f>H41</f>
        <v>-5387.25</v>
      </c>
    </row>
    <row r="42" spans="1:9" x14ac:dyDescent="0.25">
      <c r="A42" s="17"/>
      <c r="B42" s="17" t="s">
        <v>93</v>
      </c>
      <c r="C42" s="13" t="s">
        <v>94</v>
      </c>
      <c r="D42" s="17"/>
      <c r="E42" s="60"/>
      <c r="F42" s="17"/>
      <c r="G42" s="43"/>
      <c r="H42" s="6"/>
      <c r="I42" s="56"/>
    </row>
    <row r="43" spans="1:9" x14ac:dyDescent="0.25">
      <c r="A43" s="8">
        <v>2</v>
      </c>
      <c r="B43" s="8" t="s">
        <v>99</v>
      </c>
      <c r="C43" s="35" t="s">
        <v>100</v>
      </c>
      <c r="D43" s="8">
        <v>-28298.25</v>
      </c>
      <c r="E43" s="9">
        <v>102408.09</v>
      </c>
      <c r="F43" s="8">
        <v>104169.55</v>
      </c>
      <c r="G43" s="8">
        <f>E43</f>
        <v>102408.09</v>
      </c>
      <c r="H43" s="8">
        <f>D43+F43-G43</f>
        <v>-26536.789999999994</v>
      </c>
      <c r="I43" s="8">
        <f>H43</f>
        <v>-26536.789999999994</v>
      </c>
    </row>
    <row r="44" spans="1:9" x14ac:dyDescent="0.25">
      <c r="A44" s="2"/>
      <c r="B44" s="2"/>
      <c r="C44" s="2"/>
      <c r="E44" s="2"/>
      <c r="F44" s="2"/>
      <c r="G44" s="2"/>
      <c r="H44" s="2"/>
      <c r="I44" s="2"/>
    </row>
    <row r="45" spans="1:9" x14ac:dyDescent="0.25">
      <c r="A45" s="1" t="s">
        <v>531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532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54"/>
      <c r="G47" s="46" t="s">
        <v>105</v>
      </c>
      <c r="H47" s="5" t="s">
        <v>106</v>
      </c>
      <c r="I47" s="5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43"/>
      <c r="G48" s="49"/>
      <c r="H48" s="6"/>
      <c r="I48" s="6" t="s">
        <v>109</v>
      </c>
    </row>
    <row r="49" spans="1:9" x14ac:dyDescent="0.25">
      <c r="A49" s="49"/>
      <c r="B49" s="17"/>
      <c r="C49" s="50"/>
      <c r="D49" s="61"/>
      <c r="E49" s="61"/>
      <c r="F49" s="61"/>
      <c r="G49" s="50"/>
      <c r="H49" s="6"/>
      <c r="I49" s="6"/>
    </row>
    <row r="50" spans="1:9" x14ac:dyDescent="0.25">
      <c r="A50" s="62" t="s">
        <v>72</v>
      </c>
      <c r="B50" s="63"/>
      <c r="C50" s="159" t="s">
        <v>110</v>
      </c>
      <c r="D50" s="159"/>
      <c r="E50" s="159"/>
      <c r="F50" s="47"/>
      <c r="G50" s="49"/>
      <c r="H50" s="5"/>
      <c r="I50" s="5"/>
    </row>
    <row r="51" spans="1:9" x14ac:dyDescent="0.25">
      <c r="A51" s="64" t="s">
        <v>111</v>
      </c>
      <c r="B51" s="65">
        <v>43404</v>
      </c>
      <c r="C51" s="43" t="s">
        <v>112</v>
      </c>
      <c r="D51" s="43"/>
      <c r="E51" s="43"/>
      <c r="F51" s="56" t="s">
        <v>72</v>
      </c>
      <c r="G51" s="49" t="s">
        <v>116</v>
      </c>
      <c r="H51" s="6">
        <v>32</v>
      </c>
      <c r="I51" s="6">
        <v>6400</v>
      </c>
    </row>
    <row r="52" spans="1:9" x14ac:dyDescent="0.25">
      <c r="A52" s="64" t="s">
        <v>72</v>
      </c>
      <c r="B52" s="65"/>
      <c r="C52" s="43"/>
      <c r="D52" s="43"/>
      <c r="E52" s="43"/>
      <c r="F52" s="56"/>
      <c r="G52" s="44"/>
      <c r="H52" s="6"/>
      <c r="I52" s="6"/>
    </row>
    <row r="53" spans="1:9" x14ac:dyDescent="0.25">
      <c r="A53" s="64" t="s">
        <v>72</v>
      </c>
      <c r="B53" s="65"/>
      <c r="C53" s="43"/>
      <c r="D53" s="43"/>
      <c r="E53" s="43"/>
      <c r="F53" s="56"/>
      <c r="G53" s="49"/>
      <c r="H53" s="6"/>
      <c r="I53" s="6"/>
    </row>
    <row r="54" spans="1:9" x14ac:dyDescent="0.25">
      <c r="A54" s="66"/>
      <c r="B54" s="17"/>
      <c r="C54" s="13" t="s">
        <v>117</v>
      </c>
      <c r="D54" s="13"/>
      <c r="E54" s="13"/>
      <c r="F54" s="67"/>
      <c r="G54" s="15"/>
      <c r="H54" s="11"/>
      <c r="I54" s="11">
        <f>SUM(I50:I53)</f>
        <v>6400</v>
      </c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43"/>
      <c r="B56" s="4"/>
      <c r="C56" s="4"/>
      <c r="D56" s="43"/>
      <c r="E56" s="43"/>
      <c r="F56" s="43"/>
      <c r="G56" s="43"/>
      <c r="H56" s="43"/>
      <c r="I56" s="43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280</v>
      </c>
      <c r="B58" s="2"/>
      <c r="C58" s="2" t="s">
        <v>533</v>
      </c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2" workbookViewId="0">
      <selection activeCell="C10" sqref="C10"/>
    </sheetView>
  </sheetViews>
  <sheetFormatPr defaultRowHeight="15" x14ac:dyDescent="0.25"/>
  <cols>
    <col min="1" max="1" width="5.28515625" customWidth="1"/>
    <col min="2" max="2" width="33.140625" customWidth="1"/>
    <col min="3" max="3" width="13.140625" customWidth="1"/>
    <col min="8" max="8" width="12.42578125" customWidth="1"/>
    <col min="9" max="9" width="22.140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534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535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536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43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17</v>
      </c>
      <c r="G15" s="5" t="s">
        <v>18</v>
      </c>
      <c r="H15" s="5" t="s">
        <v>15</v>
      </c>
      <c r="I15" s="5" t="s">
        <v>19</v>
      </c>
    </row>
    <row r="16" spans="1:9" x14ac:dyDescent="0.25">
      <c r="A16" s="6" t="s">
        <v>20</v>
      </c>
      <c r="B16" s="6"/>
      <c r="C16" s="6" t="s">
        <v>214</v>
      </c>
      <c r="D16" s="6" t="s">
        <v>22</v>
      </c>
      <c r="E16" s="6" t="s">
        <v>23</v>
      </c>
      <c r="F16" s="6" t="s">
        <v>23</v>
      </c>
      <c r="G16" s="6" t="s">
        <v>24</v>
      </c>
      <c r="H16" s="6" t="s">
        <v>25</v>
      </c>
      <c r="I16" s="6" t="s">
        <v>517</v>
      </c>
    </row>
    <row r="17" spans="1:9" x14ac:dyDescent="0.25">
      <c r="A17" s="6"/>
      <c r="B17" s="6"/>
      <c r="C17" s="6" t="s">
        <v>27</v>
      </c>
      <c r="D17" s="6" t="s">
        <v>28</v>
      </c>
      <c r="E17" s="6"/>
      <c r="F17" s="6"/>
      <c r="G17" s="6" t="s">
        <v>29</v>
      </c>
      <c r="H17" s="6" t="s">
        <v>30</v>
      </c>
      <c r="I17" s="6" t="s">
        <v>518</v>
      </c>
    </row>
    <row r="18" spans="1:9" x14ac:dyDescent="0.25">
      <c r="A18" s="17"/>
      <c r="B18" s="6"/>
      <c r="C18" s="6" t="s">
        <v>32</v>
      </c>
      <c r="D18" s="6" t="s">
        <v>33</v>
      </c>
      <c r="E18" s="6" t="s">
        <v>33</v>
      </c>
      <c r="F18" s="6" t="s">
        <v>33</v>
      </c>
      <c r="G18" s="6" t="s">
        <v>33</v>
      </c>
      <c r="H18" s="6" t="s">
        <v>33</v>
      </c>
      <c r="I18" s="6" t="s">
        <v>537</v>
      </c>
    </row>
    <row r="19" spans="1:9" x14ac:dyDescent="0.25">
      <c r="A19" s="7">
        <v>1</v>
      </c>
      <c r="B19" s="8">
        <v>2</v>
      </c>
      <c r="C19" s="9">
        <v>3</v>
      </c>
      <c r="D19" s="8">
        <v>4</v>
      </c>
      <c r="E19" s="9">
        <v>5</v>
      </c>
      <c r="F19" s="8">
        <v>6</v>
      </c>
      <c r="G19" s="9">
        <v>7</v>
      </c>
      <c r="H19" s="8">
        <v>8</v>
      </c>
      <c r="I19" s="8">
        <v>9</v>
      </c>
    </row>
    <row r="20" spans="1:9" x14ac:dyDescent="0.25">
      <c r="A20" s="53">
        <v>1</v>
      </c>
      <c r="B20" s="63" t="s">
        <v>186</v>
      </c>
      <c r="C20" s="63" t="s">
        <v>72</v>
      </c>
      <c r="D20" s="159"/>
      <c r="E20" s="160" t="s">
        <v>72</v>
      </c>
      <c r="F20" s="63" t="s">
        <v>72</v>
      </c>
      <c r="G20" s="159"/>
      <c r="H20" s="63" t="s">
        <v>72</v>
      </c>
      <c r="I20" s="160" t="s">
        <v>72</v>
      </c>
    </row>
    <row r="21" spans="1:9" x14ac:dyDescent="0.25">
      <c r="A21" s="14"/>
      <c r="B21" s="11" t="s">
        <v>187</v>
      </c>
      <c r="C21" s="11">
        <v>8.5500000000000007</v>
      </c>
      <c r="D21" s="16">
        <v>-4149.91</v>
      </c>
      <c r="E21" s="11">
        <v>29179.8</v>
      </c>
      <c r="F21" s="11">
        <v>27403.93</v>
      </c>
      <c r="G21" s="13">
        <f>E21</f>
        <v>29179.8</v>
      </c>
      <c r="H21" s="16">
        <f>D21+F21-G21</f>
        <v>-5925.7799999999988</v>
      </c>
      <c r="I21" s="16">
        <f>H21</f>
        <v>-5925.7799999999988</v>
      </c>
    </row>
    <row r="22" spans="1:9" x14ac:dyDescent="0.25">
      <c r="A22" s="6" t="s">
        <v>36</v>
      </c>
      <c r="B22" s="6" t="s">
        <v>217</v>
      </c>
      <c r="D22" s="26"/>
      <c r="E22" s="19"/>
      <c r="F22" s="26"/>
      <c r="G22" s="44"/>
      <c r="H22" s="26"/>
      <c r="I22" s="26"/>
    </row>
    <row r="23" spans="1:9" x14ac:dyDescent="0.25">
      <c r="A23" s="17"/>
      <c r="B23" s="17" t="s">
        <v>218</v>
      </c>
      <c r="C23" s="43">
        <v>3.08</v>
      </c>
      <c r="D23" s="21"/>
      <c r="E23" s="162">
        <f>E21*36/100</f>
        <v>10504.728000000001</v>
      </c>
      <c r="F23" s="21">
        <f>F21*36/100</f>
        <v>9865.4148000000005</v>
      </c>
      <c r="G23" s="20">
        <f t="shared" ref="G23:G28" si="0">E23</f>
        <v>10504.728000000001</v>
      </c>
      <c r="H23" s="21"/>
      <c r="I23" s="21"/>
    </row>
    <row r="24" spans="1:9" x14ac:dyDescent="0.25">
      <c r="A24" s="22" t="s">
        <v>38</v>
      </c>
      <c r="B24" s="5" t="s">
        <v>39</v>
      </c>
      <c r="C24" s="54">
        <v>1.51</v>
      </c>
      <c r="D24" s="26"/>
      <c r="E24" s="24">
        <f>E21*17.7/100</f>
        <v>5164.8245999999999</v>
      </c>
      <c r="F24" s="33">
        <f>F21*17.7/100</f>
        <v>4850.4956099999999</v>
      </c>
      <c r="G24" s="19">
        <f t="shared" si="0"/>
        <v>5164.8245999999999</v>
      </c>
      <c r="H24" s="26"/>
      <c r="I24" s="26"/>
    </row>
    <row r="25" spans="1:9" x14ac:dyDescent="0.25">
      <c r="A25" s="22" t="s">
        <v>40</v>
      </c>
      <c r="B25" s="5" t="s">
        <v>41</v>
      </c>
      <c r="C25" s="54">
        <v>1.36</v>
      </c>
      <c r="D25" s="30"/>
      <c r="E25" s="24">
        <f>E21*16%</f>
        <v>4668.768</v>
      </c>
      <c r="F25" s="33">
        <f>F21*16/100</f>
        <v>4384.6288000000004</v>
      </c>
      <c r="G25" s="29">
        <f t="shared" si="0"/>
        <v>4668.768</v>
      </c>
      <c r="H25" s="30"/>
      <c r="I25" s="30"/>
    </row>
    <row r="26" spans="1:9" x14ac:dyDescent="0.25">
      <c r="A26" s="22" t="s">
        <v>42</v>
      </c>
      <c r="B26" s="5" t="s">
        <v>43</v>
      </c>
      <c r="C26" s="54">
        <v>2.6</v>
      </c>
      <c r="D26" s="26"/>
      <c r="E26" s="24">
        <f>E21*30.3/100</f>
        <v>8841.4794000000002</v>
      </c>
      <c r="F26" s="33">
        <f>F21*30.3/100</f>
        <v>8303.3907899999995</v>
      </c>
      <c r="G26" s="19">
        <f t="shared" si="0"/>
        <v>8841.4794000000002</v>
      </c>
      <c r="H26" s="26"/>
      <c r="I26" s="26"/>
    </row>
    <row r="27" spans="1:9" x14ac:dyDescent="0.25">
      <c r="A27" s="22" t="s">
        <v>44</v>
      </c>
      <c r="B27" s="5" t="s">
        <v>47</v>
      </c>
      <c r="C27" s="163" t="s">
        <v>48</v>
      </c>
      <c r="D27" s="30">
        <v>-544.37</v>
      </c>
      <c r="E27" s="8">
        <v>4270.1400000000003</v>
      </c>
      <c r="F27" s="8">
        <v>4050.5</v>
      </c>
      <c r="G27" s="9">
        <f t="shared" si="0"/>
        <v>4270.1400000000003</v>
      </c>
      <c r="H27" s="30">
        <f>D27+F27-E27</f>
        <v>-764.01000000000022</v>
      </c>
      <c r="I27" s="10">
        <f>H27</f>
        <v>-764.01000000000022</v>
      </c>
    </row>
    <row r="28" spans="1:9" x14ac:dyDescent="0.25">
      <c r="A28" s="10" t="s">
        <v>49</v>
      </c>
      <c r="B28" s="10" t="s">
        <v>50</v>
      </c>
      <c r="C28" s="35">
        <v>4.5999999999999996</v>
      </c>
      <c r="D28" s="10">
        <v>-1596.22</v>
      </c>
      <c r="E28" s="10">
        <v>15698.88</v>
      </c>
      <c r="F28" s="10">
        <v>14910.82</v>
      </c>
      <c r="G28" s="35">
        <f t="shared" si="0"/>
        <v>15698.88</v>
      </c>
      <c r="H28" s="10" t="s">
        <v>538</v>
      </c>
      <c r="I28" s="10" t="str">
        <f>H28</f>
        <v xml:space="preserve">         </v>
      </c>
    </row>
    <row r="29" spans="1:9" x14ac:dyDescent="0.25">
      <c r="A29" s="10" t="s">
        <v>51</v>
      </c>
      <c r="B29" s="10" t="s">
        <v>310</v>
      </c>
      <c r="C29" s="36">
        <v>1.65</v>
      </c>
      <c r="D29" s="10">
        <v>42794.29</v>
      </c>
      <c r="E29" s="10">
        <v>5631.48</v>
      </c>
      <c r="F29" s="10">
        <f>F30+F31</f>
        <v>14360.529999999999</v>
      </c>
      <c r="G29" s="35">
        <f>I54</f>
        <v>0</v>
      </c>
      <c r="H29" s="10">
        <f>D29+F29-G29</f>
        <v>57154.82</v>
      </c>
      <c r="I29" s="39"/>
    </row>
    <row r="30" spans="1:9" x14ac:dyDescent="0.25">
      <c r="A30" s="39"/>
      <c r="B30" s="17" t="s">
        <v>53</v>
      </c>
      <c r="C30" s="13"/>
      <c r="D30" s="11"/>
      <c r="E30" s="13"/>
      <c r="F30" s="11">
        <v>5362.94</v>
      </c>
      <c r="G30" s="14"/>
      <c r="H30" s="11"/>
      <c r="I30" s="10"/>
    </row>
    <row r="31" spans="1:9" x14ac:dyDescent="0.25">
      <c r="A31" s="10"/>
      <c r="B31" s="17" t="s">
        <v>367</v>
      </c>
      <c r="C31" s="35"/>
      <c r="D31" s="10" t="s">
        <v>72</v>
      </c>
      <c r="E31" s="35"/>
      <c r="F31" s="10">
        <v>8997.59</v>
      </c>
      <c r="G31" s="35" t="s">
        <v>145</v>
      </c>
      <c r="H31" s="10" t="s">
        <v>72</v>
      </c>
      <c r="I31" s="10"/>
    </row>
    <row r="32" spans="1:9" x14ac:dyDescent="0.25">
      <c r="A32" s="10" t="s">
        <v>56</v>
      </c>
      <c r="B32" s="10" t="s">
        <v>57</v>
      </c>
      <c r="C32" s="13">
        <v>0</v>
      </c>
      <c r="D32" s="11">
        <v>8997.59</v>
      </c>
      <c r="E32" s="13">
        <v>0</v>
      </c>
      <c r="F32" s="11">
        <v>-8997.59</v>
      </c>
      <c r="G32" s="13">
        <v>0</v>
      </c>
      <c r="H32" s="11">
        <f>D32+F32-0</f>
        <v>0</v>
      </c>
      <c r="I32" s="11"/>
    </row>
    <row r="33" spans="1:9" x14ac:dyDescent="0.25">
      <c r="A33" s="8"/>
      <c r="B33" s="17" t="s">
        <v>58</v>
      </c>
      <c r="C33" s="7"/>
      <c r="D33" s="209"/>
      <c r="E33" s="209"/>
      <c r="F33" s="9">
        <v>8997.59</v>
      </c>
      <c r="G33" s="209"/>
      <c r="H33" s="230"/>
      <c r="I33" s="8" t="s">
        <v>72</v>
      </c>
    </row>
    <row r="34" spans="1:9" x14ac:dyDescent="0.25">
      <c r="A34" s="1" t="s">
        <v>59</v>
      </c>
      <c r="B34" s="8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4" t="s">
        <v>70</v>
      </c>
      <c r="B36" s="2"/>
      <c r="C36" s="2"/>
      <c r="E36" s="2"/>
      <c r="F36" s="2"/>
      <c r="G36" s="2"/>
      <c r="H36" s="2"/>
      <c r="I36" s="2"/>
    </row>
    <row r="37" spans="1:9" x14ac:dyDescent="0.25">
      <c r="A37" s="1" t="s">
        <v>71</v>
      </c>
      <c r="B37" s="2"/>
      <c r="C37" s="2"/>
      <c r="E37" s="2"/>
      <c r="F37" s="2"/>
      <c r="G37" s="2"/>
      <c r="H37" s="2"/>
      <c r="I37" s="2"/>
    </row>
    <row r="38" spans="1:9" x14ac:dyDescent="0.25">
      <c r="A38" s="43" t="s">
        <v>72</v>
      </c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5" t="s">
        <v>72</v>
      </c>
      <c r="B39" s="159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78</v>
      </c>
      <c r="H39" s="5" t="s">
        <v>79</v>
      </c>
      <c r="I39" s="5" t="s">
        <v>19</v>
      </c>
    </row>
    <row r="40" spans="1:9" x14ac:dyDescent="0.25">
      <c r="A40" s="6"/>
      <c r="B40" s="4" t="s">
        <v>80</v>
      </c>
      <c r="C40" s="6" t="s">
        <v>81</v>
      </c>
      <c r="D40" s="43" t="s">
        <v>82</v>
      </c>
      <c r="E40" s="6" t="s">
        <v>23</v>
      </c>
      <c r="F40" s="43" t="s">
        <v>84</v>
      </c>
      <c r="G40" s="6" t="s">
        <v>85</v>
      </c>
      <c r="H40" s="6" t="s">
        <v>86</v>
      </c>
      <c r="I40" s="6" t="s">
        <v>87</v>
      </c>
    </row>
    <row r="41" spans="1:9" x14ac:dyDescent="0.25">
      <c r="A41" s="6"/>
      <c r="B41" s="43"/>
      <c r="C41" s="6"/>
      <c r="D41" s="43"/>
      <c r="E41" s="6"/>
      <c r="F41" s="43" t="s">
        <v>88</v>
      </c>
      <c r="G41" s="6" t="s">
        <v>89</v>
      </c>
      <c r="H41" s="6"/>
      <c r="I41" s="6" t="s">
        <v>325</v>
      </c>
    </row>
    <row r="42" spans="1:9" x14ac:dyDescent="0.25">
      <c r="A42" s="6"/>
      <c r="B42" s="43"/>
      <c r="C42" s="6"/>
      <c r="D42" s="43"/>
      <c r="E42" s="6"/>
      <c r="F42" s="43"/>
      <c r="G42" s="248"/>
      <c r="H42" s="6"/>
      <c r="I42" s="6" t="s">
        <v>72</v>
      </c>
    </row>
    <row r="43" spans="1:9" x14ac:dyDescent="0.25">
      <c r="A43" s="8"/>
      <c r="B43" s="9"/>
      <c r="C43" s="8"/>
      <c r="D43" s="9"/>
      <c r="E43" s="8"/>
      <c r="F43" s="8"/>
      <c r="G43" s="9"/>
      <c r="H43" s="8"/>
      <c r="I43" s="8"/>
    </row>
    <row r="44" spans="1:9" x14ac:dyDescent="0.25">
      <c r="A44" s="17">
        <v>1</v>
      </c>
      <c r="B44" s="51" t="s">
        <v>91</v>
      </c>
      <c r="C44" s="13" t="s">
        <v>92</v>
      </c>
      <c r="D44" s="17">
        <v>-3861.96</v>
      </c>
      <c r="E44" s="60">
        <v>32183.18</v>
      </c>
      <c r="F44" s="17">
        <v>31786.37</v>
      </c>
      <c r="G44" s="60">
        <f>E44</f>
        <v>32183.18</v>
      </c>
      <c r="H44" s="8">
        <f>D44+F44-G44</f>
        <v>-4258.7700000000004</v>
      </c>
      <c r="I44" s="17">
        <f>H44</f>
        <v>-4258.7700000000004</v>
      </c>
    </row>
    <row r="45" spans="1:9" x14ac:dyDescent="0.25">
      <c r="A45" s="17"/>
      <c r="B45" s="51" t="s">
        <v>93</v>
      </c>
      <c r="C45" s="13" t="s">
        <v>94</v>
      </c>
      <c r="D45" s="17"/>
      <c r="E45" s="60"/>
      <c r="F45" s="17"/>
      <c r="G45" s="60"/>
      <c r="H45" s="6"/>
      <c r="I45" s="17"/>
    </row>
    <row r="46" spans="1:9" x14ac:dyDescent="0.25">
      <c r="A46" s="8">
        <v>2</v>
      </c>
      <c r="B46" s="48" t="s">
        <v>99</v>
      </c>
      <c r="C46" s="35" t="s">
        <v>100</v>
      </c>
      <c r="D46" s="8">
        <v>-23633.27</v>
      </c>
      <c r="E46" s="9">
        <v>102805.77</v>
      </c>
      <c r="F46" s="8">
        <v>98387.59</v>
      </c>
      <c r="G46" s="9">
        <f>E46</f>
        <v>102805.77</v>
      </c>
      <c r="H46" s="8">
        <f>D46+F46-G46</f>
        <v>-28051.450000000012</v>
      </c>
      <c r="I46" s="8">
        <f>H46</f>
        <v>-28051.450000000012</v>
      </c>
    </row>
    <row r="47" spans="1:9" x14ac:dyDescent="0.25">
      <c r="A47" s="39" t="s">
        <v>539</v>
      </c>
      <c r="B47" s="43"/>
      <c r="C47" s="2"/>
      <c r="D47" s="2"/>
      <c r="E47" s="2"/>
      <c r="F47" s="2"/>
      <c r="G47" s="2"/>
      <c r="H47" s="2"/>
      <c r="I47" s="2"/>
    </row>
    <row r="48" spans="1:9" x14ac:dyDescent="0.25">
      <c r="A48" s="39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12</v>
      </c>
      <c r="B49" s="47" t="s">
        <v>103</v>
      </c>
      <c r="C49" s="46" t="s">
        <v>104</v>
      </c>
      <c r="D49" s="54"/>
      <c r="E49" s="54"/>
      <c r="F49" s="47" t="s">
        <v>72</v>
      </c>
      <c r="G49" s="5" t="s">
        <v>105</v>
      </c>
      <c r="H49" s="47" t="s">
        <v>106</v>
      </c>
      <c r="I49" s="5" t="s">
        <v>107</v>
      </c>
    </row>
    <row r="50" spans="1:9" x14ac:dyDescent="0.25">
      <c r="A50" s="6" t="s">
        <v>108</v>
      </c>
      <c r="B50" s="56"/>
      <c r="C50" s="49"/>
      <c r="D50" s="43"/>
      <c r="E50" s="43"/>
      <c r="F50" s="56"/>
      <c r="G50" s="6"/>
      <c r="H50" s="56"/>
      <c r="I50" s="6" t="s">
        <v>109</v>
      </c>
    </row>
    <row r="51" spans="1:9" x14ac:dyDescent="0.25">
      <c r="A51" s="17"/>
      <c r="B51" s="51"/>
      <c r="C51" s="50"/>
      <c r="D51" s="61"/>
      <c r="E51" s="61"/>
      <c r="F51" s="51"/>
      <c r="G51" s="6"/>
      <c r="H51" s="56"/>
      <c r="I51" s="17"/>
    </row>
    <row r="52" spans="1:9" x14ac:dyDescent="0.25">
      <c r="A52" s="62" t="s">
        <v>72</v>
      </c>
      <c r="B52" s="195"/>
      <c r="C52" s="55" t="s">
        <v>110</v>
      </c>
      <c r="D52" s="4"/>
      <c r="E52" s="4"/>
      <c r="F52" s="43"/>
      <c r="G52" s="5"/>
      <c r="H52" s="47"/>
      <c r="I52" s="5"/>
    </row>
    <row r="53" spans="1:9" x14ac:dyDescent="0.25">
      <c r="A53" s="64"/>
      <c r="B53" s="56"/>
      <c r="C53" s="49" t="s">
        <v>72</v>
      </c>
      <c r="D53" s="43"/>
      <c r="E53" s="43"/>
      <c r="F53" s="43" t="s">
        <v>72</v>
      </c>
      <c r="G53" s="6"/>
      <c r="H53" s="56" t="s">
        <v>72</v>
      </c>
      <c r="I53" s="6" t="s">
        <v>72</v>
      </c>
    </row>
    <row r="54" spans="1:9" x14ac:dyDescent="0.25">
      <c r="A54" s="66"/>
      <c r="B54" s="51"/>
      <c r="C54" s="14" t="s">
        <v>117</v>
      </c>
      <c r="D54" s="13"/>
      <c r="E54" s="13"/>
      <c r="F54" s="13"/>
      <c r="G54" s="16"/>
      <c r="H54" s="67"/>
      <c r="I54" s="11">
        <v>0</v>
      </c>
    </row>
    <row r="55" spans="1:9" x14ac:dyDescent="0.25">
      <c r="A55" s="2"/>
      <c r="B55" s="43" t="s">
        <v>258</v>
      </c>
      <c r="C55" s="2"/>
      <c r="D55" s="2"/>
      <c r="E55" s="2"/>
      <c r="F55" s="2"/>
      <c r="G55" s="2"/>
      <c r="H55" s="2"/>
      <c r="I55" s="2"/>
    </row>
    <row r="56" spans="1:9" x14ac:dyDescent="0.25">
      <c r="A56" s="2" t="s">
        <v>540</v>
      </c>
      <c r="B56" s="2"/>
      <c r="C56" s="2"/>
      <c r="D56" s="2" t="s">
        <v>541</v>
      </c>
      <c r="E56" s="2"/>
      <c r="F56" s="2"/>
      <c r="G56" s="2"/>
      <c r="H56" s="2"/>
      <c r="I56" s="2"/>
    </row>
    <row r="57" spans="1:9" x14ac:dyDescent="0.25">
      <c r="A57" s="2"/>
      <c r="B57" s="2"/>
      <c r="C57" s="2" t="s">
        <v>72</v>
      </c>
    </row>
    <row r="58" spans="1:9" x14ac:dyDescent="0.25">
      <c r="B5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3" workbookViewId="0">
      <selection activeCell="A19" sqref="A19"/>
    </sheetView>
  </sheetViews>
  <sheetFormatPr defaultRowHeight="15" x14ac:dyDescent="0.25"/>
  <cols>
    <col min="1" max="1" width="5.7109375" customWidth="1"/>
    <col min="2" max="2" width="39.140625" customWidth="1"/>
    <col min="3" max="3" width="13.85546875" customWidth="1"/>
    <col min="5" max="5" width="11.42578125" customWidth="1"/>
    <col min="6" max="6" width="12.28515625" customWidth="1"/>
    <col min="8" max="8" width="12.140625" customWidth="1"/>
    <col min="9" max="9" width="18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542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2" t="s">
        <v>543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544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154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35</v>
      </c>
      <c r="C18" s="11">
        <v>8.5500000000000007</v>
      </c>
      <c r="D18" s="16">
        <v>1628.53</v>
      </c>
      <c r="E18" s="13">
        <v>164170.92000000001</v>
      </c>
      <c r="F18" s="14">
        <v>161889.94</v>
      </c>
      <c r="G18" s="15">
        <f>E18</f>
        <v>164170.92000000001</v>
      </c>
      <c r="H18" s="16">
        <f>D18+F18-G18</f>
        <v>-652.45000000001164</v>
      </c>
      <c r="I18" s="16">
        <f>H18</f>
        <v>-652.45000000001164</v>
      </c>
    </row>
    <row r="19" spans="1:9" x14ac:dyDescent="0.25">
      <c r="A19" s="6" t="s">
        <v>36</v>
      </c>
      <c r="B19" s="17" t="s">
        <v>37</v>
      </c>
      <c r="C19" s="17">
        <v>3.08</v>
      </c>
      <c r="D19" s="21"/>
      <c r="E19" s="162">
        <f>E18*36/100</f>
        <v>59101.531199999998</v>
      </c>
      <c r="F19" s="20">
        <f>F18*36/100</f>
        <v>58280.378400000001</v>
      </c>
      <c r="G19" s="20">
        <f>E19</f>
        <v>59101.531199999998</v>
      </c>
      <c r="H19" s="21"/>
      <c r="I19" s="21"/>
    </row>
    <row r="20" spans="1:9" x14ac:dyDescent="0.25">
      <c r="A20" s="22" t="s">
        <v>38</v>
      </c>
      <c r="B20" s="5" t="s">
        <v>188</v>
      </c>
      <c r="C20" s="5">
        <v>1.51</v>
      </c>
      <c r="D20" s="33"/>
      <c r="E20" s="24">
        <f>E18*17.7/100</f>
        <v>29058.252840000001</v>
      </c>
      <c r="F20" s="25">
        <f>F18*17.7/100</f>
        <v>28654.519380000002</v>
      </c>
      <c r="G20" s="44">
        <f>E20</f>
        <v>29058.252840000001</v>
      </c>
      <c r="H20" s="26"/>
      <c r="I20" s="33"/>
    </row>
    <row r="21" spans="1:9" x14ac:dyDescent="0.25">
      <c r="A21" s="17"/>
      <c r="B21" s="17" t="s">
        <v>189</v>
      </c>
      <c r="C21" s="17"/>
      <c r="D21" s="21"/>
      <c r="E21" s="162"/>
      <c r="F21" s="20"/>
      <c r="G21" s="44" t="s">
        <v>72</v>
      </c>
      <c r="H21" s="26"/>
      <c r="I21" s="21"/>
    </row>
    <row r="22" spans="1:9" x14ac:dyDescent="0.25">
      <c r="A22" s="22" t="s">
        <v>40</v>
      </c>
      <c r="B22" s="5" t="s">
        <v>41</v>
      </c>
      <c r="C22" s="5">
        <v>1.36</v>
      </c>
      <c r="D22" s="33"/>
      <c r="E22" s="28">
        <f>E18*16/100</f>
        <v>26267.347200000004</v>
      </c>
      <c r="F22" s="29">
        <f>F18*16/100</f>
        <v>25902.3904</v>
      </c>
      <c r="G22" s="29">
        <f>E22</f>
        <v>26267.347200000004</v>
      </c>
      <c r="H22" s="30"/>
      <c r="I22" s="33"/>
    </row>
    <row r="23" spans="1:9" x14ac:dyDescent="0.25">
      <c r="A23" s="22" t="s">
        <v>42</v>
      </c>
      <c r="B23" s="5" t="s">
        <v>43</v>
      </c>
      <c r="C23" s="5">
        <v>2.6</v>
      </c>
      <c r="D23" s="33"/>
      <c r="E23" s="28">
        <f>E18*30.3/100</f>
        <v>49743.788760000003</v>
      </c>
      <c r="F23" s="29">
        <f>F18*30.3/100</f>
        <v>49052.651819999999</v>
      </c>
      <c r="G23" s="29">
        <f>E23</f>
        <v>49743.788760000003</v>
      </c>
      <c r="H23" s="30"/>
      <c r="I23" s="33"/>
    </row>
    <row r="24" spans="1:9" x14ac:dyDescent="0.25">
      <c r="A24" s="22" t="s">
        <v>44</v>
      </c>
      <c r="B24" s="5" t="s">
        <v>45</v>
      </c>
      <c r="C24" s="5">
        <v>1755.25</v>
      </c>
      <c r="D24" s="33">
        <v>1689.92</v>
      </c>
      <c r="E24" s="28">
        <v>12440.43</v>
      </c>
      <c r="F24" s="29">
        <v>12445.9</v>
      </c>
      <c r="G24" s="29">
        <f>E24</f>
        <v>12440.43</v>
      </c>
      <c r="H24" s="30">
        <f>D24+F24-E24</f>
        <v>1695.3899999999994</v>
      </c>
      <c r="I24" s="33"/>
    </row>
    <row r="25" spans="1:9" x14ac:dyDescent="0.25">
      <c r="A25" s="22" t="s">
        <v>46</v>
      </c>
      <c r="B25" s="5" t="s">
        <v>276</v>
      </c>
      <c r="C25" s="5" t="s">
        <v>48</v>
      </c>
      <c r="D25" s="33">
        <v>-1773.37</v>
      </c>
      <c r="E25" s="28">
        <v>17221.16</v>
      </c>
      <c r="F25" s="29">
        <v>14828.56</v>
      </c>
      <c r="G25" s="29">
        <f>E25</f>
        <v>17221.16</v>
      </c>
      <c r="H25" s="30">
        <f>D25+F25-E25</f>
        <v>-4165.9700000000012</v>
      </c>
      <c r="I25" s="160">
        <f>H25</f>
        <v>-4165.9700000000012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-6705.24</v>
      </c>
      <c r="E26" s="35">
        <v>88325.52</v>
      </c>
      <c r="F26" s="36">
        <v>87938.78</v>
      </c>
      <c r="G26" s="37">
        <f>E26</f>
        <v>88325.52</v>
      </c>
      <c r="H26" s="38">
        <f>D26+F26-G26</f>
        <v>-7091.9800000000105</v>
      </c>
      <c r="I26" s="38">
        <f>H26</f>
        <v>-7091.9800000000105</v>
      </c>
    </row>
    <row r="27" spans="1:9" x14ac:dyDescent="0.25">
      <c r="A27" s="11" t="s">
        <v>51</v>
      </c>
      <c r="B27" s="11" t="s">
        <v>310</v>
      </c>
      <c r="C27" s="39">
        <v>1.65</v>
      </c>
      <c r="D27" s="41">
        <v>113032.74</v>
      </c>
      <c r="E27" s="39">
        <v>31682.639999999999</v>
      </c>
      <c r="F27" s="39">
        <f>F28+F29</f>
        <v>32031.08</v>
      </c>
      <c r="G27" s="39">
        <f>I57</f>
        <v>33897.5</v>
      </c>
      <c r="H27" s="40">
        <f>D27+F27-G27</f>
        <v>111166.32</v>
      </c>
      <c r="I27" s="41" t="s">
        <v>72</v>
      </c>
    </row>
    <row r="28" spans="1:9" x14ac:dyDescent="0.25">
      <c r="A28" s="10"/>
      <c r="B28" s="8" t="s">
        <v>398</v>
      </c>
      <c r="C28" s="36"/>
      <c r="D28" s="37"/>
      <c r="E28" s="10"/>
      <c r="F28" s="10">
        <v>31620.93</v>
      </c>
      <c r="G28" s="10"/>
      <c r="H28" s="37"/>
      <c r="I28" s="38"/>
    </row>
    <row r="29" spans="1:9" x14ac:dyDescent="0.25">
      <c r="A29" s="10"/>
      <c r="B29" s="8" t="s">
        <v>367</v>
      </c>
      <c r="C29" s="35"/>
      <c r="D29" s="37"/>
      <c r="E29" s="10"/>
      <c r="F29" s="10">
        <v>410.15</v>
      </c>
      <c r="G29" s="10"/>
      <c r="H29" s="38"/>
      <c r="I29" s="160"/>
    </row>
    <row r="30" spans="1:9" x14ac:dyDescent="0.25">
      <c r="A30" s="39" t="s">
        <v>56</v>
      </c>
      <c r="B30" s="39" t="s">
        <v>545</v>
      </c>
      <c r="C30" s="4">
        <v>0</v>
      </c>
      <c r="D30" s="40">
        <v>410.15</v>
      </c>
      <c r="E30" s="39">
        <v>0</v>
      </c>
      <c r="F30" s="39">
        <v>-410.15</v>
      </c>
      <c r="G30" s="249"/>
      <c r="H30" s="40">
        <f>D30+F30-G30</f>
        <v>0</v>
      </c>
      <c r="I30" s="160"/>
    </row>
    <row r="31" spans="1:9" x14ac:dyDescent="0.25">
      <c r="A31" s="8"/>
      <c r="B31" s="8" t="s">
        <v>398</v>
      </c>
      <c r="C31" s="9">
        <v>0</v>
      </c>
      <c r="D31" s="29"/>
      <c r="E31" s="8">
        <v>0</v>
      </c>
      <c r="F31" s="8">
        <v>0</v>
      </c>
      <c r="G31" s="66"/>
      <c r="H31" s="29" t="s">
        <v>72</v>
      </c>
      <c r="I31" s="30"/>
    </row>
    <row r="32" spans="1:9" x14ac:dyDescent="0.25">
      <c r="A32" s="8"/>
      <c r="B32" s="8" t="s">
        <v>58</v>
      </c>
      <c r="C32" s="9"/>
      <c r="D32" s="30"/>
      <c r="E32" s="8"/>
      <c r="F32" s="8">
        <v>410.15</v>
      </c>
      <c r="G32" s="9"/>
      <c r="H32" s="30"/>
      <c r="I32" s="21"/>
    </row>
    <row r="33" spans="1:9" x14ac:dyDescent="0.25">
      <c r="A33" s="1" t="s">
        <v>59</v>
      </c>
      <c r="B33" s="1"/>
      <c r="C33" s="1"/>
      <c r="D33" s="45"/>
      <c r="E33" s="1"/>
      <c r="F33" s="1"/>
      <c r="G33" s="43"/>
      <c r="H33" s="19"/>
      <c r="I33" s="19"/>
    </row>
    <row r="34" spans="1:9" x14ac:dyDescent="0.25">
      <c r="A34" s="166"/>
      <c r="B34" s="166"/>
      <c r="C34" s="166"/>
      <c r="D34" s="166"/>
      <c r="E34" s="166"/>
      <c r="F34" s="166"/>
      <c r="G34" s="43"/>
      <c r="H34" s="43"/>
      <c r="I34" s="43"/>
    </row>
    <row r="35" spans="1:9" x14ac:dyDescent="0.25">
      <c r="A35" s="46" t="s">
        <v>355</v>
      </c>
      <c r="B35" s="5"/>
      <c r="C35" s="5" t="s">
        <v>62</v>
      </c>
      <c r="D35" s="5" t="s">
        <v>63</v>
      </c>
      <c r="E35" s="5" t="s">
        <v>546</v>
      </c>
      <c r="F35" s="5" t="s">
        <v>65</v>
      </c>
      <c r="G35" s="5"/>
      <c r="H35" s="46" t="s">
        <v>195</v>
      </c>
      <c r="I35" s="47"/>
    </row>
    <row r="36" spans="1:9" x14ac:dyDescent="0.25">
      <c r="A36" s="49"/>
      <c r="B36" s="6" t="s">
        <v>61</v>
      </c>
      <c r="C36" s="17" t="s">
        <v>67</v>
      </c>
      <c r="D36" s="17" t="s">
        <v>23</v>
      </c>
      <c r="E36" s="17" t="s">
        <v>547</v>
      </c>
      <c r="F36" s="17" t="s">
        <v>30</v>
      </c>
      <c r="G36" s="17"/>
      <c r="H36" s="50"/>
      <c r="I36" s="51"/>
    </row>
    <row r="37" spans="1:9" x14ac:dyDescent="0.25">
      <c r="A37" s="50"/>
      <c r="B37" s="17" t="s">
        <v>69</v>
      </c>
      <c r="C37" s="250">
        <v>15620.22</v>
      </c>
      <c r="D37" s="17">
        <v>6000</v>
      </c>
      <c r="E37" s="21">
        <f>D37*15%</f>
        <v>900</v>
      </c>
      <c r="F37" s="187">
        <f>C37+(D37-E37)</f>
        <v>20720.22</v>
      </c>
      <c r="G37" s="187"/>
      <c r="H37" s="251">
        <f>F37-G37</f>
        <v>20720.22</v>
      </c>
      <c r="I37" s="51"/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5" t="s">
        <v>72</v>
      </c>
      <c r="B40" s="46" t="s">
        <v>73</v>
      </c>
      <c r="C40" s="5" t="s">
        <v>74</v>
      </c>
      <c r="D40" s="54" t="s">
        <v>75</v>
      </c>
      <c r="E40" s="5" t="s">
        <v>76</v>
      </c>
      <c r="F40" s="5" t="s">
        <v>77</v>
      </c>
      <c r="G40" s="54" t="s">
        <v>78</v>
      </c>
      <c r="H40" s="5" t="s">
        <v>79</v>
      </c>
      <c r="I40" s="5" t="s">
        <v>19</v>
      </c>
    </row>
    <row r="41" spans="1:9" x14ac:dyDescent="0.25">
      <c r="A41" s="6"/>
      <c r="B41" s="49" t="s">
        <v>80</v>
      </c>
      <c r="C41" s="6" t="s">
        <v>81</v>
      </c>
      <c r="D41" s="43" t="s">
        <v>82</v>
      </c>
      <c r="E41" s="6" t="s">
        <v>83</v>
      </c>
      <c r="F41" s="6" t="s">
        <v>84</v>
      </c>
      <c r="G41" s="43" t="s">
        <v>85</v>
      </c>
      <c r="H41" s="6" t="s">
        <v>86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6" t="s">
        <v>88</v>
      </c>
      <c r="G42" s="43" t="s">
        <v>89</v>
      </c>
      <c r="H42" s="6"/>
      <c r="I42" s="6" t="s">
        <v>30</v>
      </c>
    </row>
    <row r="43" spans="1:9" x14ac:dyDescent="0.25">
      <c r="A43" s="6"/>
      <c r="B43" s="49"/>
      <c r="C43" s="6"/>
      <c r="D43" s="43"/>
      <c r="E43" s="6"/>
      <c r="F43" s="17"/>
      <c r="H43" s="17"/>
      <c r="I43" s="6"/>
    </row>
    <row r="44" spans="1:9" x14ac:dyDescent="0.25">
      <c r="A44" s="5"/>
      <c r="B44" s="5"/>
      <c r="C44" s="159"/>
      <c r="D44" s="8"/>
      <c r="E44" s="9"/>
      <c r="F44" s="7"/>
      <c r="G44" s="7"/>
      <c r="H44" s="8"/>
      <c r="I44" s="8"/>
    </row>
    <row r="45" spans="1:9" x14ac:dyDescent="0.25">
      <c r="A45" s="8">
        <v>1</v>
      </c>
      <c r="B45" s="8" t="s">
        <v>91</v>
      </c>
      <c r="C45" s="10" t="s">
        <v>92</v>
      </c>
      <c r="D45" s="6">
        <v>-25150.720000000001</v>
      </c>
      <c r="E45" s="252">
        <v>267590.71999999997</v>
      </c>
      <c r="F45" s="6">
        <v>268974.71000000002</v>
      </c>
      <c r="G45" s="43">
        <f>E45</f>
        <v>267590.71999999997</v>
      </c>
      <c r="H45" s="6">
        <f>D45+F45-G45</f>
        <v>-23766.729999999952</v>
      </c>
      <c r="I45" s="6">
        <f>H45</f>
        <v>-23766.729999999952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8"/>
      <c r="G46" s="9"/>
      <c r="H46" s="8"/>
      <c r="I46" s="8"/>
    </row>
    <row r="47" spans="1:9" x14ac:dyDescent="0.25">
      <c r="A47" s="8">
        <v>2</v>
      </c>
      <c r="B47" s="8" t="s">
        <v>99</v>
      </c>
      <c r="C47" s="35" t="s">
        <v>100</v>
      </c>
      <c r="D47" s="8">
        <v>-98188.11</v>
      </c>
      <c r="E47" s="9">
        <v>462030.55</v>
      </c>
      <c r="F47" s="8">
        <v>449119.33</v>
      </c>
      <c r="G47" s="7">
        <f>E47</f>
        <v>462030.55</v>
      </c>
      <c r="H47" s="17">
        <f>D47+F47-G47</f>
        <v>-111099.32999999996</v>
      </c>
      <c r="I47" s="8">
        <f>H47</f>
        <v>-111099.32999999996</v>
      </c>
    </row>
    <row r="48" spans="1:9" x14ac:dyDescent="0.25">
      <c r="A48" s="1" t="s">
        <v>101</v>
      </c>
      <c r="B48" s="1"/>
      <c r="C48" s="1"/>
      <c r="D48" s="2"/>
      <c r="E48" s="1"/>
      <c r="F48" s="1"/>
      <c r="G48" s="1"/>
      <c r="H48" s="1"/>
      <c r="I48" s="2"/>
    </row>
    <row r="49" spans="1:9" x14ac:dyDescent="0.25">
      <c r="A49" s="4" t="s">
        <v>102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47"/>
      <c r="G50" s="5" t="s">
        <v>105</v>
      </c>
      <c r="H50" s="47" t="s">
        <v>165</v>
      </c>
      <c r="I50" s="5" t="s">
        <v>107</v>
      </c>
    </row>
    <row r="51" spans="1:9" x14ac:dyDescent="0.25">
      <c r="A51" s="49" t="s">
        <v>108</v>
      </c>
      <c r="B51" s="6" t="s">
        <v>72</v>
      </c>
      <c r="C51" s="49"/>
      <c r="D51" s="43"/>
      <c r="E51" s="43"/>
      <c r="F51" s="56"/>
      <c r="G51" s="6"/>
      <c r="H51" s="56" t="s">
        <v>85</v>
      </c>
      <c r="I51" s="6" t="s">
        <v>109</v>
      </c>
    </row>
    <row r="52" spans="1:9" x14ac:dyDescent="0.25">
      <c r="A52" s="49"/>
      <c r="B52" s="17"/>
      <c r="C52" s="50"/>
      <c r="D52" s="61"/>
      <c r="E52" s="61"/>
      <c r="F52" s="51"/>
      <c r="G52" s="6"/>
      <c r="H52" s="56"/>
      <c r="I52" s="6"/>
    </row>
    <row r="53" spans="1:9" x14ac:dyDescent="0.25">
      <c r="A53" s="62"/>
      <c r="B53" s="39"/>
      <c r="C53" s="55" t="s">
        <v>110</v>
      </c>
      <c r="D53" s="4"/>
      <c r="E53" s="4"/>
      <c r="F53" s="56"/>
      <c r="G53" s="5"/>
      <c r="H53" s="47"/>
      <c r="I53" s="5"/>
    </row>
    <row r="54" spans="1:9" x14ac:dyDescent="0.25">
      <c r="A54" s="64" t="s">
        <v>111</v>
      </c>
      <c r="B54" s="65">
        <v>43186</v>
      </c>
      <c r="C54" s="49" t="s">
        <v>112</v>
      </c>
      <c r="D54" s="43"/>
      <c r="E54" s="43"/>
      <c r="F54" s="56" t="s">
        <v>72</v>
      </c>
      <c r="G54" s="26" t="s">
        <v>113</v>
      </c>
      <c r="H54" s="56">
        <v>52</v>
      </c>
      <c r="I54" s="6">
        <v>10400</v>
      </c>
    </row>
    <row r="55" spans="1:9" x14ac:dyDescent="0.25">
      <c r="A55" s="64" t="s">
        <v>114</v>
      </c>
      <c r="B55" s="65">
        <v>43189</v>
      </c>
      <c r="C55" s="49" t="s">
        <v>548</v>
      </c>
      <c r="D55" s="43"/>
      <c r="E55" s="43"/>
      <c r="F55" s="56"/>
      <c r="G55" s="26" t="s">
        <v>116</v>
      </c>
      <c r="H55" s="56">
        <v>21</v>
      </c>
      <c r="I55" s="6">
        <v>23497.5</v>
      </c>
    </row>
    <row r="56" spans="1:9" x14ac:dyDescent="0.25">
      <c r="A56" s="64"/>
      <c r="B56" s="65"/>
      <c r="C56" s="49"/>
      <c r="D56" s="43"/>
      <c r="E56" s="43"/>
      <c r="F56" s="56"/>
      <c r="G56" s="26"/>
      <c r="H56" s="56"/>
      <c r="I56" s="6"/>
    </row>
    <row r="57" spans="1:9" x14ac:dyDescent="0.25">
      <c r="A57" s="66"/>
      <c r="B57" s="17"/>
      <c r="C57" s="14" t="s">
        <v>117</v>
      </c>
      <c r="D57" s="13"/>
      <c r="E57" s="13"/>
      <c r="F57" s="67"/>
      <c r="G57" s="16"/>
      <c r="H57" s="67"/>
      <c r="I57" s="11">
        <f>SUM(I53:I56)</f>
        <v>33897.5</v>
      </c>
    </row>
    <row r="58" spans="1:9" x14ac:dyDescent="0.25">
      <c r="A58" s="2" t="s">
        <v>72</v>
      </c>
      <c r="B58" s="2"/>
      <c r="C58" s="2" t="s">
        <v>72</v>
      </c>
      <c r="E58" s="2"/>
      <c r="F58" s="2"/>
      <c r="G58" s="2"/>
      <c r="H58" s="2"/>
    </row>
    <row r="59" spans="1:9" x14ac:dyDescent="0.25">
      <c r="A59" s="2" t="s">
        <v>206</v>
      </c>
      <c r="B59" s="2"/>
      <c r="C59" s="2"/>
      <c r="D59" s="2" t="s">
        <v>119</v>
      </c>
      <c r="E59" s="2" t="s">
        <v>549</v>
      </c>
      <c r="F59" s="2"/>
      <c r="G59" s="2"/>
      <c r="H59" s="2" t="s">
        <v>121</v>
      </c>
      <c r="I59" s="2" t="s">
        <v>122</v>
      </c>
    </row>
  </sheetData>
  <pageMargins left="0.7" right="0.7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B66" sqref="B66"/>
    </sheetView>
  </sheetViews>
  <sheetFormatPr defaultRowHeight="15" x14ac:dyDescent="0.25"/>
  <cols>
    <col min="1" max="1" width="5.85546875" customWidth="1"/>
    <col min="2" max="2" width="33.28515625" customWidth="1"/>
    <col min="3" max="3" width="12.42578125" customWidth="1"/>
    <col min="4" max="4" width="11.140625" customWidth="1"/>
    <col min="6" max="6" width="11.140625" customWidth="1"/>
    <col min="8" max="8" width="12.28515625" customWidth="1"/>
    <col min="9" max="9" width="20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550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551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552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553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129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497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554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53"/>
      <c r="E18" s="160" t="s">
        <v>72</v>
      </c>
      <c r="F18" s="63" t="s">
        <v>72</v>
      </c>
      <c r="G18" s="63"/>
      <c r="H18" s="53" t="s">
        <v>72</v>
      </c>
      <c r="I18" s="160"/>
    </row>
    <row r="19" spans="1:9" x14ac:dyDescent="0.25">
      <c r="A19" s="14"/>
      <c r="B19" s="11" t="s">
        <v>187</v>
      </c>
      <c r="C19" s="11">
        <v>8.9600000000000009</v>
      </c>
      <c r="D19" s="16">
        <v>-14637.42</v>
      </c>
      <c r="E19" s="16">
        <v>293572.2</v>
      </c>
      <c r="F19" s="13">
        <v>286071.2</v>
      </c>
      <c r="G19" s="16">
        <f>E19</f>
        <v>293572.2</v>
      </c>
      <c r="H19" s="15">
        <f>D19+F19-G19</f>
        <v>-22138.419999999984</v>
      </c>
      <c r="I19" s="16">
        <f>H19</f>
        <v>-22138.419999999984</v>
      </c>
    </row>
    <row r="20" spans="1:9" x14ac:dyDescent="0.25">
      <c r="A20" s="6" t="s">
        <v>36</v>
      </c>
      <c r="B20" s="6" t="s">
        <v>217</v>
      </c>
      <c r="C20" s="43"/>
      <c r="D20" s="49"/>
      <c r="E20" s="6"/>
      <c r="F20" s="26"/>
      <c r="G20" s="6" t="s">
        <v>72</v>
      </c>
      <c r="H20" s="49"/>
      <c r="I20" s="33"/>
    </row>
    <row r="21" spans="1:9" x14ac:dyDescent="0.25">
      <c r="A21" s="17"/>
      <c r="B21" s="17" t="s">
        <v>218</v>
      </c>
      <c r="C21" s="61">
        <v>3.08</v>
      </c>
      <c r="D21" s="20"/>
      <c r="E21" s="187">
        <f>E19*34.4%</f>
        <v>100988.83679999999</v>
      </c>
      <c r="F21" s="21">
        <f>F19*34.4%</f>
        <v>98408.492799999993</v>
      </c>
      <c r="G21" s="21">
        <f t="shared" ref="G21:G26" si="0">E21</f>
        <v>100988.83679999999</v>
      </c>
      <c r="H21" s="20"/>
      <c r="I21" s="21"/>
    </row>
    <row r="22" spans="1:9" x14ac:dyDescent="0.25">
      <c r="A22" s="22" t="s">
        <v>38</v>
      </c>
      <c r="B22" s="5" t="s">
        <v>39</v>
      </c>
      <c r="C22" s="54">
        <v>1.47</v>
      </c>
      <c r="D22" s="25"/>
      <c r="E22" s="33">
        <f>E19*16.4%</f>
        <v>48145.840799999998</v>
      </c>
      <c r="F22" s="33">
        <f>F19*16.4%</f>
        <v>46915.676799999994</v>
      </c>
      <c r="G22" s="33">
        <f t="shared" si="0"/>
        <v>48145.840799999998</v>
      </c>
      <c r="H22" s="25"/>
      <c r="I22" s="33"/>
    </row>
    <row r="23" spans="1:9" x14ac:dyDescent="0.25">
      <c r="A23" s="22" t="s">
        <v>40</v>
      </c>
      <c r="B23" s="5" t="s">
        <v>41</v>
      </c>
      <c r="C23" s="54">
        <v>1.81</v>
      </c>
      <c r="D23" s="234"/>
      <c r="E23" s="33">
        <f>E19*20.2%</f>
        <v>59301.5844</v>
      </c>
      <c r="F23" s="33">
        <f>F19*20.2%</f>
        <v>57786.382399999995</v>
      </c>
      <c r="G23" s="33">
        <f t="shared" si="0"/>
        <v>59301.5844</v>
      </c>
      <c r="H23" s="234"/>
      <c r="I23" s="33"/>
    </row>
    <row r="24" spans="1:9" x14ac:dyDescent="0.25">
      <c r="A24" s="22" t="s">
        <v>42</v>
      </c>
      <c r="B24" s="8" t="s">
        <v>43</v>
      </c>
      <c r="C24" s="7">
        <v>2.6</v>
      </c>
      <c r="D24" s="29"/>
      <c r="E24" s="30">
        <f>E19*29%</f>
        <v>85135.937999999995</v>
      </c>
      <c r="F24" s="30">
        <f>F19*29%</f>
        <v>82960.648000000001</v>
      </c>
      <c r="G24" s="28">
        <f t="shared" si="0"/>
        <v>85135.937999999995</v>
      </c>
      <c r="H24" s="29"/>
      <c r="I24" s="30"/>
    </row>
    <row r="25" spans="1:9" x14ac:dyDescent="0.25">
      <c r="A25" s="22" t="s">
        <v>44</v>
      </c>
      <c r="B25" s="7" t="s">
        <v>47</v>
      </c>
      <c r="C25" s="36" t="s">
        <v>48</v>
      </c>
      <c r="D25" s="30">
        <v>-2590.69</v>
      </c>
      <c r="E25" s="8">
        <v>23807.46</v>
      </c>
      <c r="F25" s="9">
        <v>23371.66</v>
      </c>
      <c r="G25" s="8">
        <f t="shared" si="0"/>
        <v>23807.46</v>
      </c>
      <c r="H25" s="27">
        <f>D25+F25-E25</f>
        <v>-3026.489999999998</v>
      </c>
      <c r="I25" s="42">
        <f>H25</f>
        <v>-3026.489999999998</v>
      </c>
    </row>
    <row r="26" spans="1:9" x14ac:dyDescent="0.25">
      <c r="A26" s="10" t="s">
        <v>49</v>
      </c>
      <c r="B26" s="35" t="s">
        <v>50</v>
      </c>
      <c r="C26" s="10">
        <v>4.5999999999999996</v>
      </c>
      <c r="D26" s="193">
        <v>-15093.92</v>
      </c>
      <c r="E26" s="244">
        <v>150718.07999999999</v>
      </c>
      <c r="F26" s="244">
        <v>148337.74</v>
      </c>
      <c r="G26" s="38">
        <f t="shared" si="0"/>
        <v>150718.07999999999</v>
      </c>
      <c r="H26" s="34">
        <f>D26+F26-G26</f>
        <v>-17474.260000000009</v>
      </c>
      <c r="I26" s="16">
        <f>H26</f>
        <v>-17474.260000000009</v>
      </c>
    </row>
    <row r="27" spans="1:9" x14ac:dyDescent="0.25">
      <c r="A27" s="11" t="s">
        <v>51</v>
      </c>
      <c r="B27" s="11" t="s">
        <v>310</v>
      </c>
      <c r="C27" s="161">
        <v>1.82</v>
      </c>
      <c r="D27" s="14">
        <v>201643.26</v>
      </c>
      <c r="E27" s="11">
        <v>59631.96</v>
      </c>
      <c r="F27" s="11">
        <f>F28+F29+F30</f>
        <v>128506.98</v>
      </c>
      <c r="G27" s="11">
        <f>I64</f>
        <v>121796.34999999999</v>
      </c>
      <c r="H27" s="14">
        <f>D27+F27-G27</f>
        <v>208353.89</v>
      </c>
      <c r="I27" s="253"/>
    </row>
    <row r="28" spans="1:9" x14ac:dyDescent="0.25">
      <c r="A28" s="11"/>
      <c r="B28" s="8" t="s">
        <v>53</v>
      </c>
      <c r="C28" s="161"/>
      <c r="D28" s="14"/>
      <c r="E28" s="11"/>
      <c r="F28" s="11">
        <v>58789.06</v>
      </c>
      <c r="G28" s="13"/>
      <c r="H28" s="14"/>
      <c r="I28" s="254"/>
    </row>
    <row r="29" spans="1:9" x14ac:dyDescent="0.25">
      <c r="A29" s="11"/>
      <c r="B29" s="8" t="s">
        <v>54</v>
      </c>
      <c r="C29" s="161"/>
      <c r="D29" s="14"/>
      <c r="E29" s="11"/>
      <c r="F29" s="11">
        <v>20800.509999999998</v>
      </c>
      <c r="G29" s="13"/>
      <c r="H29" s="14"/>
      <c r="I29" s="253"/>
    </row>
    <row r="30" spans="1:9" x14ac:dyDescent="0.25">
      <c r="A30" s="11"/>
      <c r="B30" s="8" t="s">
        <v>367</v>
      </c>
      <c r="C30" s="161"/>
      <c r="D30" s="14"/>
      <c r="E30" s="11"/>
      <c r="F30" s="11">
        <f>F31</f>
        <v>48917.41</v>
      </c>
      <c r="G30" s="13"/>
      <c r="H30" s="14"/>
      <c r="I30" s="254"/>
    </row>
    <row r="31" spans="1:9" x14ac:dyDescent="0.25">
      <c r="A31" s="10" t="s">
        <v>56</v>
      </c>
      <c r="B31" s="10" t="s">
        <v>311</v>
      </c>
      <c r="C31" s="16">
        <v>0</v>
      </c>
      <c r="D31" s="14">
        <v>48917.41</v>
      </c>
      <c r="E31" s="11">
        <v>0</v>
      </c>
      <c r="F31" s="11">
        <f>F32</f>
        <v>48917.41</v>
      </c>
      <c r="G31" s="13">
        <v>0</v>
      </c>
      <c r="H31" s="14">
        <v>0</v>
      </c>
      <c r="I31" s="16"/>
    </row>
    <row r="32" spans="1:9" x14ac:dyDescent="0.25">
      <c r="A32" s="8"/>
      <c r="B32" s="8" t="s">
        <v>58</v>
      </c>
      <c r="C32" s="28">
        <v>0</v>
      </c>
      <c r="D32" s="7"/>
      <c r="E32" s="8">
        <v>0</v>
      </c>
      <c r="F32" s="8">
        <v>48917.41</v>
      </c>
      <c r="G32" s="9">
        <v>0</v>
      </c>
      <c r="H32" s="7"/>
      <c r="I32" s="30"/>
    </row>
    <row r="33" spans="1:9" x14ac:dyDescent="0.25">
      <c r="A33" s="1" t="s">
        <v>59</v>
      </c>
      <c r="B33" s="1"/>
      <c r="C33" s="1"/>
      <c r="D33" s="45"/>
      <c r="E33" s="1"/>
      <c r="F33" s="1"/>
      <c r="G33" s="2"/>
      <c r="H33" s="2"/>
      <c r="I33" s="2"/>
    </row>
    <row r="34" spans="1:9" x14ac:dyDescent="0.25">
      <c r="A34" s="1"/>
      <c r="B34" s="1"/>
      <c r="C34" s="1"/>
      <c r="D34" s="45"/>
      <c r="E34" s="1"/>
      <c r="F34" s="1"/>
      <c r="G34" s="2"/>
      <c r="H34" s="2"/>
      <c r="I34" s="2"/>
    </row>
    <row r="35" spans="1:9" x14ac:dyDescent="0.25">
      <c r="A35" s="63" t="s">
        <v>60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30">
        <v>15620.55</v>
      </c>
      <c r="D37" s="8">
        <v>6000</v>
      </c>
      <c r="E37" s="162">
        <f>D37*15%</f>
        <v>900</v>
      </c>
      <c r="F37" s="21">
        <f>C37+(D37-E37)</f>
        <v>20720.55</v>
      </c>
      <c r="G37" s="21"/>
      <c r="H37" s="162">
        <f>F37</f>
        <v>20720.55</v>
      </c>
      <c r="I37" s="51"/>
    </row>
    <row r="38" spans="1:9" x14ac:dyDescent="0.25">
      <c r="A38" s="1" t="s">
        <v>248</v>
      </c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45"/>
      <c r="E39" s="1"/>
      <c r="F39" s="1"/>
      <c r="G39" s="1"/>
      <c r="H39" s="1"/>
      <c r="I39" s="1"/>
    </row>
    <row r="40" spans="1:9" x14ac:dyDescent="0.25">
      <c r="A40" s="5" t="s">
        <v>72</v>
      </c>
      <c r="B40" s="46" t="s">
        <v>73</v>
      </c>
      <c r="C40" s="5" t="s">
        <v>74</v>
      </c>
      <c r="D40" s="46" t="s">
        <v>75</v>
      </c>
      <c r="E40" s="5" t="s">
        <v>76</v>
      </c>
      <c r="F40" s="54" t="s">
        <v>77</v>
      </c>
      <c r="G40" s="5" t="s">
        <v>249</v>
      </c>
      <c r="H40" s="47" t="s">
        <v>79</v>
      </c>
      <c r="I40" s="5" t="s">
        <v>19</v>
      </c>
    </row>
    <row r="41" spans="1:9" x14ac:dyDescent="0.25">
      <c r="A41" s="6"/>
      <c r="B41" s="49" t="s">
        <v>80</v>
      </c>
      <c r="C41" s="6" t="s">
        <v>81</v>
      </c>
      <c r="D41" s="49" t="s">
        <v>82</v>
      </c>
      <c r="E41" s="6" t="s">
        <v>83</v>
      </c>
      <c r="F41" s="43" t="s">
        <v>84</v>
      </c>
      <c r="G41" s="6" t="s">
        <v>85</v>
      </c>
      <c r="H41" s="56" t="s">
        <v>86</v>
      </c>
      <c r="I41" s="6" t="s">
        <v>87</v>
      </c>
    </row>
    <row r="42" spans="1:9" x14ac:dyDescent="0.25">
      <c r="A42" s="6"/>
      <c r="B42" s="49"/>
      <c r="C42" s="6"/>
      <c r="D42" s="49"/>
      <c r="E42" s="6"/>
      <c r="F42" s="43" t="s">
        <v>88</v>
      </c>
      <c r="G42" s="6" t="s">
        <v>89</v>
      </c>
      <c r="H42" s="56"/>
      <c r="I42" s="6" t="s">
        <v>30</v>
      </c>
    </row>
    <row r="43" spans="1:9" x14ac:dyDescent="0.25">
      <c r="A43" s="6"/>
      <c r="B43" s="49"/>
      <c r="C43" s="6"/>
      <c r="D43" s="49"/>
      <c r="E43" s="6"/>
      <c r="F43" s="43"/>
      <c r="G43" s="6"/>
      <c r="H43" s="56"/>
      <c r="I43" s="6"/>
    </row>
    <row r="44" spans="1:9" x14ac:dyDescent="0.25">
      <c r="A44" s="6">
        <v>1</v>
      </c>
      <c r="B44" s="6" t="s">
        <v>91</v>
      </c>
      <c r="C44" s="4" t="s">
        <v>92</v>
      </c>
      <c r="D44" s="6">
        <v>-35592.22</v>
      </c>
      <c r="E44" s="217">
        <v>228862.04</v>
      </c>
      <c r="F44" s="6">
        <v>218177.97</v>
      </c>
      <c r="G44" s="217">
        <f>E44</f>
        <v>228862.04</v>
      </c>
      <c r="H44" s="6">
        <f>D44+F44-G44</f>
        <v>-46276.290000000008</v>
      </c>
      <c r="I44" s="56">
        <f>H44</f>
        <v>-46276.290000000008</v>
      </c>
    </row>
    <row r="45" spans="1:9" x14ac:dyDescent="0.25">
      <c r="A45" s="8"/>
      <c r="B45" s="8" t="s">
        <v>93</v>
      </c>
      <c r="C45" s="35" t="s">
        <v>94</v>
      </c>
      <c r="D45" s="8"/>
      <c r="E45" s="59"/>
      <c r="F45" s="8"/>
      <c r="G45" s="59"/>
      <c r="H45" s="8"/>
      <c r="I45" s="48"/>
    </row>
    <row r="46" spans="1:9" x14ac:dyDescent="0.25">
      <c r="A46" s="6">
        <v>2</v>
      </c>
      <c r="B46" s="6" t="s">
        <v>95</v>
      </c>
      <c r="C46" s="1" t="s">
        <v>96</v>
      </c>
      <c r="D46" s="6">
        <v>-132523.99</v>
      </c>
      <c r="E46" s="2">
        <v>368483.99</v>
      </c>
      <c r="F46" s="6">
        <v>366982.18</v>
      </c>
      <c r="G46" s="2">
        <f>E46</f>
        <v>368483.99</v>
      </c>
      <c r="H46" s="6">
        <f>D46+F46-G46</f>
        <v>-134025.79999999999</v>
      </c>
      <c r="I46" s="56">
        <f>H46</f>
        <v>-134025.79999999999</v>
      </c>
    </row>
    <row r="47" spans="1:9" x14ac:dyDescent="0.25">
      <c r="A47" s="8"/>
      <c r="B47" s="8" t="s">
        <v>97</v>
      </c>
      <c r="C47" s="35"/>
      <c r="D47" s="5" t="s">
        <v>72</v>
      </c>
      <c r="E47" s="9"/>
      <c r="F47" s="8"/>
      <c r="G47" s="9"/>
      <c r="H47" s="5" t="s">
        <v>72</v>
      </c>
      <c r="I47" s="47" t="str">
        <f>H47</f>
        <v xml:space="preserve"> </v>
      </c>
    </row>
    <row r="48" spans="1:9" x14ac:dyDescent="0.25">
      <c r="A48" s="8"/>
      <c r="B48" s="8" t="s">
        <v>313</v>
      </c>
      <c r="C48" s="35" t="s">
        <v>94</v>
      </c>
      <c r="D48" s="5"/>
      <c r="E48" s="9"/>
      <c r="F48" s="8"/>
      <c r="G48" s="9"/>
      <c r="H48" s="5"/>
      <c r="I48" s="47"/>
    </row>
    <row r="49" spans="1:9" x14ac:dyDescent="0.25">
      <c r="A49" s="8">
        <v>3</v>
      </c>
      <c r="B49" s="8" t="s">
        <v>99</v>
      </c>
      <c r="C49" s="35" t="s">
        <v>100</v>
      </c>
      <c r="D49" s="8">
        <v>-272980.75</v>
      </c>
      <c r="E49" s="9">
        <v>986992.9</v>
      </c>
      <c r="F49" s="8">
        <v>971840.49</v>
      </c>
      <c r="G49" s="9">
        <f>E49</f>
        <v>986992.9</v>
      </c>
      <c r="H49" s="8">
        <f>D49+F49-G49</f>
        <v>-288133.16000000003</v>
      </c>
      <c r="I49" s="8">
        <f>H49</f>
        <v>-288133.16000000003</v>
      </c>
    </row>
    <row r="50" spans="1:9" x14ac:dyDescent="0.25">
      <c r="A50" s="1" t="s">
        <v>251</v>
      </c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4" t="s">
        <v>252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46" t="s">
        <v>12</v>
      </c>
      <c r="B52" s="5" t="s">
        <v>103</v>
      </c>
      <c r="C52" s="46" t="s">
        <v>104</v>
      </c>
      <c r="D52" s="54"/>
      <c r="E52" s="54"/>
      <c r="F52" s="47"/>
      <c r="G52" s="47" t="s">
        <v>105</v>
      </c>
      <c r="H52" s="47" t="s">
        <v>106</v>
      </c>
      <c r="I52" s="5" t="s">
        <v>107</v>
      </c>
    </row>
    <row r="53" spans="1:9" x14ac:dyDescent="0.25">
      <c r="A53" s="49" t="s">
        <v>108</v>
      </c>
      <c r="B53" s="6"/>
      <c r="C53" s="49"/>
      <c r="D53" s="43"/>
      <c r="E53" s="43"/>
      <c r="F53" s="56"/>
      <c r="G53" s="56"/>
      <c r="H53" s="56"/>
      <c r="I53" s="6" t="s">
        <v>109</v>
      </c>
    </row>
    <row r="54" spans="1:9" x14ac:dyDescent="0.25">
      <c r="A54" s="242"/>
      <c r="B54" s="63"/>
      <c r="C54" s="53" t="s">
        <v>110</v>
      </c>
      <c r="D54" s="159"/>
      <c r="E54" s="159"/>
      <c r="F54" s="47"/>
      <c r="G54" s="47"/>
      <c r="H54" s="54"/>
      <c r="I54" s="5"/>
    </row>
    <row r="55" spans="1:9" x14ac:dyDescent="0.25">
      <c r="A55" s="236"/>
      <c r="B55" s="6"/>
      <c r="C55" s="49"/>
      <c r="D55" s="43"/>
      <c r="E55" s="43"/>
      <c r="F55" s="56"/>
      <c r="G55" s="32"/>
      <c r="H55" s="43" t="s">
        <v>72</v>
      </c>
      <c r="I55" s="6" t="s">
        <v>72</v>
      </c>
    </row>
    <row r="56" spans="1:9" x14ac:dyDescent="0.25">
      <c r="A56" s="236" t="s">
        <v>111</v>
      </c>
      <c r="B56" s="65">
        <v>43159</v>
      </c>
      <c r="C56" s="49" t="s">
        <v>555</v>
      </c>
      <c r="D56" s="43"/>
      <c r="E56" s="43"/>
      <c r="F56" s="56"/>
      <c r="G56" s="32"/>
      <c r="H56" s="43"/>
      <c r="I56" s="6">
        <v>9577.4</v>
      </c>
    </row>
    <row r="57" spans="1:9" x14ac:dyDescent="0.25">
      <c r="A57" s="236" t="s">
        <v>114</v>
      </c>
      <c r="B57" s="65">
        <v>43159</v>
      </c>
      <c r="C57" s="49" t="s">
        <v>556</v>
      </c>
      <c r="D57" s="43"/>
      <c r="E57" s="43"/>
      <c r="F57" s="56"/>
      <c r="G57" s="32"/>
      <c r="H57" s="43"/>
      <c r="I57" s="6">
        <v>21025.41</v>
      </c>
    </row>
    <row r="58" spans="1:9" x14ac:dyDescent="0.25">
      <c r="A58" s="236" t="s">
        <v>170</v>
      </c>
      <c r="B58" s="65">
        <v>43272</v>
      </c>
      <c r="C58" s="49" t="s">
        <v>557</v>
      </c>
      <c r="D58" s="43"/>
      <c r="E58" s="43"/>
      <c r="F58" s="56"/>
      <c r="G58" s="32" t="s">
        <v>205</v>
      </c>
      <c r="H58" s="43">
        <v>2</v>
      </c>
      <c r="I58" s="6">
        <v>14231</v>
      </c>
    </row>
    <row r="59" spans="1:9" x14ac:dyDescent="0.25">
      <c r="A59" s="236" t="s">
        <v>173</v>
      </c>
      <c r="B59" s="65">
        <v>43280</v>
      </c>
      <c r="C59" s="49" t="s">
        <v>558</v>
      </c>
      <c r="D59" s="43"/>
      <c r="E59" s="43"/>
      <c r="F59" s="56"/>
      <c r="G59" s="32" t="s">
        <v>205</v>
      </c>
      <c r="H59" s="43">
        <v>1</v>
      </c>
      <c r="I59" s="6">
        <v>6298.09</v>
      </c>
    </row>
    <row r="60" spans="1:9" x14ac:dyDescent="0.25">
      <c r="A60" s="236" t="s">
        <v>257</v>
      </c>
      <c r="B60" s="65">
        <v>43388</v>
      </c>
      <c r="C60" s="49" t="s">
        <v>360</v>
      </c>
      <c r="D60" s="43"/>
      <c r="E60" s="43"/>
      <c r="F60" s="56"/>
      <c r="G60" s="32" t="s">
        <v>559</v>
      </c>
      <c r="H60" s="43">
        <v>82</v>
      </c>
      <c r="I60" s="6">
        <v>9861</v>
      </c>
    </row>
    <row r="61" spans="1:9" x14ac:dyDescent="0.25">
      <c r="A61" s="236" t="s">
        <v>406</v>
      </c>
      <c r="B61" s="65">
        <v>43404</v>
      </c>
      <c r="C61" s="49" t="s">
        <v>112</v>
      </c>
      <c r="D61" s="43"/>
      <c r="E61" s="43"/>
      <c r="F61" s="56"/>
      <c r="G61" s="32" t="s">
        <v>116</v>
      </c>
      <c r="H61" s="43">
        <v>74</v>
      </c>
      <c r="I61" s="6">
        <v>14800</v>
      </c>
    </row>
    <row r="62" spans="1:9" x14ac:dyDescent="0.25">
      <c r="A62" s="236" t="s">
        <v>408</v>
      </c>
      <c r="B62" s="65">
        <v>43459</v>
      </c>
      <c r="C62" s="49" t="s">
        <v>560</v>
      </c>
      <c r="D62" s="43"/>
      <c r="E62" s="43"/>
      <c r="F62" s="56"/>
      <c r="G62" s="32" t="s">
        <v>172</v>
      </c>
      <c r="H62" s="43">
        <v>1</v>
      </c>
      <c r="I62" s="6">
        <v>42514.45</v>
      </c>
    </row>
    <row r="63" spans="1:9" x14ac:dyDescent="0.25">
      <c r="A63" s="236" t="s">
        <v>561</v>
      </c>
      <c r="B63" s="65">
        <v>43463</v>
      </c>
      <c r="C63" s="49" t="s">
        <v>562</v>
      </c>
      <c r="D63" s="43"/>
      <c r="E63" s="43"/>
      <c r="F63" s="56"/>
      <c r="G63" s="32" t="s">
        <v>205</v>
      </c>
      <c r="H63" s="43">
        <v>4</v>
      </c>
      <c r="I63" s="6">
        <v>3489</v>
      </c>
    </row>
    <row r="64" spans="1:9" x14ac:dyDescent="0.25">
      <c r="A64" s="237"/>
      <c r="B64" s="17"/>
      <c r="C64" s="14" t="s">
        <v>117</v>
      </c>
      <c r="D64" s="13"/>
      <c r="E64" s="13"/>
      <c r="F64" s="67"/>
      <c r="G64" s="12"/>
      <c r="H64" s="13"/>
      <c r="I64" s="11">
        <f>SUM(I56:I63)</f>
        <v>121796.34999999999</v>
      </c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166"/>
    </row>
    <row r="66" spans="1:9" x14ac:dyDescent="0.25">
      <c r="A66" s="2" t="s">
        <v>206</v>
      </c>
      <c r="B66" s="2"/>
      <c r="C66" s="2"/>
      <c r="D66" s="189" t="s">
        <v>119</v>
      </c>
      <c r="F66" s="2" t="s">
        <v>120</v>
      </c>
      <c r="G66" s="2" t="s">
        <v>563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0" workbookViewId="0">
      <selection activeCell="A33" sqref="A33"/>
    </sheetView>
  </sheetViews>
  <sheetFormatPr defaultRowHeight="15" x14ac:dyDescent="0.25"/>
  <cols>
    <col min="1" max="1" width="5.7109375" customWidth="1"/>
    <col min="2" max="2" width="32.7109375" customWidth="1"/>
    <col min="3" max="3" width="12.28515625" customWidth="1"/>
    <col min="5" max="5" width="12.140625" customWidth="1"/>
    <col min="6" max="6" width="12.5703125" customWidth="1"/>
    <col min="8" max="8" width="12" customWidth="1"/>
    <col min="9" max="9" width="17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564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565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566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567</v>
      </c>
      <c r="B9" s="2"/>
      <c r="C9" s="2"/>
      <c r="D9" s="2"/>
      <c r="E9" s="2"/>
      <c r="F9" s="2"/>
      <c r="G9" s="2"/>
      <c r="H9" s="43"/>
      <c r="I9" s="43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4"/>
      <c r="I10" s="4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4" t="s">
        <v>129</v>
      </c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63">
        <v>1</v>
      </c>
      <c r="B18" s="63" t="s">
        <v>186</v>
      </c>
      <c r="C18" s="63"/>
      <c r="D18" s="53" t="s">
        <v>72</v>
      </c>
      <c r="E18" s="160" t="s">
        <v>72</v>
      </c>
      <c r="F18" s="63" t="s">
        <v>72</v>
      </c>
      <c r="G18" s="63"/>
      <c r="H18" s="53" t="s">
        <v>72</v>
      </c>
      <c r="I18" s="160"/>
    </row>
    <row r="19" spans="1:9" x14ac:dyDescent="0.25">
      <c r="A19" s="11"/>
      <c r="B19" s="11" t="s">
        <v>187</v>
      </c>
      <c r="C19" s="11">
        <v>8.9600000000000009</v>
      </c>
      <c r="D19" s="16">
        <v>-11683.81</v>
      </c>
      <c r="E19" s="16">
        <v>362804.4</v>
      </c>
      <c r="F19" s="13">
        <v>346174.61</v>
      </c>
      <c r="G19" s="16">
        <f t="shared" ref="G19:G25" si="0">E19</f>
        <v>362804.4</v>
      </c>
      <c r="H19" s="15">
        <f>D19+F19-G19</f>
        <v>-28313.600000000035</v>
      </c>
      <c r="I19" s="16">
        <f>H19</f>
        <v>-28313.600000000035</v>
      </c>
    </row>
    <row r="20" spans="1:9" x14ac:dyDescent="0.25">
      <c r="A20" s="66" t="s">
        <v>138</v>
      </c>
      <c r="B20" s="17" t="s">
        <v>37</v>
      </c>
      <c r="C20" s="61">
        <v>3.08</v>
      </c>
      <c r="D20" s="21"/>
      <c r="E20" s="187">
        <f>E19*34.4/100</f>
        <v>124804.71359999999</v>
      </c>
      <c r="F20" s="21">
        <f>F19*34.4%</f>
        <v>119084.06583999998</v>
      </c>
      <c r="G20" s="21">
        <f t="shared" si="0"/>
        <v>124804.71359999999</v>
      </c>
      <c r="H20" s="20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33">
        <f>E19*16.4%</f>
        <v>59499.921599999994</v>
      </c>
      <c r="F21" s="33">
        <f>F19*16.4%</f>
        <v>56772.63603999999</v>
      </c>
      <c r="G21" s="33">
        <f t="shared" si="0"/>
        <v>59499.921599999994</v>
      </c>
      <c r="H21" s="25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0"/>
      <c r="E22" s="33">
        <f>E19*20.2%</f>
        <v>73286.488800000006</v>
      </c>
      <c r="F22" s="33">
        <f>F19*20.2%</f>
        <v>69927.271219999995</v>
      </c>
      <c r="G22" s="30">
        <f t="shared" si="0"/>
        <v>73286.488800000006</v>
      </c>
      <c r="H22" s="235"/>
      <c r="I22" s="30"/>
    </row>
    <row r="23" spans="1:9" x14ac:dyDescent="0.25">
      <c r="A23" s="31" t="s">
        <v>42</v>
      </c>
      <c r="B23" s="8" t="s">
        <v>43</v>
      </c>
      <c r="C23" s="8">
        <v>2.6</v>
      </c>
      <c r="D23" s="30"/>
      <c r="E23" s="30">
        <f>E19*29%</f>
        <v>105213.276</v>
      </c>
      <c r="F23" s="30">
        <f>F19*29%</f>
        <v>100390.63689999998</v>
      </c>
      <c r="G23" s="28">
        <f t="shared" si="0"/>
        <v>105213.276</v>
      </c>
      <c r="H23" s="29"/>
      <c r="I23" s="30"/>
    </row>
    <row r="24" spans="1:9" x14ac:dyDescent="0.25">
      <c r="A24" s="31" t="s">
        <v>44</v>
      </c>
      <c r="B24" s="9" t="s">
        <v>47</v>
      </c>
      <c r="C24" s="8" t="s">
        <v>48</v>
      </c>
      <c r="D24" s="38">
        <v>-3856.98</v>
      </c>
      <c r="E24" s="9">
        <v>24428.400000000001</v>
      </c>
      <c r="F24" s="8">
        <v>23748.7</v>
      </c>
      <c r="G24" s="9">
        <f>E24</f>
        <v>24428.400000000001</v>
      </c>
      <c r="H24" s="38">
        <f>D24+F24-E24</f>
        <v>-4536.68</v>
      </c>
      <c r="I24" s="10">
        <f>H24</f>
        <v>-4536.68</v>
      </c>
    </row>
    <row r="25" spans="1:9" x14ac:dyDescent="0.25">
      <c r="A25" s="11" t="s">
        <v>49</v>
      </c>
      <c r="B25" s="1" t="s">
        <v>50</v>
      </c>
      <c r="C25" s="11">
        <v>4.5999999999999996</v>
      </c>
      <c r="D25" s="16">
        <v>-23608.05</v>
      </c>
      <c r="E25" s="204">
        <v>186261.36</v>
      </c>
      <c r="F25" s="241">
        <v>177246.66</v>
      </c>
      <c r="G25" s="16">
        <f t="shared" si="0"/>
        <v>186261.36</v>
      </c>
      <c r="H25" s="241">
        <f>D25+F25-G25</f>
        <v>-32622.749999999971</v>
      </c>
      <c r="I25" s="16">
        <f>H25</f>
        <v>-32622.749999999971</v>
      </c>
    </row>
    <row r="26" spans="1:9" x14ac:dyDescent="0.25">
      <c r="A26" s="63" t="s">
        <v>51</v>
      </c>
      <c r="B26" s="63" t="s">
        <v>219</v>
      </c>
      <c r="C26" s="159"/>
      <c r="D26" s="164"/>
      <c r="E26" s="255"/>
      <c r="F26" s="160"/>
      <c r="G26" s="246"/>
      <c r="H26" s="160"/>
      <c r="I26" s="41"/>
    </row>
    <row r="27" spans="1:9" x14ac:dyDescent="0.25">
      <c r="A27" s="11"/>
      <c r="B27" s="11" t="s">
        <v>568</v>
      </c>
      <c r="C27" s="161">
        <v>1.82</v>
      </c>
      <c r="D27" s="16">
        <v>349114.75</v>
      </c>
      <c r="E27" s="11">
        <v>73694.64</v>
      </c>
      <c r="F27" s="11">
        <f>F28+F29</f>
        <v>72209.709999999992</v>
      </c>
      <c r="G27" s="13">
        <f>G28+G29</f>
        <v>46407.03</v>
      </c>
      <c r="H27" s="16">
        <f>D27+F27-G27</f>
        <v>374917.42999999993</v>
      </c>
      <c r="I27" s="41"/>
    </row>
    <row r="28" spans="1:9" x14ac:dyDescent="0.25">
      <c r="A28" s="39"/>
      <c r="B28" s="5" t="s">
        <v>53</v>
      </c>
      <c r="C28" s="165"/>
      <c r="D28" s="15"/>
      <c r="E28" s="11">
        <v>0</v>
      </c>
      <c r="F28" s="11">
        <v>70779.34</v>
      </c>
      <c r="G28" s="11">
        <f>I60</f>
        <v>46407.03</v>
      </c>
      <c r="H28" s="15"/>
      <c r="I28" s="38"/>
    </row>
    <row r="29" spans="1:9" x14ac:dyDescent="0.25">
      <c r="A29" s="10"/>
      <c r="B29" s="8" t="s">
        <v>54</v>
      </c>
      <c r="C29" s="193"/>
      <c r="D29" s="37"/>
      <c r="E29" s="10">
        <v>0</v>
      </c>
      <c r="F29" s="35">
        <v>1430.37</v>
      </c>
      <c r="G29" s="209"/>
      <c r="H29" s="37"/>
      <c r="I29" s="38"/>
    </row>
    <row r="30" spans="1:9" x14ac:dyDescent="0.25">
      <c r="A30" s="39" t="s">
        <v>56</v>
      </c>
      <c r="B30" s="39" t="s">
        <v>144</v>
      </c>
      <c r="C30" s="4"/>
      <c r="D30" s="55" t="s">
        <v>72</v>
      </c>
      <c r="E30" s="39"/>
      <c r="F30" s="39"/>
      <c r="G30" s="4" t="s">
        <v>145</v>
      </c>
      <c r="H30" s="55" t="s">
        <v>72</v>
      </c>
      <c r="I30" s="41" t="str">
        <f>H30</f>
        <v xml:space="preserve"> </v>
      </c>
    </row>
    <row r="31" spans="1:9" x14ac:dyDescent="0.25">
      <c r="A31" s="10"/>
      <c r="B31" s="10" t="s">
        <v>146</v>
      </c>
      <c r="C31" s="38"/>
      <c r="D31" s="10">
        <v>221593.36</v>
      </c>
      <c r="E31" s="8">
        <v>0</v>
      </c>
      <c r="F31" s="8">
        <v>0.01</v>
      </c>
      <c r="G31" s="35">
        <v>0</v>
      </c>
      <c r="H31" s="10">
        <f>D31+F31-G31</f>
        <v>221593.37</v>
      </c>
      <c r="I31" s="38"/>
    </row>
    <row r="32" spans="1:9" x14ac:dyDescent="0.25">
      <c r="A32" s="1" t="s">
        <v>59</v>
      </c>
      <c r="B32" s="1"/>
      <c r="C32" s="1"/>
      <c r="D32" s="45"/>
      <c r="E32" s="1"/>
      <c r="F32" s="1"/>
      <c r="G32" s="43"/>
      <c r="H32" s="43"/>
      <c r="I32" s="19"/>
    </row>
    <row r="33" spans="1:9" x14ac:dyDescent="0.25">
      <c r="A33" s="1"/>
      <c r="B33" s="1"/>
      <c r="C33" s="1"/>
      <c r="D33" s="45"/>
      <c r="E33" s="1"/>
      <c r="F33" s="1"/>
      <c r="G33" s="43"/>
      <c r="H33" s="43"/>
      <c r="I33" s="19"/>
    </row>
    <row r="34" spans="1:9" x14ac:dyDescent="0.25">
      <c r="A34" s="63" t="s">
        <v>193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15620.55</v>
      </c>
      <c r="D36" s="51">
        <v>6000</v>
      </c>
      <c r="E36" s="162">
        <f>D36*15%</f>
        <v>900</v>
      </c>
      <c r="F36" s="21">
        <f>C36+(D36-E36)</f>
        <v>20720.55</v>
      </c>
      <c r="G36" s="21"/>
      <c r="H36" s="162">
        <f>F36</f>
        <v>20720.55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46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4" t="s">
        <v>79</v>
      </c>
      <c r="I38" s="5" t="s">
        <v>19</v>
      </c>
    </row>
    <row r="39" spans="1:9" x14ac:dyDescent="0.25">
      <c r="A39" s="6"/>
      <c r="B39" s="49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43" t="s">
        <v>86</v>
      </c>
      <c r="I39" s="6" t="s">
        <v>197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17" t="s">
        <v>89</v>
      </c>
      <c r="H40" s="43"/>
      <c r="I40" s="6" t="s">
        <v>30</v>
      </c>
    </row>
    <row r="41" spans="1:9" x14ac:dyDescent="0.25">
      <c r="A41" s="8">
        <v>1</v>
      </c>
      <c r="B41" s="8" t="s">
        <v>91</v>
      </c>
      <c r="C41" s="35" t="s">
        <v>92</v>
      </c>
      <c r="D41" s="5">
        <v>-51770.11</v>
      </c>
      <c r="E41" s="59">
        <v>301561.55</v>
      </c>
      <c r="F41" s="8">
        <v>289873.51</v>
      </c>
      <c r="G41" s="59">
        <f>E41</f>
        <v>301561.55</v>
      </c>
      <c r="H41" s="8">
        <f>D41+F41-G41</f>
        <v>-63458.149999999965</v>
      </c>
      <c r="I41" s="5">
        <f>H41</f>
        <v>-63458.149999999965</v>
      </c>
    </row>
    <row r="42" spans="1:9" x14ac:dyDescent="0.25">
      <c r="A42" s="6"/>
      <c r="B42" s="6" t="s">
        <v>487</v>
      </c>
      <c r="C42" s="4" t="s">
        <v>94</v>
      </c>
      <c r="D42" s="5"/>
      <c r="E42" s="217"/>
      <c r="F42" s="6"/>
      <c r="G42" s="217"/>
      <c r="H42" s="6"/>
      <c r="I42" s="5"/>
    </row>
    <row r="43" spans="1:9" x14ac:dyDescent="0.25">
      <c r="A43" s="8">
        <v>2</v>
      </c>
      <c r="B43" s="8" t="s">
        <v>95</v>
      </c>
      <c r="C43" s="35" t="s">
        <v>96</v>
      </c>
      <c r="D43" s="8">
        <v>-140884.31</v>
      </c>
      <c r="E43" s="9">
        <v>484125.24</v>
      </c>
      <c r="F43" s="8">
        <v>483015.62</v>
      </c>
      <c r="G43" s="9">
        <f>E43</f>
        <v>484125.24</v>
      </c>
      <c r="H43" s="8">
        <f>D43+F43-G43</f>
        <v>-141993.93</v>
      </c>
      <c r="I43" s="8">
        <f>H43</f>
        <v>-141993.93</v>
      </c>
    </row>
    <row r="44" spans="1:9" x14ac:dyDescent="0.25">
      <c r="A44" s="8"/>
      <c r="B44" s="8" t="s">
        <v>97</v>
      </c>
      <c r="C44" s="35"/>
      <c r="D44" s="5" t="s">
        <v>72</v>
      </c>
      <c r="E44" s="9"/>
      <c r="F44" s="8"/>
      <c r="G44" s="9"/>
      <c r="H44" s="5" t="s">
        <v>72</v>
      </c>
      <c r="I44" s="5" t="str">
        <f>H44</f>
        <v xml:space="preserve"> </v>
      </c>
    </row>
    <row r="45" spans="1:9" x14ac:dyDescent="0.25">
      <c r="A45" s="8"/>
      <c r="B45" s="8" t="s">
        <v>487</v>
      </c>
      <c r="C45" s="4" t="s">
        <v>94</v>
      </c>
      <c r="D45" s="5"/>
      <c r="E45" s="9"/>
      <c r="F45" s="8"/>
      <c r="G45" s="9"/>
      <c r="H45" s="5"/>
      <c r="I45" s="5"/>
    </row>
    <row r="46" spans="1:9" x14ac:dyDescent="0.25">
      <c r="A46" s="8">
        <v>3</v>
      </c>
      <c r="B46" s="8" t="s">
        <v>99</v>
      </c>
      <c r="C46" s="35" t="s">
        <v>100</v>
      </c>
      <c r="D46" s="8">
        <v>-361625.81</v>
      </c>
      <c r="E46" s="9">
        <v>1214190.98</v>
      </c>
      <c r="F46" s="8">
        <v>1166440.98</v>
      </c>
      <c r="G46" s="9">
        <f>E46</f>
        <v>1214190.98</v>
      </c>
      <c r="H46" s="8">
        <f>D46+F46-G46</f>
        <v>-409375.81000000006</v>
      </c>
      <c r="I46" s="8">
        <f>H46</f>
        <v>-409375.81000000006</v>
      </c>
    </row>
    <row r="47" spans="1:9" x14ac:dyDescent="0.25">
      <c r="A47" s="1" t="s">
        <v>251</v>
      </c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4" t="s">
        <v>252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5"/>
      <c r="H49" s="47"/>
      <c r="I49" s="47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56"/>
      <c r="G50" s="6" t="s">
        <v>199</v>
      </c>
      <c r="H50" s="56" t="s">
        <v>165</v>
      </c>
      <c r="I50" s="56" t="s">
        <v>109</v>
      </c>
    </row>
    <row r="51" spans="1:9" x14ac:dyDescent="0.25">
      <c r="A51" s="49"/>
      <c r="B51" s="6"/>
      <c r="C51" s="49"/>
      <c r="D51" s="43"/>
      <c r="E51" s="43"/>
      <c r="F51" s="56"/>
      <c r="G51" s="6" t="s">
        <v>201</v>
      </c>
      <c r="H51" s="56" t="s">
        <v>85</v>
      </c>
      <c r="I51" s="56"/>
    </row>
    <row r="52" spans="1:9" x14ac:dyDescent="0.25">
      <c r="A52" s="49"/>
      <c r="B52" s="6"/>
      <c r="C52" s="50"/>
      <c r="D52" s="61"/>
      <c r="E52" s="61"/>
      <c r="F52" s="51"/>
      <c r="G52" s="6"/>
      <c r="H52" s="56"/>
      <c r="I52" s="56"/>
    </row>
    <row r="53" spans="1:9" x14ac:dyDescent="0.25">
      <c r="A53" s="62"/>
      <c r="B53" s="53"/>
      <c r="C53" s="53" t="s">
        <v>110</v>
      </c>
      <c r="D53" s="159"/>
      <c r="E53" s="159"/>
      <c r="F53" s="47"/>
      <c r="G53" s="5"/>
      <c r="H53" s="47"/>
      <c r="I53" s="47"/>
    </row>
    <row r="54" spans="1:9" x14ac:dyDescent="0.25">
      <c r="A54" s="64"/>
      <c r="B54" s="49"/>
      <c r="C54" s="49" t="s">
        <v>72</v>
      </c>
      <c r="D54" s="43"/>
      <c r="E54" s="43"/>
      <c r="F54" s="56"/>
      <c r="G54" s="26"/>
      <c r="H54" s="56"/>
      <c r="I54" s="56" t="s">
        <v>72</v>
      </c>
    </row>
    <row r="55" spans="1:9" x14ac:dyDescent="0.25">
      <c r="A55" s="64" t="s">
        <v>111</v>
      </c>
      <c r="B55" s="232">
        <v>43195</v>
      </c>
      <c r="C55" s="49" t="s">
        <v>569</v>
      </c>
      <c r="D55" s="43"/>
      <c r="E55" s="43"/>
      <c r="F55" s="56"/>
      <c r="G55" s="26" t="s">
        <v>169</v>
      </c>
      <c r="H55" s="56">
        <v>2.5</v>
      </c>
      <c r="I55" s="56">
        <v>14479</v>
      </c>
    </row>
    <row r="56" spans="1:9" x14ac:dyDescent="0.25">
      <c r="A56" s="64" t="s">
        <v>114</v>
      </c>
      <c r="B56" s="232">
        <v>43251</v>
      </c>
      <c r="C56" s="49" t="s">
        <v>570</v>
      </c>
      <c r="D56" s="43"/>
      <c r="E56" s="43"/>
      <c r="F56" s="56"/>
      <c r="G56" s="26" t="s">
        <v>205</v>
      </c>
      <c r="H56" s="56">
        <v>1</v>
      </c>
      <c r="I56" s="56">
        <v>4852.62</v>
      </c>
    </row>
    <row r="57" spans="1:9" x14ac:dyDescent="0.25">
      <c r="A57" s="64" t="s">
        <v>170</v>
      </c>
      <c r="B57" s="256">
        <v>43312</v>
      </c>
      <c r="C57" s="49" t="s">
        <v>571</v>
      </c>
      <c r="D57" s="43"/>
      <c r="E57" s="43"/>
      <c r="F57" s="56"/>
      <c r="G57" s="26" t="s">
        <v>172</v>
      </c>
      <c r="H57" s="56">
        <v>1</v>
      </c>
      <c r="I57" s="56">
        <v>1155.03</v>
      </c>
    </row>
    <row r="58" spans="1:9" x14ac:dyDescent="0.25">
      <c r="A58" s="64" t="s">
        <v>173</v>
      </c>
      <c r="B58" s="256">
        <v>43203</v>
      </c>
      <c r="C58" s="49" t="s">
        <v>572</v>
      </c>
      <c r="D58" s="43"/>
      <c r="E58" s="43"/>
      <c r="F58" s="56"/>
      <c r="G58" s="26" t="s">
        <v>205</v>
      </c>
      <c r="H58" s="56">
        <v>7</v>
      </c>
      <c r="I58" s="56">
        <v>19024.43</v>
      </c>
    </row>
    <row r="59" spans="1:9" x14ac:dyDescent="0.25">
      <c r="A59" s="64" t="s">
        <v>257</v>
      </c>
      <c r="B59" s="256">
        <v>43404</v>
      </c>
      <c r="C59" s="49" t="s">
        <v>573</v>
      </c>
      <c r="D59" s="43"/>
      <c r="E59" s="43"/>
      <c r="F59" s="56"/>
      <c r="G59" s="26" t="s">
        <v>205</v>
      </c>
      <c r="H59" s="56">
        <v>1</v>
      </c>
      <c r="I59" s="56">
        <v>6895.95</v>
      </c>
    </row>
    <row r="60" spans="1:9" x14ac:dyDescent="0.25">
      <c r="A60" s="66"/>
      <c r="B60" s="50"/>
      <c r="C60" s="14" t="s">
        <v>117</v>
      </c>
      <c r="D60" s="13"/>
      <c r="E60" s="13"/>
      <c r="F60" s="67"/>
      <c r="G60" s="16"/>
      <c r="H60" s="67"/>
      <c r="I60" s="67">
        <f>SUM(I55:I59)</f>
        <v>46407.03</v>
      </c>
    </row>
    <row r="61" spans="1:9" x14ac:dyDescent="0.25">
      <c r="A61" s="2" t="s">
        <v>206</v>
      </c>
      <c r="B61" s="2"/>
      <c r="C61" s="2"/>
      <c r="D61" s="189" t="s">
        <v>574</v>
      </c>
      <c r="F61" s="2"/>
      <c r="G61" s="2" t="s">
        <v>575</v>
      </c>
      <c r="H61" s="2"/>
      <c r="I61" s="2" t="s">
        <v>265</v>
      </c>
    </row>
    <row r="62" spans="1:9" x14ac:dyDescent="0.25">
      <c r="A62" s="2"/>
      <c r="B62" s="2"/>
    </row>
  </sheetData>
  <pageMargins left="0.7" right="0.7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10" workbookViewId="0">
      <selection activeCell="H32" sqref="H32"/>
    </sheetView>
  </sheetViews>
  <sheetFormatPr defaultRowHeight="15" x14ac:dyDescent="0.25"/>
  <cols>
    <col min="1" max="1" width="5.28515625" customWidth="1"/>
    <col min="2" max="2" width="34.7109375" customWidth="1"/>
    <col min="3" max="3" width="13" customWidth="1"/>
    <col min="4" max="4" width="11.140625" customWidth="1"/>
    <col min="5" max="5" width="12.140625" customWidth="1"/>
    <col min="6" max="6" width="12.28515625" customWidth="1"/>
    <col min="7" max="7" width="10.7109375" customWidth="1"/>
    <col min="8" max="8" width="11.42578125" customWidth="1"/>
    <col min="9" max="9" width="18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576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577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578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579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154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11" t="s">
        <v>580</v>
      </c>
      <c r="C18" s="11">
        <v>8.9600000000000009</v>
      </c>
      <c r="D18" s="16">
        <v>-62713.62</v>
      </c>
      <c r="E18" s="16">
        <v>442056.17</v>
      </c>
      <c r="F18" s="13">
        <v>427982.38</v>
      </c>
      <c r="G18" s="16">
        <f t="shared" ref="G18:G26" si="0">E18</f>
        <v>442056.17</v>
      </c>
      <c r="H18" s="15">
        <f>D18+F18-G18</f>
        <v>-76787.409999999974</v>
      </c>
      <c r="I18" s="16">
        <f>H18</f>
        <v>-76787.409999999974</v>
      </c>
    </row>
    <row r="19" spans="1:9" x14ac:dyDescent="0.25">
      <c r="A19" s="66" t="s">
        <v>138</v>
      </c>
      <c r="B19" s="17" t="s">
        <v>37</v>
      </c>
      <c r="C19" s="61">
        <v>3.08</v>
      </c>
      <c r="D19" s="21"/>
      <c r="E19" s="187">
        <f>E18*34.4%</f>
        <v>152067.32247999997</v>
      </c>
      <c r="F19" s="21">
        <f>F18*34.4%</f>
        <v>147225.93871999998</v>
      </c>
      <c r="G19" s="21">
        <f t="shared" si="0"/>
        <v>152067.32247999997</v>
      </c>
      <c r="H19" s="20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33"/>
      <c r="E20" s="33">
        <f>E18*16.4%</f>
        <v>72497.211879999988</v>
      </c>
      <c r="F20" s="33">
        <f>F18*16.4%</f>
        <v>70189.110319999992</v>
      </c>
      <c r="G20" s="33">
        <f t="shared" si="0"/>
        <v>72497.211879999988</v>
      </c>
      <c r="H20" s="25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3"/>
      <c r="E21" s="33">
        <f>E18*20.2%</f>
        <v>89295.346339999989</v>
      </c>
      <c r="F21" s="33">
        <f>F18*20.2%</f>
        <v>86452.440759999998</v>
      </c>
      <c r="G21" s="33">
        <f t="shared" si="0"/>
        <v>89295.346339999989</v>
      </c>
      <c r="H21" s="234"/>
      <c r="I21" s="33"/>
    </row>
    <row r="22" spans="1:9" x14ac:dyDescent="0.25">
      <c r="A22" s="31" t="s">
        <v>42</v>
      </c>
      <c r="B22" s="8" t="s">
        <v>43</v>
      </c>
      <c r="C22" s="9">
        <v>2.6</v>
      </c>
      <c r="D22" s="30"/>
      <c r="E22" s="30">
        <f>E18*29%</f>
        <v>128196.28929999999</v>
      </c>
      <c r="F22" s="30">
        <f>F18*29%</f>
        <v>124114.89019999999</v>
      </c>
      <c r="G22" s="28">
        <f t="shared" si="0"/>
        <v>128196.28929999999</v>
      </c>
      <c r="H22" s="29"/>
      <c r="I22" s="30"/>
    </row>
    <row r="23" spans="1:9" x14ac:dyDescent="0.25">
      <c r="A23" s="31" t="s">
        <v>44</v>
      </c>
      <c r="B23" s="8" t="s">
        <v>47</v>
      </c>
      <c r="C23" s="9" t="s">
        <v>48</v>
      </c>
      <c r="D23" s="30">
        <v>-19428.48</v>
      </c>
      <c r="E23" s="8">
        <v>163630.98000000001</v>
      </c>
      <c r="F23" s="48">
        <v>157207.23000000001</v>
      </c>
      <c r="G23" s="9">
        <f>E23</f>
        <v>163630.98000000001</v>
      </c>
      <c r="H23" s="30">
        <f>D23+F23-E23</f>
        <v>-25852.23000000001</v>
      </c>
      <c r="I23" s="42">
        <f>H23</f>
        <v>-25852.23000000001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-29656.32</v>
      </c>
      <c r="E24" s="10">
        <v>227065.2</v>
      </c>
      <c r="F24" s="10">
        <v>219136.3</v>
      </c>
      <c r="G24" s="35">
        <f t="shared" si="0"/>
        <v>227065.2</v>
      </c>
      <c r="H24" s="37">
        <f>D24+F24-G24</f>
        <v>-37585.22000000003</v>
      </c>
      <c r="I24" s="38">
        <f>H24</f>
        <v>-37585.22000000003</v>
      </c>
    </row>
    <row r="25" spans="1:9" x14ac:dyDescent="0.25">
      <c r="A25" s="10" t="s">
        <v>51</v>
      </c>
      <c r="B25" s="10" t="s">
        <v>191</v>
      </c>
      <c r="C25" s="38">
        <v>1</v>
      </c>
      <c r="D25" s="38">
        <v>121.04</v>
      </c>
      <c r="E25" s="244">
        <v>49362</v>
      </c>
      <c r="F25" s="37">
        <v>47446.13</v>
      </c>
      <c r="G25" s="38">
        <f t="shared" si="0"/>
        <v>49362</v>
      </c>
      <c r="H25" s="34">
        <f>D25+F25-G25</f>
        <v>-1794.8300000000017</v>
      </c>
      <c r="I25" s="38">
        <f>H25</f>
        <v>-1794.8300000000017</v>
      </c>
    </row>
    <row r="26" spans="1:9" x14ac:dyDescent="0.25">
      <c r="A26" s="10" t="s">
        <v>56</v>
      </c>
      <c r="B26" s="10" t="s">
        <v>140</v>
      </c>
      <c r="C26" s="10">
        <v>3.43</v>
      </c>
      <c r="D26" s="38">
        <v>-36694.480000000003</v>
      </c>
      <c r="E26" s="204">
        <v>168409.60000000001</v>
      </c>
      <c r="F26" s="15">
        <v>162094.82</v>
      </c>
      <c r="G26" s="16">
        <f t="shared" si="0"/>
        <v>168409.60000000001</v>
      </c>
      <c r="H26" s="12">
        <f>D26+F26-G26</f>
        <v>-43009.260000000009</v>
      </c>
      <c r="I26" s="38">
        <f>H26</f>
        <v>-43009.260000000009</v>
      </c>
    </row>
    <row r="27" spans="1:9" x14ac:dyDescent="0.25">
      <c r="A27" s="63" t="s">
        <v>60</v>
      </c>
      <c r="B27" s="11" t="s">
        <v>310</v>
      </c>
      <c r="C27" s="13">
        <v>1.82</v>
      </c>
      <c r="D27" s="11">
        <v>81259.649999999994</v>
      </c>
      <c r="E27" s="11">
        <v>89792.85</v>
      </c>
      <c r="F27" s="14">
        <f>F28+F29</f>
        <v>87312.24</v>
      </c>
      <c r="G27" s="11">
        <f>I62</f>
        <v>125086.82</v>
      </c>
      <c r="H27" s="13">
        <f>D27+F27-G27</f>
        <v>43485.070000000007</v>
      </c>
      <c r="I27" s="16" t="s">
        <v>72</v>
      </c>
    </row>
    <row r="28" spans="1:9" x14ac:dyDescent="0.25">
      <c r="A28" s="11"/>
      <c r="B28" s="8" t="s">
        <v>53</v>
      </c>
      <c r="C28" s="13"/>
      <c r="D28" s="14"/>
      <c r="E28" s="11"/>
      <c r="F28" s="14">
        <v>87072</v>
      </c>
      <c r="G28" s="16">
        <f>I62</f>
        <v>125086.82</v>
      </c>
      <c r="H28" s="13"/>
      <c r="I28" s="38"/>
    </row>
    <row r="29" spans="1:9" x14ac:dyDescent="0.25">
      <c r="A29" s="11"/>
      <c r="B29" s="8" t="s">
        <v>54</v>
      </c>
      <c r="C29" s="13"/>
      <c r="D29" s="14"/>
      <c r="E29" s="11"/>
      <c r="F29" s="14">
        <v>240.24</v>
      </c>
      <c r="G29" s="11"/>
      <c r="H29" s="13"/>
      <c r="I29" s="38"/>
    </row>
    <row r="30" spans="1:9" x14ac:dyDescent="0.25">
      <c r="A30" s="11" t="s">
        <v>355</v>
      </c>
      <c r="B30" s="11" t="s">
        <v>144</v>
      </c>
      <c r="C30" s="13"/>
      <c r="D30" s="14" t="s">
        <v>72</v>
      </c>
      <c r="E30" s="11"/>
      <c r="F30" s="11"/>
      <c r="G30" s="13" t="s">
        <v>145</v>
      </c>
      <c r="H30" s="11" t="s">
        <v>72</v>
      </c>
      <c r="I30" s="160" t="str">
        <f>H30</f>
        <v xml:space="preserve"> </v>
      </c>
    </row>
    <row r="31" spans="1:9" x14ac:dyDescent="0.25">
      <c r="A31" s="10"/>
      <c r="B31" s="10" t="s">
        <v>383</v>
      </c>
      <c r="C31" s="38">
        <v>0</v>
      </c>
      <c r="D31" s="36">
        <v>236143.41</v>
      </c>
      <c r="E31" s="10">
        <v>0</v>
      </c>
      <c r="F31" s="10">
        <v>0</v>
      </c>
      <c r="G31" s="35">
        <v>0</v>
      </c>
      <c r="H31" s="36">
        <f>D31+F31-G31</f>
        <v>236143.41</v>
      </c>
      <c r="I31" s="38"/>
    </row>
    <row r="32" spans="1:9" x14ac:dyDescent="0.25">
      <c r="A32" s="8"/>
      <c r="B32" s="8" t="s">
        <v>53</v>
      </c>
      <c r="C32" s="28"/>
      <c r="D32" s="7"/>
      <c r="E32" s="8">
        <v>0</v>
      </c>
      <c r="F32" s="8">
        <v>0</v>
      </c>
      <c r="G32" s="9">
        <f>I65</f>
        <v>0</v>
      </c>
      <c r="H32" s="7"/>
      <c r="I32" s="30"/>
    </row>
    <row r="33" spans="1:9" x14ac:dyDescent="0.25">
      <c r="A33" s="1" t="s">
        <v>59</v>
      </c>
      <c r="B33" s="1"/>
      <c r="C33" s="1"/>
      <c r="D33" s="45"/>
      <c r="E33" s="1"/>
      <c r="F33" s="2"/>
      <c r="G33" s="2"/>
      <c r="H33" s="2"/>
      <c r="I33" s="2"/>
    </row>
    <row r="34" spans="1:9" x14ac:dyDescent="0.25">
      <c r="A34" s="1"/>
      <c r="B34" s="1"/>
      <c r="C34" s="1"/>
      <c r="D34" s="45"/>
      <c r="E34" s="1"/>
      <c r="F34" s="2"/>
      <c r="G34" s="2"/>
      <c r="H34" s="2"/>
      <c r="I34" s="2"/>
    </row>
    <row r="35" spans="1:9" x14ac:dyDescent="0.25">
      <c r="A35" s="63" t="s">
        <v>193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30">
        <v>15620.55</v>
      </c>
      <c r="D37" s="51">
        <v>6000</v>
      </c>
      <c r="E37" s="162">
        <f>D37*15%</f>
        <v>900</v>
      </c>
      <c r="F37" s="21">
        <f>C37+(D37-E37)</f>
        <v>20720.55</v>
      </c>
      <c r="G37" s="21"/>
      <c r="H37" s="162">
        <f>F37</f>
        <v>20720.55</v>
      </c>
      <c r="I37" s="51"/>
    </row>
    <row r="38" spans="1:9" x14ac:dyDescent="0.25">
      <c r="A38" s="1" t="s">
        <v>248</v>
      </c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5" t="s">
        <v>72</v>
      </c>
      <c r="B39" s="46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249</v>
      </c>
      <c r="H39" s="5" t="s">
        <v>79</v>
      </c>
      <c r="I39" s="5" t="s">
        <v>19</v>
      </c>
    </row>
    <row r="40" spans="1:9" x14ac:dyDescent="0.25">
      <c r="A40" s="6"/>
      <c r="B40" s="49" t="s">
        <v>80</v>
      </c>
      <c r="C40" s="6" t="s">
        <v>81</v>
      </c>
      <c r="D40" s="43" t="s">
        <v>82</v>
      </c>
      <c r="E40" s="6" t="s">
        <v>83</v>
      </c>
      <c r="F40" s="43" t="s">
        <v>84</v>
      </c>
      <c r="G40" s="6" t="s">
        <v>85</v>
      </c>
      <c r="H40" s="6" t="s">
        <v>86</v>
      </c>
      <c r="I40" s="6" t="s">
        <v>87</v>
      </c>
    </row>
    <row r="41" spans="1:9" x14ac:dyDescent="0.25">
      <c r="A41" s="17"/>
      <c r="B41" s="50"/>
      <c r="C41" s="17"/>
      <c r="D41" s="61"/>
      <c r="E41" s="17"/>
      <c r="F41" s="61" t="s">
        <v>88</v>
      </c>
      <c r="G41" s="17" t="s">
        <v>89</v>
      </c>
      <c r="H41" s="17"/>
      <c r="I41" s="17" t="s">
        <v>30</v>
      </c>
    </row>
    <row r="42" spans="1:9" x14ac:dyDescent="0.25">
      <c r="A42" s="6">
        <v>1</v>
      </c>
      <c r="B42" s="6" t="s">
        <v>91</v>
      </c>
      <c r="C42" s="4" t="s">
        <v>92</v>
      </c>
      <c r="D42" s="6">
        <v>-44095.96</v>
      </c>
      <c r="E42" s="217">
        <v>317518.18</v>
      </c>
      <c r="F42" s="6">
        <v>294964.74</v>
      </c>
      <c r="G42" s="217">
        <f>E42</f>
        <v>317518.18</v>
      </c>
      <c r="H42" s="6">
        <f>D42+F42-G42</f>
        <v>-66649.399999999994</v>
      </c>
      <c r="I42" s="56">
        <f>H42</f>
        <v>-66649.399999999994</v>
      </c>
    </row>
    <row r="43" spans="1:9" x14ac:dyDescent="0.25">
      <c r="A43" s="8"/>
      <c r="B43" s="8" t="s">
        <v>93</v>
      </c>
      <c r="C43" s="35" t="s">
        <v>94</v>
      </c>
      <c r="D43" s="8"/>
      <c r="E43" s="59"/>
      <c r="F43" s="8"/>
      <c r="G43" s="59"/>
      <c r="H43" s="8"/>
      <c r="I43" s="48"/>
    </row>
    <row r="44" spans="1:9" x14ac:dyDescent="0.25">
      <c r="A44" s="6">
        <v>2</v>
      </c>
      <c r="B44" s="6" t="s">
        <v>95</v>
      </c>
      <c r="C44" s="1" t="s">
        <v>96</v>
      </c>
      <c r="D44" s="6">
        <v>-177025.88</v>
      </c>
      <c r="E44" s="2">
        <v>498214.48</v>
      </c>
      <c r="F44" s="6">
        <v>483046.45</v>
      </c>
      <c r="G44" s="2">
        <f>E44</f>
        <v>498214.48</v>
      </c>
      <c r="H44" s="26">
        <f>D44+F44-G44</f>
        <v>-192193.90999999997</v>
      </c>
      <c r="I44" s="56">
        <f>H44</f>
        <v>-192193.90999999997</v>
      </c>
    </row>
    <row r="45" spans="1:9" x14ac:dyDescent="0.25">
      <c r="A45" s="8"/>
      <c r="B45" s="8" t="s">
        <v>97</v>
      </c>
      <c r="C45" s="35"/>
      <c r="D45" s="8" t="s">
        <v>72</v>
      </c>
      <c r="E45" s="9"/>
      <c r="F45" s="8"/>
      <c r="G45" s="9"/>
      <c r="H45" s="5" t="s">
        <v>72</v>
      </c>
      <c r="I45" s="47" t="str">
        <f>H45</f>
        <v xml:space="preserve"> </v>
      </c>
    </row>
    <row r="46" spans="1:9" x14ac:dyDescent="0.25">
      <c r="A46" s="8"/>
      <c r="B46" s="8" t="s">
        <v>313</v>
      </c>
      <c r="C46" s="35" t="s">
        <v>94</v>
      </c>
      <c r="D46" s="8"/>
      <c r="E46" s="9"/>
      <c r="F46" s="8"/>
      <c r="G46" s="9"/>
      <c r="H46" s="5"/>
      <c r="I46" s="47"/>
    </row>
    <row r="47" spans="1:9" x14ac:dyDescent="0.25">
      <c r="A47" s="8">
        <v>3</v>
      </c>
      <c r="B47" s="8" t="s">
        <v>99</v>
      </c>
      <c r="C47" s="35" t="s">
        <v>100</v>
      </c>
      <c r="D47" s="8">
        <v>-549890.63</v>
      </c>
      <c r="E47" s="9">
        <v>1486960.47</v>
      </c>
      <c r="F47" s="8">
        <v>1427175.25</v>
      </c>
      <c r="G47" s="9">
        <f>E47</f>
        <v>1486960.47</v>
      </c>
      <c r="H47" s="8">
        <f>D47+F47-G47</f>
        <v>-609675.85</v>
      </c>
      <c r="I47" s="8">
        <f>H47</f>
        <v>-609675.85</v>
      </c>
    </row>
    <row r="48" spans="1:9" x14ac:dyDescent="0.25">
      <c r="A48" s="1" t="s">
        <v>251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" t="s">
        <v>252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6" t="s">
        <v>12</v>
      </c>
      <c r="B50" s="46" t="s">
        <v>103</v>
      </c>
      <c r="C50" s="46" t="s">
        <v>104</v>
      </c>
      <c r="D50" s="54"/>
      <c r="E50" s="54"/>
      <c r="F50" s="47"/>
      <c r="G50" s="5" t="s">
        <v>105</v>
      </c>
      <c r="H50" s="47" t="s">
        <v>106</v>
      </c>
      <c r="I50" s="5" t="s">
        <v>107</v>
      </c>
    </row>
    <row r="51" spans="1:9" x14ac:dyDescent="0.25">
      <c r="A51" s="49" t="s">
        <v>108</v>
      </c>
      <c r="B51" s="49"/>
      <c r="C51" s="49"/>
      <c r="D51" s="43"/>
      <c r="E51" s="43"/>
      <c r="F51" s="56"/>
      <c r="G51" s="6"/>
      <c r="H51" s="56"/>
      <c r="I51" s="6" t="s">
        <v>109</v>
      </c>
    </row>
    <row r="52" spans="1:9" x14ac:dyDescent="0.25">
      <c r="A52" s="242" t="s">
        <v>72</v>
      </c>
      <c r="B52" s="53"/>
      <c r="C52" s="53" t="s">
        <v>110</v>
      </c>
      <c r="D52" s="159"/>
      <c r="E52" s="159"/>
      <c r="F52" s="54"/>
      <c r="G52" s="5"/>
      <c r="H52" s="5"/>
      <c r="I52" s="5"/>
    </row>
    <row r="53" spans="1:9" x14ac:dyDescent="0.25">
      <c r="A53" s="257">
        <v>1</v>
      </c>
      <c r="B53" s="232">
        <v>43131</v>
      </c>
      <c r="C53" s="49" t="s">
        <v>581</v>
      </c>
      <c r="D53" s="43"/>
      <c r="E53" s="43"/>
      <c r="F53" s="43"/>
      <c r="G53" s="26" t="s">
        <v>205</v>
      </c>
      <c r="H53" s="6">
        <v>1</v>
      </c>
      <c r="I53" s="6">
        <v>2554.73</v>
      </c>
    </row>
    <row r="54" spans="1:9" x14ac:dyDescent="0.25">
      <c r="A54" s="258" t="s">
        <v>114</v>
      </c>
      <c r="B54" s="232">
        <v>43186</v>
      </c>
      <c r="C54" s="49" t="s">
        <v>112</v>
      </c>
      <c r="D54" s="43"/>
      <c r="E54" s="43"/>
      <c r="F54" s="43"/>
      <c r="G54" s="26" t="s">
        <v>113</v>
      </c>
      <c r="H54" s="6">
        <v>84</v>
      </c>
      <c r="I54" s="6">
        <v>16800</v>
      </c>
    </row>
    <row r="55" spans="1:9" x14ac:dyDescent="0.25">
      <c r="A55" s="258" t="s">
        <v>170</v>
      </c>
      <c r="B55" s="232">
        <v>43220</v>
      </c>
      <c r="C55" s="49" t="s">
        <v>582</v>
      </c>
      <c r="D55" s="43"/>
      <c r="E55" s="43"/>
      <c r="F55" s="43"/>
      <c r="G55" s="26" t="s">
        <v>205</v>
      </c>
      <c r="H55" s="6">
        <v>9</v>
      </c>
      <c r="I55" s="6">
        <v>57921.98</v>
      </c>
    </row>
    <row r="56" spans="1:9" x14ac:dyDescent="0.25">
      <c r="A56" s="258" t="s">
        <v>173</v>
      </c>
      <c r="B56" s="232">
        <v>43391</v>
      </c>
      <c r="C56" s="49" t="s">
        <v>583</v>
      </c>
      <c r="D56" s="43"/>
      <c r="E56" s="43"/>
      <c r="F56" s="43"/>
      <c r="G56" s="26" t="s">
        <v>584</v>
      </c>
      <c r="H56" s="6">
        <v>2</v>
      </c>
      <c r="I56" s="6">
        <v>13875.11</v>
      </c>
    </row>
    <row r="57" spans="1:9" x14ac:dyDescent="0.25">
      <c r="A57" s="258" t="s">
        <v>257</v>
      </c>
      <c r="B57" s="232">
        <v>43404</v>
      </c>
      <c r="C57" s="49" t="s">
        <v>112</v>
      </c>
      <c r="D57" s="43"/>
      <c r="E57" s="43"/>
      <c r="F57" s="43"/>
      <c r="G57" s="26" t="s">
        <v>116</v>
      </c>
      <c r="H57" s="6">
        <v>84</v>
      </c>
      <c r="I57" s="6">
        <v>16800</v>
      </c>
    </row>
    <row r="58" spans="1:9" x14ac:dyDescent="0.25">
      <c r="A58" s="258" t="s">
        <v>406</v>
      </c>
      <c r="B58" s="232">
        <v>43440</v>
      </c>
      <c r="C58" s="49" t="s">
        <v>585</v>
      </c>
      <c r="D58" s="43"/>
      <c r="E58" s="43"/>
      <c r="F58" s="43"/>
      <c r="G58" s="26" t="s">
        <v>205</v>
      </c>
      <c r="H58" s="6">
        <v>1</v>
      </c>
      <c r="I58" s="6">
        <v>9772</v>
      </c>
    </row>
    <row r="59" spans="1:9" x14ac:dyDescent="0.25">
      <c r="A59" s="258" t="s">
        <v>408</v>
      </c>
      <c r="B59" s="232">
        <v>43451</v>
      </c>
      <c r="C59" s="49" t="s">
        <v>586</v>
      </c>
      <c r="D59" s="43"/>
      <c r="E59" s="43"/>
      <c r="F59" s="43"/>
      <c r="G59" s="26" t="s">
        <v>205</v>
      </c>
      <c r="H59" s="6">
        <v>5</v>
      </c>
      <c r="I59" s="6">
        <v>4825</v>
      </c>
    </row>
    <row r="60" spans="1:9" x14ac:dyDescent="0.25">
      <c r="A60" s="258" t="s">
        <v>561</v>
      </c>
      <c r="B60" s="232">
        <v>43463</v>
      </c>
      <c r="C60" s="49" t="s">
        <v>587</v>
      </c>
      <c r="D60" s="43"/>
      <c r="E60" s="43"/>
      <c r="F60" s="43"/>
      <c r="G60" s="26" t="s">
        <v>205</v>
      </c>
      <c r="H60" s="6">
        <v>3</v>
      </c>
      <c r="I60" s="6">
        <v>2538</v>
      </c>
    </row>
    <row r="61" spans="1:9" x14ac:dyDescent="0.25">
      <c r="A61" s="258"/>
      <c r="B61" s="232"/>
      <c r="C61" s="49"/>
      <c r="D61" s="43"/>
      <c r="E61" s="43"/>
      <c r="F61" s="43"/>
      <c r="G61" s="26"/>
      <c r="H61" s="6"/>
      <c r="I61" s="6"/>
    </row>
    <row r="62" spans="1:9" x14ac:dyDescent="0.25">
      <c r="B62" s="50"/>
      <c r="C62" s="55" t="s">
        <v>117</v>
      </c>
      <c r="D62" s="4"/>
      <c r="E62" s="4"/>
      <c r="F62" s="4"/>
      <c r="G62" s="16"/>
      <c r="H62" s="11"/>
      <c r="I62" s="41">
        <f>SUM(I53:I60)</f>
        <v>125086.82</v>
      </c>
    </row>
    <row r="63" spans="1:9" x14ac:dyDescent="0.25">
      <c r="A63" s="5"/>
      <c r="B63" s="5"/>
      <c r="C63" s="7"/>
      <c r="D63" s="9"/>
      <c r="E63" s="9"/>
      <c r="F63" s="9"/>
      <c r="G63" s="28"/>
      <c r="H63" s="43"/>
      <c r="I63" s="230"/>
    </row>
    <row r="64" spans="1:9" x14ac:dyDescent="0.25">
      <c r="A64" s="5" t="s">
        <v>49</v>
      </c>
      <c r="B64" s="63" t="s">
        <v>258</v>
      </c>
      <c r="C64" s="53" t="s">
        <v>259</v>
      </c>
      <c r="D64" s="54"/>
      <c r="E64" s="54"/>
      <c r="F64" s="47" t="s">
        <v>260</v>
      </c>
      <c r="G64" s="43"/>
      <c r="H64" s="5"/>
      <c r="I64" s="6"/>
    </row>
    <row r="65" spans="1:9" x14ac:dyDescent="0.25">
      <c r="A65" s="66"/>
      <c r="B65" s="17" t="s">
        <v>258</v>
      </c>
      <c r="C65" s="14" t="s">
        <v>117</v>
      </c>
      <c r="D65" s="13"/>
      <c r="E65" s="13"/>
      <c r="F65" s="67" t="s">
        <v>72</v>
      </c>
      <c r="G65" s="161"/>
      <c r="H65" s="11"/>
      <c r="I65" s="11">
        <v>0</v>
      </c>
    </row>
    <row r="66" spans="1:9" x14ac:dyDescent="0.25">
      <c r="A66" s="2" t="s">
        <v>588</v>
      </c>
      <c r="B66" s="2"/>
      <c r="C66" s="2"/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52" workbookViewId="0">
      <selection activeCell="A49" sqref="A49"/>
    </sheetView>
  </sheetViews>
  <sheetFormatPr defaultRowHeight="15" x14ac:dyDescent="0.25"/>
  <cols>
    <col min="1" max="1" width="5.5703125" customWidth="1"/>
    <col min="2" max="2" width="34.5703125" customWidth="1"/>
    <col min="3" max="3" width="14.28515625" customWidth="1"/>
    <col min="4" max="4" width="10.5703125" customWidth="1"/>
    <col min="5" max="5" width="10.85546875" customWidth="1"/>
    <col min="6" max="6" width="12.42578125" customWidth="1"/>
    <col min="8" max="8" width="11" customWidth="1"/>
    <col min="9" max="9" width="18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589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590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591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/>
      <c r="B10" s="1"/>
      <c r="C10" s="1"/>
      <c r="D10" s="1" t="s">
        <v>243</v>
      </c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592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323</v>
      </c>
      <c r="C18" s="11">
        <v>8.9600000000000009</v>
      </c>
      <c r="D18" s="16">
        <v>-185046.72</v>
      </c>
      <c r="E18" s="16">
        <v>1224690.72</v>
      </c>
      <c r="F18" s="13">
        <v>1208581.6599999999</v>
      </c>
      <c r="G18" s="16">
        <f t="shared" ref="G18:G26" si="0">E18</f>
        <v>1224690.72</v>
      </c>
      <c r="H18" s="15">
        <f>D18+F18-G18</f>
        <v>-201155.78000000003</v>
      </c>
      <c r="I18" s="16">
        <f>H18</f>
        <v>-201155.78000000003</v>
      </c>
    </row>
    <row r="19" spans="1:9" x14ac:dyDescent="0.25">
      <c r="A19" s="6" t="s">
        <v>36</v>
      </c>
      <c r="B19" s="17" t="s">
        <v>37</v>
      </c>
      <c r="C19" s="61">
        <v>3.08</v>
      </c>
      <c r="D19" s="20"/>
      <c r="E19" s="187">
        <f>E18*34.4%</f>
        <v>421293.60767999996</v>
      </c>
      <c r="F19" s="21">
        <f>F18*34.4%</f>
        <v>415752.09103999991</v>
      </c>
      <c r="G19" s="21">
        <f t="shared" si="0"/>
        <v>421293.60767999996</v>
      </c>
      <c r="H19" s="20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25"/>
      <c r="E20" s="33">
        <f>E18*16.4%</f>
        <v>200849.27807999996</v>
      </c>
      <c r="F20" s="33">
        <f>F18*16.4%</f>
        <v>198207.39223999996</v>
      </c>
      <c r="G20" s="33">
        <f t="shared" si="0"/>
        <v>200849.27807999996</v>
      </c>
      <c r="H20" s="25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235"/>
      <c r="E21" s="33">
        <f>E18*20.2%</f>
        <v>247387.52543999997</v>
      </c>
      <c r="F21" s="33">
        <f>F18*20.2%</f>
        <v>244133.49531999996</v>
      </c>
      <c r="G21" s="30">
        <f t="shared" si="0"/>
        <v>247387.52543999997</v>
      </c>
      <c r="H21" s="235"/>
      <c r="I21" s="30"/>
    </row>
    <row r="22" spans="1:9" x14ac:dyDescent="0.25">
      <c r="A22" s="22" t="s">
        <v>42</v>
      </c>
      <c r="B22" s="5" t="s">
        <v>43</v>
      </c>
      <c r="C22" s="54">
        <v>2.6</v>
      </c>
      <c r="D22" s="29"/>
      <c r="E22" s="30">
        <f>E18*29%</f>
        <v>355160.30879999994</v>
      </c>
      <c r="F22" s="30">
        <f>F18*29%</f>
        <v>350488.68139999994</v>
      </c>
      <c r="G22" s="28">
        <f t="shared" si="0"/>
        <v>355160.30879999994</v>
      </c>
      <c r="H22" s="29"/>
      <c r="I22" s="30"/>
    </row>
    <row r="23" spans="1:9" x14ac:dyDescent="0.25">
      <c r="A23" s="22" t="s">
        <v>44</v>
      </c>
      <c r="B23" s="5" t="s">
        <v>47</v>
      </c>
      <c r="C23" s="159" t="s">
        <v>48</v>
      </c>
      <c r="D23" s="37">
        <v>-42496.6</v>
      </c>
      <c r="E23" s="8">
        <v>334052.34000000003</v>
      </c>
      <c r="F23" s="8">
        <v>321778.13</v>
      </c>
      <c r="G23" s="9">
        <f>E23</f>
        <v>334052.34000000003</v>
      </c>
      <c r="H23" s="30">
        <f>D23+F23-G23</f>
        <v>-54770.81</v>
      </c>
      <c r="I23" s="246">
        <f>H23</f>
        <v>-54770.81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-102506.89</v>
      </c>
      <c r="E24" s="10">
        <v>628747.92000000004</v>
      </c>
      <c r="F24" s="10">
        <v>615037.41</v>
      </c>
      <c r="G24" s="35">
        <f t="shared" si="0"/>
        <v>628747.92000000004</v>
      </c>
      <c r="H24" s="37">
        <f>D24+F24-G24</f>
        <v>-116217.40000000002</v>
      </c>
      <c r="I24" s="38">
        <f>H24</f>
        <v>-116217.40000000002</v>
      </c>
    </row>
    <row r="25" spans="1:9" x14ac:dyDescent="0.25">
      <c r="A25" s="10" t="s">
        <v>51</v>
      </c>
      <c r="B25" s="10" t="s">
        <v>191</v>
      </c>
      <c r="C25" s="38">
        <v>1</v>
      </c>
      <c r="D25" s="38">
        <v>-9717.2000000000007</v>
      </c>
      <c r="E25" s="244">
        <v>136684.32</v>
      </c>
      <c r="F25" s="193">
        <v>132942.57999999999</v>
      </c>
      <c r="G25" s="38">
        <f t="shared" si="0"/>
        <v>136684.32</v>
      </c>
      <c r="H25" s="193">
        <f>D25+F25-G25</f>
        <v>-13458.940000000017</v>
      </c>
      <c r="I25" s="38">
        <f>H25</f>
        <v>-13458.940000000017</v>
      </c>
    </row>
    <row r="26" spans="1:9" x14ac:dyDescent="0.25">
      <c r="A26" s="10" t="s">
        <v>56</v>
      </c>
      <c r="B26" s="35" t="s">
        <v>140</v>
      </c>
      <c r="C26" s="10">
        <v>3.43</v>
      </c>
      <c r="D26" s="38">
        <v>-102974.24</v>
      </c>
      <c r="E26" s="244">
        <v>467716.56</v>
      </c>
      <c r="F26" s="193">
        <v>455402.55</v>
      </c>
      <c r="G26" s="38">
        <f t="shared" si="0"/>
        <v>467716.56</v>
      </c>
      <c r="H26" s="34">
        <f>D26+F26-G26</f>
        <v>-115288.25</v>
      </c>
      <c r="I26" s="38">
        <f>H26</f>
        <v>-115288.25</v>
      </c>
    </row>
    <row r="27" spans="1:9" x14ac:dyDescent="0.25">
      <c r="A27" s="10" t="s">
        <v>60</v>
      </c>
      <c r="B27" s="11" t="s">
        <v>310</v>
      </c>
      <c r="C27" s="13">
        <v>1.82</v>
      </c>
      <c r="D27" s="14">
        <v>86089.54</v>
      </c>
      <c r="E27" s="11">
        <v>248765.52</v>
      </c>
      <c r="F27" s="11">
        <f>F28+F29</f>
        <v>239314.75</v>
      </c>
      <c r="G27" s="11">
        <f>I65</f>
        <v>366903.6</v>
      </c>
      <c r="H27" s="14">
        <f>D27+F27-G27</f>
        <v>-41499.31</v>
      </c>
      <c r="I27" s="41">
        <f>H27</f>
        <v>-41499.31</v>
      </c>
    </row>
    <row r="28" spans="1:9" x14ac:dyDescent="0.25">
      <c r="A28" s="10"/>
      <c r="B28" s="17" t="s">
        <v>53</v>
      </c>
      <c r="C28" s="13"/>
      <c r="D28" s="14"/>
      <c r="E28" s="11"/>
      <c r="F28" s="11">
        <v>246208.48</v>
      </c>
      <c r="G28" s="13"/>
      <c r="H28" s="14"/>
      <c r="I28" s="38"/>
    </row>
    <row r="29" spans="1:9" x14ac:dyDescent="0.25">
      <c r="A29" s="10"/>
      <c r="B29" s="17" t="s">
        <v>382</v>
      </c>
      <c r="C29" s="13"/>
      <c r="D29" s="14"/>
      <c r="E29" s="11"/>
      <c r="F29" s="11">
        <v>-6893.73</v>
      </c>
      <c r="G29" s="13"/>
      <c r="H29" s="14"/>
      <c r="I29" s="41"/>
    </row>
    <row r="30" spans="1:9" x14ac:dyDescent="0.25">
      <c r="A30" s="10" t="s">
        <v>355</v>
      </c>
      <c r="B30" s="10" t="s">
        <v>475</v>
      </c>
      <c r="C30" s="38">
        <v>0</v>
      </c>
      <c r="D30" s="36">
        <v>-6893.73</v>
      </c>
      <c r="E30" s="10">
        <v>0</v>
      </c>
      <c r="F30" s="10">
        <v>-6893.73</v>
      </c>
      <c r="G30" s="35">
        <v>0</v>
      </c>
      <c r="H30" s="36">
        <v>0</v>
      </c>
      <c r="I30" s="38"/>
    </row>
    <row r="31" spans="1:9" x14ac:dyDescent="0.25">
      <c r="A31" s="36"/>
      <c r="B31" s="17" t="s">
        <v>53</v>
      </c>
      <c r="C31" s="193"/>
      <c r="D31" s="36"/>
      <c r="E31" s="36"/>
      <c r="F31" s="8">
        <v>0</v>
      </c>
      <c r="G31" s="35"/>
      <c r="H31" s="10"/>
      <c r="I31" s="34"/>
    </row>
    <row r="32" spans="1:9" x14ac:dyDescent="0.25">
      <c r="A32" s="36"/>
      <c r="B32" s="8" t="s">
        <v>58</v>
      </c>
      <c r="C32" s="193"/>
      <c r="D32" s="36"/>
      <c r="E32" s="36"/>
      <c r="F32" s="10">
        <v>-6893.73</v>
      </c>
      <c r="G32" s="42"/>
      <c r="H32" s="42"/>
      <c r="I32" s="34"/>
    </row>
    <row r="33" spans="1:9" x14ac:dyDescent="0.25">
      <c r="A33" s="1" t="s">
        <v>59</v>
      </c>
      <c r="B33" s="1"/>
      <c r="C33" s="1"/>
      <c r="D33" s="4"/>
      <c r="E33" s="1"/>
      <c r="F33" s="1"/>
      <c r="G33" s="2"/>
      <c r="H33" s="2"/>
      <c r="I33" s="2"/>
    </row>
    <row r="34" spans="1:9" x14ac:dyDescent="0.25">
      <c r="A34" s="159" t="s">
        <v>193</v>
      </c>
      <c r="B34" s="53" t="s">
        <v>61</v>
      </c>
      <c r="C34" s="8" t="s">
        <v>66</v>
      </c>
      <c r="D34" s="5" t="s">
        <v>63</v>
      </c>
      <c r="E34" s="48" t="s">
        <v>64</v>
      </c>
      <c r="F34" s="5" t="s">
        <v>65</v>
      </c>
      <c r="G34" s="8"/>
      <c r="H34" s="7" t="s">
        <v>195</v>
      </c>
      <c r="I34" s="48"/>
    </row>
    <row r="35" spans="1:9" x14ac:dyDescent="0.25">
      <c r="A35" s="43"/>
      <c r="B35" s="55"/>
      <c r="C35" s="8" t="s">
        <v>67</v>
      </c>
      <c r="D35" s="8" t="s">
        <v>23</v>
      </c>
      <c r="E35" s="9" t="s">
        <v>312</v>
      </c>
      <c r="F35" s="259" t="s">
        <v>30</v>
      </c>
      <c r="G35" s="259"/>
      <c r="H35" s="61"/>
      <c r="I35" s="51"/>
    </row>
    <row r="36" spans="1:9" x14ac:dyDescent="0.25">
      <c r="A36" s="61"/>
      <c r="B36" s="14" t="s">
        <v>69</v>
      </c>
      <c r="C36" s="30">
        <v>21218.55</v>
      </c>
      <c r="D36" s="17">
        <v>9600</v>
      </c>
      <c r="E36" s="28">
        <f>D36*15%</f>
        <v>1440</v>
      </c>
      <c r="F36" s="260">
        <f>C36+(D36-E36)</f>
        <v>29378.55</v>
      </c>
      <c r="G36" s="260"/>
      <c r="H36" s="162">
        <f>F36-G36</f>
        <v>29378.55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47" t="s">
        <v>79</v>
      </c>
      <c r="I38" s="5" t="s">
        <v>593</v>
      </c>
    </row>
    <row r="39" spans="1:9" x14ac:dyDescent="0.25">
      <c r="A39" s="17"/>
      <c r="B39" s="14" t="s">
        <v>80</v>
      </c>
      <c r="C39" s="17" t="s">
        <v>81</v>
      </c>
      <c r="D39" s="61" t="s">
        <v>82</v>
      </c>
      <c r="E39" s="17" t="s">
        <v>83</v>
      </c>
      <c r="F39" s="61" t="s">
        <v>88</v>
      </c>
      <c r="G39" s="17" t="s">
        <v>594</v>
      </c>
      <c r="H39" s="51" t="s">
        <v>86</v>
      </c>
      <c r="I39" s="6" t="s">
        <v>595</v>
      </c>
    </row>
    <row r="40" spans="1:9" x14ac:dyDescent="0.25">
      <c r="A40" s="17">
        <v>1</v>
      </c>
      <c r="B40" s="17" t="s">
        <v>91</v>
      </c>
      <c r="C40" s="13" t="s">
        <v>92</v>
      </c>
      <c r="D40" s="17">
        <v>-347699.33</v>
      </c>
      <c r="E40" s="60">
        <v>1052097.77</v>
      </c>
      <c r="F40" s="231">
        <v>1201171.94</v>
      </c>
      <c r="G40" s="261">
        <f>E40</f>
        <v>1052097.77</v>
      </c>
      <c r="H40" s="17">
        <f>D40+F40-G40</f>
        <v>-198625.16000000015</v>
      </c>
      <c r="I40" s="47">
        <f>H40</f>
        <v>-198625.16000000015</v>
      </c>
    </row>
    <row r="41" spans="1:9" x14ac:dyDescent="0.25">
      <c r="A41" s="17"/>
      <c r="B41" s="17" t="s">
        <v>93</v>
      </c>
      <c r="C41" s="13" t="s">
        <v>94</v>
      </c>
      <c r="D41" s="5"/>
      <c r="E41" s="60"/>
      <c r="F41" s="196"/>
      <c r="G41" s="60"/>
      <c r="H41" s="6"/>
      <c r="I41" s="47"/>
    </row>
    <row r="42" spans="1:9" x14ac:dyDescent="0.25">
      <c r="A42" s="8">
        <v>2</v>
      </c>
      <c r="B42" s="8" t="s">
        <v>160</v>
      </c>
      <c r="C42" s="35" t="s">
        <v>596</v>
      </c>
      <c r="D42" s="8">
        <v>-748905.5</v>
      </c>
      <c r="E42" s="9">
        <v>1598627.67</v>
      </c>
      <c r="F42" s="8">
        <v>1564273.37</v>
      </c>
      <c r="G42" s="48">
        <f>E42</f>
        <v>1598627.67</v>
      </c>
      <c r="H42" s="5">
        <f>D42+F42-G42</f>
        <v>-783259.79999999981</v>
      </c>
      <c r="I42" s="47">
        <f>H42</f>
        <v>-783259.79999999981</v>
      </c>
    </row>
    <row r="43" spans="1:9" x14ac:dyDescent="0.25">
      <c r="A43" s="8"/>
      <c r="B43" s="8" t="s">
        <v>198</v>
      </c>
      <c r="C43" s="13" t="s">
        <v>94</v>
      </c>
      <c r="D43" s="8"/>
      <c r="E43" s="9"/>
      <c r="F43" s="8"/>
      <c r="G43" s="9"/>
      <c r="H43" s="5"/>
      <c r="I43" s="47"/>
    </row>
    <row r="44" spans="1:9" x14ac:dyDescent="0.25">
      <c r="A44" s="8">
        <v>4</v>
      </c>
      <c r="B44" s="8" t="s">
        <v>99</v>
      </c>
      <c r="C44" s="35" t="s">
        <v>100</v>
      </c>
      <c r="D44" s="8">
        <v>-1585497.52</v>
      </c>
      <c r="E44" s="9">
        <v>4115695.89</v>
      </c>
      <c r="F44" s="8">
        <v>3963652.81</v>
      </c>
      <c r="G44" s="9">
        <f>E44</f>
        <v>4115695.89</v>
      </c>
      <c r="H44" s="8">
        <f>D44+F44-G44</f>
        <v>-1737540.6</v>
      </c>
      <c r="I44" s="8">
        <f>H44</f>
        <v>-1737540.6</v>
      </c>
    </row>
    <row r="45" spans="1:9" x14ac:dyDescent="0.25">
      <c r="A45" s="1" t="s">
        <v>251</v>
      </c>
      <c r="B45" s="1"/>
      <c r="C45" s="1"/>
      <c r="D45" s="1"/>
      <c r="E45" s="1"/>
      <c r="F45" s="1"/>
      <c r="G45" s="1"/>
      <c r="H45" s="1"/>
      <c r="I45" s="2"/>
    </row>
    <row r="46" spans="1:9" x14ac:dyDescent="0.25">
      <c r="A46" s="4" t="s">
        <v>252</v>
      </c>
      <c r="B46" s="1"/>
      <c r="C46" s="1"/>
      <c r="D46" s="1"/>
      <c r="E46" s="1"/>
      <c r="F46" s="1"/>
      <c r="G46" s="1"/>
      <c r="H46" s="1"/>
      <c r="I46" s="2"/>
    </row>
    <row r="47" spans="1:9" x14ac:dyDescent="0.25">
      <c r="A47" s="46" t="s">
        <v>12</v>
      </c>
      <c r="B47" s="46" t="s">
        <v>103</v>
      </c>
      <c r="C47" s="46" t="s">
        <v>104</v>
      </c>
      <c r="D47" s="54"/>
      <c r="E47" s="54"/>
      <c r="F47" s="47"/>
      <c r="G47" s="5" t="s">
        <v>199</v>
      </c>
      <c r="H47" s="47" t="s">
        <v>165</v>
      </c>
      <c r="I47" s="5" t="s">
        <v>107</v>
      </c>
    </row>
    <row r="48" spans="1:9" x14ac:dyDescent="0.25">
      <c r="A48" s="49" t="s">
        <v>108</v>
      </c>
      <c r="B48" s="49"/>
      <c r="C48" s="49"/>
      <c r="D48" s="43"/>
      <c r="E48" s="43"/>
      <c r="F48" s="56"/>
      <c r="G48" s="6" t="s">
        <v>201</v>
      </c>
      <c r="H48" s="56" t="s">
        <v>85</v>
      </c>
      <c r="I48" s="6" t="s">
        <v>109</v>
      </c>
    </row>
    <row r="49" spans="1:9" x14ac:dyDescent="0.25">
      <c r="A49" s="62"/>
      <c r="B49" s="55"/>
      <c r="C49" s="55" t="s">
        <v>597</v>
      </c>
      <c r="D49" s="4"/>
      <c r="E49" s="4"/>
      <c r="F49" s="56"/>
      <c r="G49" s="26"/>
      <c r="H49" s="43"/>
      <c r="I49" s="6"/>
    </row>
    <row r="50" spans="1:9" x14ac:dyDescent="0.25">
      <c r="A50" s="185">
        <v>1</v>
      </c>
      <c r="B50" s="232">
        <v>43159</v>
      </c>
      <c r="C50" s="49" t="s">
        <v>598</v>
      </c>
      <c r="D50" s="43"/>
      <c r="E50" s="43"/>
      <c r="F50" s="56"/>
      <c r="G50" s="26" t="s">
        <v>176</v>
      </c>
      <c r="H50" s="43">
        <v>1</v>
      </c>
      <c r="I50" s="6">
        <v>5888.57</v>
      </c>
    </row>
    <row r="51" spans="1:9" x14ac:dyDescent="0.25">
      <c r="A51" s="185">
        <v>2</v>
      </c>
      <c r="B51" s="232">
        <v>43186</v>
      </c>
      <c r="C51" s="49" t="s">
        <v>599</v>
      </c>
      <c r="D51" s="43"/>
      <c r="E51" s="43"/>
      <c r="F51" s="56"/>
      <c r="G51" s="26" t="s">
        <v>390</v>
      </c>
      <c r="H51" s="43">
        <v>137</v>
      </c>
      <c r="I51" s="6">
        <v>27400</v>
      </c>
    </row>
    <row r="52" spans="1:9" x14ac:dyDescent="0.25">
      <c r="A52" s="222">
        <v>3</v>
      </c>
      <c r="B52" s="232">
        <v>43189</v>
      </c>
      <c r="C52" s="232" t="s">
        <v>600</v>
      </c>
      <c r="D52" s="43"/>
      <c r="E52" s="43"/>
      <c r="F52" s="56"/>
      <c r="G52" s="26" t="s">
        <v>116</v>
      </c>
      <c r="H52" s="2">
        <v>6.6</v>
      </c>
      <c r="I52" s="6">
        <v>5838.81</v>
      </c>
    </row>
    <row r="53" spans="1:9" x14ac:dyDescent="0.25">
      <c r="A53" s="222">
        <v>4</v>
      </c>
      <c r="B53" s="232">
        <v>43189</v>
      </c>
      <c r="C53" s="49" t="s">
        <v>601</v>
      </c>
      <c r="D53" s="43"/>
      <c r="E53" s="43"/>
      <c r="F53" s="56"/>
      <c r="G53" s="26" t="s">
        <v>390</v>
      </c>
      <c r="H53" s="2">
        <v>2.2999999999999998</v>
      </c>
      <c r="I53" s="6">
        <v>4047.48</v>
      </c>
    </row>
    <row r="54" spans="1:9" x14ac:dyDescent="0.25">
      <c r="A54" s="222">
        <v>5</v>
      </c>
      <c r="B54" s="232">
        <v>43225</v>
      </c>
      <c r="C54" s="49" t="s">
        <v>602</v>
      </c>
      <c r="D54" s="43"/>
      <c r="E54" s="43"/>
      <c r="F54" s="56"/>
      <c r="G54" s="26" t="s">
        <v>205</v>
      </c>
      <c r="H54" s="2">
        <v>5</v>
      </c>
      <c r="I54" s="6">
        <v>120352</v>
      </c>
    </row>
    <row r="55" spans="1:9" x14ac:dyDescent="0.25">
      <c r="A55" s="222">
        <v>6</v>
      </c>
      <c r="B55" s="232">
        <v>43225</v>
      </c>
      <c r="C55" s="262" t="s">
        <v>603</v>
      </c>
      <c r="D55" s="43"/>
      <c r="E55" s="43"/>
      <c r="F55" s="56"/>
      <c r="G55" s="26" t="s">
        <v>205</v>
      </c>
      <c r="H55" s="2">
        <v>5</v>
      </c>
      <c r="I55" s="6">
        <v>95578</v>
      </c>
    </row>
    <row r="56" spans="1:9" x14ac:dyDescent="0.25">
      <c r="A56" s="222">
        <v>7</v>
      </c>
      <c r="B56" s="232">
        <v>43251</v>
      </c>
      <c r="C56" s="262" t="s">
        <v>604</v>
      </c>
      <c r="D56" s="43"/>
      <c r="E56" s="43"/>
      <c r="F56" s="56"/>
      <c r="G56" s="26" t="s">
        <v>205</v>
      </c>
      <c r="H56" s="2">
        <v>1</v>
      </c>
      <c r="I56" s="6">
        <v>6500</v>
      </c>
    </row>
    <row r="57" spans="1:9" x14ac:dyDescent="0.25">
      <c r="A57" s="222">
        <v>8</v>
      </c>
      <c r="B57" s="232">
        <v>43342</v>
      </c>
      <c r="C57" s="49" t="s">
        <v>605</v>
      </c>
      <c r="D57" s="43"/>
      <c r="E57" s="43"/>
      <c r="F57" s="56"/>
      <c r="G57" s="26" t="s">
        <v>205</v>
      </c>
      <c r="H57" s="2">
        <v>5</v>
      </c>
      <c r="I57" s="6">
        <v>31109</v>
      </c>
    </row>
    <row r="58" spans="1:9" x14ac:dyDescent="0.25">
      <c r="A58" s="222">
        <v>9</v>
      </c>
      <c r="B58" s="232">
        <v>43404</v>
      </c>
      <c r="C58" s="49" t="s">
        <v>599</v>
      </c>
      <c r="D58" s="43"/>
      <c r="E58" s="43"/>
      <c r="F58" s="56"/>
      <c r="G58" s="26" t="s">
        <v>116</v>
      </c>
      <c r="H58" s="2">
        <v>137</v>
      </c>
      <c r="I58" s="6">
        <v>27400</v>
      </c>
    </row>
    <row r="59" spans="1:9" x14ac:dyDescent="0.25">
      <c r="A59" s="222">
        <v>10</v>
      </c>
      <c r="B59" s="232">
        <v>43434</v>
      </c>
      <c r="C59" s="49" t="s">
        <v>606</v>
      </c>
      <c r="D59" s="43"/>
      <c r="E59" s="43"/>
      <c r="F59" s="56"/>
      <c r="G59" s="26" t="s">
        <v>116</v>
      </c>
      <c r="H59" s="2">
        <v>2.7</v>
      </c>
      <c r="I59" s="6">
        <v>2999.99</v>
      </c>
    </row>
    <row r="60" spans="1:9" x14ac:dyDescent="0.25">
      <c r="A60" s="222">
        <v>11</v>
      </c>
      <c r="B60" s="232">
        <v>43434</v>
      </c>
      <c r="C60" s="49" t="s">
        <v>607</v>
      </c>
      <c r="D60" s="43"/>
      <c r="E60" s="43"/>
      <c r="F60" s="56"/>
      <c r="G60" s="26" t="s">
        <v>205</v>
      </c>
      <c r="H60" s="2">
        <v>1</v>
      </c>
      <c r="I60" s="6">
        <v>6104.8</v>
      </c>
    </row>
    <row r="61" spans="1:9" x14ac:dyDescent="0.25">
      <c r="A61" s="222">
        <v>12</v>
      </c>
      <c r="B61" s="232">
        <v>43434</v>
      </c>
      <c r="C61" s="49" t="s">
        <v>608</v>
      </c>
      <c r="D61" s="43"/>
      <c r="E61" s="43"/>
      <c r="F61" s="56"/>
      <c r="G61" s="26" t="s">
        <v>169</v>
      </c>
      <c r="H61" s="2">
        <v>17</v>
      </c>
      <c r="I61" s="6">
        <v>26008</v>
      </c>
    </row>
    <row r="62" spans="1:9" x14ac:dyDescent="0.25">
      <c r="A62" s="222">
        <v>13</v>
      </c>
      <c r="B62" s="232">
        <v>43463</v>
      </c>
      <c r="C62" s="232" t="s">
        <v>609</v>
      </c>
      <c r="D62" s="69"/>
      <c r="E62" s="69"/>
      <c r="F62" s="56"/>
      <c r="G62" s="26" t="s">
        <v>205</v>
      </c>
      <c r="H62" s="2">
        <v>1</v>
      </c>
      <c r="I62" s="6">
        <v>6897.4</v>
      </c>
    </row>
    <row r="63" spans="1:9" x14ac:dyDescent="0.25">
      <c r="A63" s="222">
        <v>14</v>
      </c>
      <c r="B63" s="232">
        <v>43462</v>
      </c>
      <c r="C63" s="232" t="s">
        <v>610</v>
      </c>
      <c r="D63" s="69"/>
      <c r="E63" s="69"/>
      <c r="F63" s="56"/>
      <c r="G63" s="26" t="s">
        <v>262</v>
      </c>
      <c r="H63" s="2">
        <v>3</v>
      </c>
      <c r="I63" s="6">
        <v>779.55</v>
      </c>
    </row>
    <row r="64" spans="1:9" x14ac:dyDescent="0.25">
      <c r="A64" s="222"/>
      <c r="B64" s="232"/>
      <c r="C64" s="232" t="s">
        <v>611</v>
      </c>
      <c r="D64" s="69"/>
      <c r="E64" s="69"/>
      <c r="F64" s="56"/>
      <c r="G64" s="26"/>
      <c r="H64" s="2"/>
      <c r="I64" s="6"/>
    </row>
    <row r="65" spans="1:9" x14ac:dyDescent="0.25">
      <c r="A65" s="66"/>
      <c r="B65" s="50"/>
      <c r="C65" s="14" t="s">
        <v>117</v>
      </c>
      <c r="D65" s="13"/>
      <c r="E65" s="13"/>
      <c r="F65" s="67"/>
      <c r="G65" s="16"/>
      <c r="H65" s="13"/>
      <c r="I65" s="11">
        <f>SUM(I50:I64)</f>
        <v>366903.6</v>
      </c>
    </row>
    <row r="66" spans="1:9" x14ac:dyDescent="0.25">
      <c r="A66" s="2" t="s">
        <v>206</v>
      </c>
      <c r="B66" s="2"/>
      <c r="C66" s="2"/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B25" sqref="B25"/>
    </sheetView>
  </sheetViews>
  <sheetFormatPr defaultRowHeight="15" x14ac:dyDescent="0.25"/>
  <cols>
    <col min="1" max="1" width="5.42578125" customWidth="1"/>
    <col min="2" max="2" width="38" customWidth="1"/>
    <col min="3" max="3" width="12.28515625" customWidth="1"/>
    <col min="4" max="4" width="11" customWidth="1"/>
    <col min="6" max="6" width="13.7109375" customWidth="1"/>
    <col min="7" max="7" width="10.7109375" customWidth="1"/>
    <col min="8" max="8" width="11.5703125" customWidth="1"/>
    <col min="9" max="9" width="18.570312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612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613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614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615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10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4" t="s">
        <v>11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72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196</v>
      </c>
    </row>
    <row r="13" spans="1:9" x14ac:dyDescent="0.25">
      <c r="A13" s="6" t="s">
        <v>20</v>
      </c>
      <c r="B13" s="6"/>
      <c r="C13" s="6" t="s">
        <v>616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617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618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619</v>
      </c>
    </row>
    <row r="16" spans="1:9" x14ac:dyDescent="0.25">
      <c r="A16" s="9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4">
        <v>1</v>
      </c>
      <c r="B17" s="11" t="s">
        <v>35</v>
      </c>
      <c r="C17" s="14">
        <v>8.9600000000000009</v>
      </c>
      <c r="D17" s="38">
        <v>-69150.460000000006</v>
      </c>
      <c r="E17" s="16">
        <v>911931</v>
      </c>
      <c r="F17" s="13">
        <v>885446.46</v>
      </c>
      <c r="G17" s="16">
        <f t="shared" ref="G17:G24" si="0">E17</f>
        <v>911931</v>
      </c>
      <c r="H17" s="15">
        <f>D17+F17-G17</f>
        <v>-95635</v>
      </c>
      <c r="I17" s="16">
        <f>H17</f>
        <v>-95635</v>
      </c>
    </row>
    <row r="18" spans="1:9" x14ac:dyDescent="0.25">
      <c r="A18" s="66" t="s">
        <v>138</v>
      </c>
      <c r="B18" s="17" t="s">
        <v>37</v>
      </c>
      <c r="C18" s="61">
        <v>3.08</v>
      </c>
      <c r="D18" s="21"/>
      <c r="E18" s="243">
        <f>E17*34.4%</f>
        <v>313704.26399999997</v>
      </c>
      <c r="F18" s="21">
        <f>F17*34.4%</f>
        <v>304593.58223999996</v>
      </c>
      <c r="G18" s="162">
        <f t="shared" si="0"/>
        <v>313704.26399999997</v>
      </c>
      <c r="H18" s="21"/>
      <c r="I18" s="18"/>
    </row>
    <row r="19" spans="1:9" x14ac:dyDescent="0.25">
      <c r="A19" s="22" t="s">
        <v>38</v>
      </c>
      <c r="B19" s="5" t="s">
        <v>39</v>
      </c>
      <c r="C19" s="54">
        <v>1.47</v>
      </c>
      <c r="D19" s="33"/>
      <c r="E19" s="24">
        <f>E17*16.4%</f>
        <v>149556.68399999998</v>
      </c>
      <c r="F19" s="33">
        <f>F17*16.4%</f>
        <v>145213.21943999999</v>
      </c>
      <c r="G19" s="24">
        <f t="shared" si="0"/>
        <v>149556.68399999998</v>
      </c>
      <c r="H19" s="33"/>
      <c r="I19" s="23"/>
    </row>
    <row r="20" spans="1:9" x14ac:dyDescent="0.25">
      <c r="A20" s="22" t="s">
        <v>40</v>
      </c>
      <c r="B20" s="5" t="s">
        <v>41</v>
      </c>
      <c r="C20" s="54">
        <v>1.81</v>
      </c>
      <c r="D20" s="30"/>
      <c r="E20" s="24">
        <f>E17*20.2%</f>
        <v>184210.06199999998</v>
      </c>
      <c r="F20" s="33">
        <f>F17*20.2%</f>
        <v>178860.18491999997</v>
      </c>
      <c r="G20" s="29">
        <f t="shared" si="0"/>
        <v>184210.06199999998</v>
      </c>
      <c r="H20" s="206"/>
      <c r="I20" s="27"/>
    </row>
    <row r="21" spans="1:9" x14ac:dyDescent="0.25">
      <c r="A21" s="22" t="s">
        <v>42</v>
      </c>
      <c r="B21" s="5" t="s">
        <v>43</v>
      </c>
      <c r="C21" s="54">
        <v>2.6</v>
      </c>
      <c r="D21" s="30"/>
      <c r="E21" s="28">
        <f>E17*29%</f>
        <v>264459.99</v>
      </c>
      <c r="F21" s="30">
        <f>F17*29%</f>
        <v>256779.47339999996</v>
      </c>
      <c r="G21" s="28">
        <f t="shared" si="0"/>
        <v>264459.99</v>
      </c>
      <c r="H21" s="30"/>
      <c r="I21" s="27"/>
    </row>
    <row r="22" spans="1:9" x14ac:dyDescent="0.25">
      <c r="A22" s="22" t="s">
        <v>44</v>
      </c>
      <c r="B22" s="5" t="s">
        <v>620</v>
      </c>
      <c r="C22" s="159">
        <v>1755.25</v>
      </c>
      <c r="D22" s="30">
        <v>1000.62</v>
      </c>
      <c r="E22" s="28">
        <v>12403.88</v>
      </c>
      <c r="F22" s="30">
        <v>12136.58</v>
      </c>
      <c r="G22" s="28">
        <f t="shared" si="0"/>
        <v>12403.88</v>
      </c>
      <c r="H22" s="30">
        <f>D22+F22-E22</f>
        <v>733.32000000000153</v>
      </c>
      <c r="I22" s="27"/>
    </row>
    <row r="23" spans="1:9" x14ac:dyDescent="0.25">
      <c r="A23" s="22" t="s">
        <v>46</v>
      </c>
      <c r="B23" s="5" t="s">
        <v>47</v>
      </c>
      <c r="C23" s="159" t="s">
        <v>48</v>
      </c>
      <c r="D23" s="30">
        <v>-19715.22</v>
      </c>
      <c r="E23" s="43">
        <v>188582.64</v>
      </c>
      <c r="F23" s="8">
        <v>184639.66</v>
      </c>
      <c r="G23" s="61">
        <f>E23</f>
        <v>188582.64</v>
      </c>
      <c r="H23" s="30">
        <f>D23+F23-E23</f>
        <v>-23658.200000000012</v>
      </c>
      <c r="I23" s="39">
        <f>H23</f>
        <v>-23658.200000000012</v>
      </c>
    </row>
    <row r="24" spans="1:9" x14ac:dyDescent="0.25">
      <c r="A24" s="10" t="s">
        <v>49</v>
      </c>
      <c r="B24" s="10" t="s">
        <v>50</v>
      </c>
      <c r="C24" s="36">
        <v>4.5999999999999996</v>
      </c>
      <c r="D24" s="38">
        <v>-49914.51</v>
      </c>
      <c r="E24" s="35">
        <v>468178.8</v>
      </c>
      <c r="F24" s="10">
        <v>458643.72</v>
      </c>
      <c r="G24" s="35">
        <f t="shared" si="0"/>
        <v>468178.8</v>
      </c>
      <c r="H24" s="38">
        <f>D24+F24-G24</f>
        <v>-59449.590000000026</v>
      </c>
      <c r="I24" s="34">
        <f>H24</f>
        <v>-59449.590000000026</v>
      </c>
    </row>
    <row r="25" spans="1:9" x14ac:dyDescent="0.25">
      <c r="A25" s="10" t="s">
        <v>51</v>
      </c>
      <c r="B25" s="1" t="s">
        <v>140</v>
      </c>
      <c r="C25" s="36">
        <v>3.43</v>
      </c>
      <c r="D25" s="41">
        <v>-45411.35</v>
      </c>
      <c r="E25" s="212">
        <v>345235.84</v>
      </c>
      <c r="F25" s="41">
        <v>336315.7</v>
      </c>
      <c r="G25" s="165">
        <f>E25</f>
        <v>345235.84</v>
      </c>
      <c r="H25" s="41">
        <f>D25-E25+F25</f>
        <v>-54331.489999999991</v>
      </c>
      <c r="I25" s="263">
        <f>H25</f>
        <v>-54331.489999999991</v>
      </c>
    </row>
    <row r="26" spans="1:9" x14ac:dyDescent="0.25">
      <c r="A26" s="10" t="s">
        <v>56</v>
      </c>
      <c r="B26" s="10" t="s">
        <v>621</v>
      </c>
      <c r="C26" s="14">
        <v>1.82</v>
      </c>
      <c r="D26" s="10">
        <v>266501.56</v>
      </c>
      <c r="E26" s="10">
        <v>185235.24</v>
      </c>
      <c r="F26" s="35">
        <f>F27+F28+F29</f>
        <v>96229.97</v>
      </c>
      <c r="G26" s="10">
        <f>G27</f>
        <v>129774.59</v>
      </c>
      <c r="H26" s="10">
        <f>D26+F26-G26</f>
        <v>232956.94000000003</v>
      </c>
      <c r="I26" s="42"/>
    </row>
    <row r="27" spans="1:9" x14ac:dyDescent="0.25">
      <c r="A27" s="8"/>
      <c r="B27" s="17" t="s">
        <v>622</v>
      </c>
      <c r="C27" s="50"/>
      <c r="D27" s="38"/>
      <c r="E27" s="35">
        <v>0</v>
      </c>
      <c r="F27" s="10">
        <v>181912.41</v>
      </c>
      <c r="G27" s="35">
        <f>I63</f>
        <v>129774.59</v>
      </c>
      <c r="H27" s="10"/>
      <c r="I27" s="34"/>
    </row>
    <row r="28" spans="1:9" x14ac:dyDescent="0.25">
      <c r="A28" s="10"/>
      <c r="B28" s="8" t="s">
        <v>54</v>
      </c>
      <c r="C28" s="36"/>
      <c r="D28" s="38"/>
      <c r="E28" s="35">
        <v>0</v>
      </c>
      <c r="F28" s="10">
        <v>0</v>
      </c>
      <c r="G28" s="35"/>
      <c r="H28" s="10"/>
      <c r="I28" s="38"/>
    </row>
    <row r="29" spans="1:9" x14ac:dyDescent="0.25">
      <c r="A29" s="10"/>
      <c r="B29" s="17" t="s">
        <v>367</v>
      </c>
      <c r="C29" s="36"/>
      <c r="D29" s="38"/>
      <c r="E29" s="35"/>
      <c r="F29" s="10">
        <v>-85682.44</v>
      </c>
      <c r="G29" s="35"/>
      <c r="H29" s="10"/>
      <c r="I29" s="34"/>
    </row>
    <row r="30" spans="1:9" x14ac:dyDescent="0.25">
      <c r="A30" s="10" t="s">
        <v>60</v>
      </c>
      <c r="B30" s="11" t="s">
        <v>475</v>
      </c>
      <c r="C30" s="37">
        <v>0</v>
      </c>
      <c r="D30" s="38">
        <v>-85694.19</v>
      </c>
      <c r="E30" s="35">
        <v>0</v>
      </c>
      <c r="F30" s="38">
        <f>D30+F31</f>
        <v>-85682.44</v>
      </c>
      <c r="G30" s="10">
        <v>0</v>
      </c>
      <c r="H30" s="38">
        <v>0</v>
      </c>
      <c r="I30" s="34"/>
    </row>
    <row r="31" spans="1:9" x14ac:dyDescent="0.25">
      <c r="A31" s="10"/>
      <c r="B31" s="8" t="s">
        <v>53</v>
      </c>
      <c r="C31" s="193"/>
      <c r="D31" s="38"/>
      <c r="E31" s="35"/>
      <c r="F31" s="10">
        <v>11.75</v>
      </c>
      <c r="G31" s="35"/>
      <c r="H31" s="38"/>
      <c r="I31" s="34"/>
    </row>
    <row r="32" spans="1:9" x14ac:dyDescent="0.25">
      <c r="A32" s="8"/>
      <c r="B32" s="8" t="s">
        <v>58</v>
      </c>
      <c r="C32" s="28">
        <v>0</v>
      </c>
      <c r="D32" s="8"/>
      <c r="E32" s="9"/>
      <c r="F32" s="8">
        <v>-85682.44</v>
      </c>
      <c r="G32" s="9"/>
      <c r="H32" s="8"/>
      <c r="I32" s="27"/>
    </row>
    <row r="33" spans="1:9" x14ac:dyDescent="0.25">
      <c r="A33" s="1" t="s">
        <v>59</v>
      </c>
      <c r="B33" s="1"/>
      <c r="C33" s="1"/>
      <c r="D33" s="45"/>
      <c r="E33" s="1"/>
      <c r="F33" s="1"/>
      <c r="G33" s="2"/>
      <c r="H33" s="2"/>
      <c r="I33" s="2"/>
    </row>
    <row r="34" spans="1:9" x14ac:dyDescent="0.25">
      <c r="A34" s="63" t="s">
        <v>355</v>
      </c>
      <c r="B34" s="47" t="s">
        <v>623</v>
      </c>
      <c r="C34" s="5" t="s">
        <v>65</v>
      </c>
      <c r="D34" s="47" t="s">
        <v>63</v>
      </c>
      <c r="E34" s="54" t="s">
        <v>64</v>
      </c>
      <c r="F34" s="5" t="s">
        <v>62</v>
      </c>
      <c r="G34" s="5" t="s">
        <v>151</v>
      </c>
      <c r="H34" s="46" t="s">
        <v>195</v>
      </c>
      <c r="I34" s="47"/>
    </row>
    <row r="35" spans="1:9" x14ac:dyDescent="0.25">
      <c r="A35" s="17"/>
      <c r="B35" s="51" t="s">
        <v>69</v>
      </c>
      <c r="C35" s="17" t="s">
        <v>67</v>
      </c>
      <c r="D35" s="51" t="s">
        <v>23</v>
      </c>
      <c r="E35" s="61" t="s">
        <v>312</v>
      </c>
      <c r="F35" s="17" t="s">
        <v>30</v>
      </c>
      <c r="G35" s="17" t="s">
        <v>435</v>
      </c>
      <c r="H35" s="50"/>
      <c r="I35" s="51"/>
    </row>
    <row r="36" spans="1:9" x14ac:dyDescent="0.25">
      <c r="A36" s="11"/>
      <c r="C36" s="30">
        <v>7860.9</v>
      </c>
      <c r="D36" s="9">
        <v>9600</v>
      </c>
      <c r="E36" s="30">
        <f>D36*15%</f>
        <v>1440</v>
      </c>
      <c r="F36" s="28">
        <v>0</v>
      </c>
      <c r="G36" s="30"/>
      <c r="H36" s="28">
        <f>C36+D36-E36-G37</f>
        <v>8160.0000000000018</v>
      </c>
      <c r="I36" s="27"/>
    </row>
    <row r="37" spans="1:9" x14ac:dyDescent="0.25">
      <c r="A37" s="11"/>
      <c r="B37" s="264" t="s">
        <v>624</v>
      </c>
      <c r="C37" s="21"/>
      <c r="D37" s="61"/>
      <c r="E37" s="21"/>
      <c r="F37" s="162"/>
      <c r="G37" s="21">
        <v>7860.9</v>
      </c>
      <c r="H37" s="162"/>
      <c r="I37" s="51"/>
    </row>
    <row r="38" spans="1:9" x14ac:dyDescent="0.25">
      <c r="A38" s="1" t="s">
        <v>248</v>
      </c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5" t="s">
        <v>72</v>
      </c>
      <c r="B39" s="46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249</v>
      </c>
      <c r="H39" s="5" t="s">
        <v>79</v>
      </c>
      <c r="I39" s="5" t="s">
        <v>19</v>
      </c>
    </row>
    <row r="40" spans="1:9" x14ac:dyDescent="0.25">
      <c r="A40" s="6"/>
      <c r="B40" s="49" t="s">
        <v>80</v>
      </c>
      <c r="C40" s="6" t="s">
        <v>81</v>
      </c>
      <c r="D40" s="43" t="s">
        <v>82</v>
      </c>
      <c r="E40" s="6" t="s">
        <v>83</v>
      </c>
      <c r="F40" s="43" t="s">
        <v>84</v>
      </c>
      <c r="G40" s="6" t="s">
        <v>85</v>
      </c>
      <c r="H40" s="6" t="s">
        <v>86</v>
      </c>
      <c r="I40" s="6" t="s">
        <v>87</v>
      </c>
    </row>
    <row r="41" spans="1:9" x14ac:dyDescent="0.25">
      <c r="A41" s="17"/>
      <c r="B41" s="50"/>
      <c r="C41" s="17"/>
      <c r="D41" s="61"/>
      <c r="E41" s="17"/>
      <c r="F41" s="61" t="s">
        <v>88</v>
      </c>
      <c r="G41" s="17" t="s">
        <v>89</v>
      </c>
      <c r="H41" s="17"/>
      <c r="I41" s="17" t="s">
        <v>625</v>
      </c>
    </row>
    <row r="42" spans="1:9" x14ac:dyDescent="0.25">
      <c r="A42" s="6"/>
      <c r="B42" s="49"/>
      <c r="C42" s="8"/>
      <c r="D42" s="8"/>
      <c r="E42" s="43"/>
      <c r="F42" s="8"/>
      <c r="G42" s="61"/>
      <c r="H42" s="8"/>
      <c r="I42" s="6"/>
    </row>
    <row r="43" spans="1:9" x14ac:dyDescent="0.25">
      <c r="A43" s="5">
        <v>1</v>
      </c>
      <c r="B43" s="5" t="s">
        <v>91</v>
      </c>
      <c r="C43" s="159" t="s">
        <v>92</v>
      </c>
      <c r="D43" s="5">
        <v>-90512.14</v>
      </c>
      <c r="E43" s="188">
        <v>692699.94</v>
      </c>
      <c r="F43" s="5">
        <v>666207.84</v>
      </c>
      <c r="G43" s="188">
        <f>E43</f>
        <v>692699.94</v>
      </c>
      <c r="H43" s="6">
        <f>D43+F43-G43</f>
        <v>-117004.23999999999</v>
      </c>
      <c r="I43" s="5">
        <f>H43</f>
        <v>-117004.23999999999</v>
      </c>
    </row>
    <row r="44" spans="1:9" x14ac:dyDescent="0.25">
      <c r="A44" s="8"/>
      <c r="B44" s="8" t="s">
        <v>487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160</v>
      </c>
      <c r="C45" s="1" t="s">
        <v>96</v>
      </c>
      <c r="D45" s="6">
        <v>-279185.34000000003</v>
      </c>
      <c r="E45" s="2">
        <v>1022328.1</v>
      </c>
      <c r="F45" s="6">
        <v>1026021.03</v>
      </c>
      <c r="G45" s="2">
        <f>E45</f>
        <v>1022328.1</v>
      </c>
      <c r="H45" s="6">
        <f>D45+F45-G45</f>
        <v>-275492.41000000003</v>
      </c>
      <c r="I45" s="17">
        <f>H45</f>
        <v>-275492.41000000003</v>
      </c>
    </row>
    <row r="46" spans="1:9" x14ac:dyDescent="0.25">
      <c r="A46" s="8"/>
      <c r="B46" s="8" t="s">
        <v>487</v>
      </c>
      <c r="C46" s="35" t="s">
        <v>94</v>
      </c>
      <c r="D46" s="8"/>
      <c r="E46" s="9"/>
      <c r="F46" s="8"/>
      <c r="G46" s="9"/>
      <c r="H46" s="8"/>
      <c r="I46" s="8"/>
    </row>
    <row r="47" spans="1:9" x14ac:dyDescent="0.25">
      <c r="A47" s="8">
        <v>3</v>
      </c>
      <c r="B47" s="8" t="s">
        <v>99</v>
      </c>
      <c r="C47" s="35" t="s">
        <v>100</v>
      </c>
      <c r="D47" s="8">
        <v>-618456.56999999995</v>
      </c>
      <c r="E47" s="9">
        <v>2795290.54</v>
      </c>
      <c r="F47" s="8">
        <v>2667753.5699999998</v>
      </c>
      <c r="G47" s="9">
        <f>E47</f>
        <v>2795290.54</v>
      </c>
      <c r="H47" s="8">
        <f>D47+F47-G47</f>
        <v>-745993.54</v>
      </c>
      <c r="I47" s="8">
        <f>H47</f>
        <v>-745993.54</v>
      </c>
    </row>
    <row r="48" spans="1:9" x14ac:dyDescent="0.25">
      <c r="A48" s="1" t="s">
        <v>251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" t="s">
        <v>252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47" t="s">
        <v>374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/>
      <c r="H51" s="56" t="s">
        <v>85</v>
      </c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17"/>
      <c r="H52" s="56"/>
      <c r="I52" s="6"/>
    </row>
    <row r="53" spans="1:9" x14ac:dyDescent="0.25">
      <c r="A53" s="242"/>
      <c r="B53" s="63"/>
      <c r="C53" s="4" t="s">
        <v>626</v>
      </c>
      <c r="D53" s="4"/>
      <c r="E53" s="4"/>
      <c r="F53" s="43"/>
      <c r="G53" s="5"/>
      <c r="H53" s="54"/>
      <c r="I53" s="5"/>
    </row>
    <row r="54" spans="1:9" x14ac:dyDescent="0.25">
      <c r="A54" s="236" t="s">
        <v>111</v>
      </c>
      <c r="B54" s="65">
        <v>43151</v>
      </c>
      <c r="C54" s="43" t="s">
        <v>627</v>
      </c>
      <c r="D54" s="43"/>
      <c r="E54" s="43"/>
      <c r="F54" s="43"/>
      <c r="G54" s="26" t="s">
        <v>116</v>
      </c>
      <c r="H54" s="43">
        <v>6.4500000000000002E-2</v>
      </c>
      <c r="I54" s="6">
        <v>8346.1</v>
      </c>
    </row>
    <row r="55" spans="1:9" x14ac:dyDescent="0.25">
      <c r="A55" s="236" t="s">
        <v>114</v>
      </c>
      <c r="B55" s="65">
        <v>43159</v>
      </c>
      <c r="C55" s="43" t="s">
        <v>628</v>
      </c>
      <c r="D55" s="43"/>
      <c r="E55" s="43"/>
      <c r="F55" s="43"/>
      <c r="G55" s="26" t="s">
        <v>116</v>
      </c>
      <c r="H55" s="43">
        <v>0.01</v>
      </c>
      <c r="I55" s="6">
        <v>2488.62</v>
      </c>
    </row>
    <row r="56" spans="1:9" x14ac:dyDescent="0.25">
      <c r="A56" s="236" t="s">
        <v>170</v>
      </c>
      <c r="B56" s="65">
        <v>43186</v>
      </c>
      <c r="C56" s="69" t="s">
        <v>112</v>
      </c>
      <c r="D56" s="43"/>
      <c r="E56" s="43"/>
      <c r="F56" s="43"/>
      <c r="G56" s="26" t="s">
        <v>113</v>
      </c>
      <c r="H56" s="43">
        <v>117</v>
      </c>
      <c r="I56" s="6">
        <v>23400</v>
      </c>
    </row>
    <row r="57" spans="1:9" x14ac:dyDescent="0.25">
      <c r="A57" s="236" t="s">
        <v>173</v>
      </c>
      <c r="B57" s="65">
        <v>43368</v>
      </c>
      <c r="C57" s="69" t="s">
        <v>629</v>
      </c>
      <c r="D57" s="43"/>
      <c r="E57" s="43"/>
      <c r="F57" s="43"/>
      <c r="G57" s="26" t="s">
        <v>630</v>
      </c>
      <c r="H57" s="43">
        <v>4</v>
      </c>
      <c r="I57" s="6">
        <v>6500</v>
      </c>
    </row>
    <row r="58" spans="1:9" x14ac:dyDescent="0.25">
      <c r="A58" s="68" t="s">
        <v>257</v>
      </c>
      <c r="B58" s="65">
        <v>43371</v>
      </c>
      <c r="C58" s="69" t="s">
        <v>624</v>
      </c>
      <c r="D58" s="43"/>
      <c r="E58" s="43"/>
      <c r="F58" s="43"/>
      <c r="G58" s="26" t="s">
        <v>205</v>
      </c>
      <c r="H58" s="43">
        <v>1</v>
      </c>
      <c r="I58" s="6">
        <v>38593.08</v>
      </c>
    </row>
    <row r="59" spans="1:9" x14ac:dyDescent="0.25">
      <c r="A59" s="68" t="s">
        <v>406</v>
      </c>
      <c r="B59" s="65">
        <v>43404</v>
      </c>
      <c r="C59" s="65" t="s">
        <v>631</v>
      </c>
      <c r="D59" s="43"/>
      <c r="E59" s="43"/>
      <c r="F59" s="43"/>
      <c r="G59" s="26" t="s">
        <v>169</v>
      </c>
      <c r="H59" s="43">
        <v>5.8</v>
      </c>
      <c r="I59" s="6">
        <v>18776.79</v>
      </c>
    </row>
    <row r="60" spans="1:9" x14ac:dyDescent="0.25">
      <c r="A60" s="68" t="s">
        <v>408</v>
      </c>
      <c r="B60" s="65">
        <v>43404</v>
      </c>
      <c r="C60" s="69" t="s">
        <v>112</v>
      </c>
      <c r="D60" s="43"/>
      <c r="E60" s="43"/>
      <c r="F60" s="43"/>
      <c r="G60" s="26" t="s">
        <v>116</v>
      </c>
      <c r="H60" s="43">
        <v>131</v>
      </c>
      <c r="I60" s="6">
        <v>26200</v>
      </c>
    </row>
    <row r="61" spans="1:9" x14ac:dyDescent="0.25">
      <c r="A61" s="68" t="s">
        <v>561</v>
      </c>
      <c r="B61" s="65">
        <v>43434</v>
      </c>
      <c r="C61" s="69" t="s">
        <v>632</v>
      </c>
      <c r="D61" s="43"/>
      <c r="E61" s="43"/>
      <c r="F61" s="43"/>
      <c r="G61" s="26" t="s">
        <v>584</v>
      </c>
      <c r="H61" s="43">
        <v>1</v>
      </c>
      <c r="I61" s="6">
        <v>4494</v>
      </c>
    </row>
    <row r="62" spans="1:9" x14ac:dyDescent="0.25">
      <c r="A62" s="68" t="s">
        <v>633</v>
      </c>
      <c r="B62" s="65">
        <v>43463</v>
      </c>
      <c r="C62" s="69" t="s">
        <v>634</v>
      </c>
      <c r="D62" s="43"/>
      <c r="E62" s="43"/>
      <c r="F62" s="43"/>
      <c r="G62" s="26" t="s">
        <v>205</v>
      </c>
      <c r="H62" s="43">
        <v>2</v>
      </c>
      <c r="I62" s="6">
        <v>976</v>
      </c>
    </row>
    <row r="63" spans="1:9" x14ac:dyDescent="0.25">
      <c r="A63" s="237"/>
      <c r="B63" s="17"/>
      <c r="C63" s="13" t="s">
        <v>117</v>
      </c>
      <c r="D63" s="13"/>
      <c r="E63" s="13"/>
      <c r="F63" s="13"/>
      <c r="G63" s="16"/>
      <c r="H63" s="13"/>
      <c r="I63" s="11">
        <f>SUM(I53:I62)</f>
        <v>129774.59</v>
      </c>
    </row>
    <row r="64" spans="1:9" x14ac:dyDescent="0.25">
      <c r="A64" s="43"/>
      <c r="B64" s="43"/>
      <c r="C64" s="43"/>
      <c r="D64" s="43"/>
      <c r="E64" s="43"/>
      <c r="F64" s="43"/>
      <c r="G64" s="166"/>
      <c r="H64" s="43"/>
      <c r="I64" s="166"/>
    </row>
    <row r="65" spans="1:9" x14ac:dyDescent="0.25">
      <c r="A65" s="68"/>
      <c r="B65" s="43"/>
      <c r="C65" s="4"/>
      <c r="D65" s="4"/>
      <c r="E65" s="4"/>
      <c r="F65" s="4"/>
      <c r="G65" s="19"/>
      <c r="H65" s="4"/>
      <c r="I65" s="4"/>
    </row>
    <row r="66" spans="1:9" x14ac:dyDescent="0.25">
      <c r="A66" s="2" t="s">
        <v>206</v>
      </c>
      <c r="B66" s="2"/>
      <c r="C66" s="2"/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8" spans="1:9" x14ac:dyDescent="0.25">
      <c r="A68" s="2"/>
      <c r="B68" s="2"/>
    </row>
  </sheetData>
  <pageMargins left="0.7" right="0.7" top="0.75" bottom="0.75" header="0.3" footer="0.3"/>
  <pageSetup paperSize="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25" workbookViewId="0">
      <selection activeCell="F71" sqref="F71"/>
    </sheetView>
  </sheetViews>
  <sheetFormatPr defaultRowHeight="15" x14ac:dyDescent="0.25"/>
  <cols>
    <col min="1" max="1" width="5.85546875" customWidth="1"/>
    <col min="2" max="2" width="30.7109375" customWidth="1"/>
    <col min="3" max="3" width="12.42578125" customWidth="1"/>
    <col min="4" max="4" width="10.28515625" customWidth="1"/>
    <col min="5" max="5" width="10.85546875" customWidth="1"/>
    <col min="6" max="6" width="11.85546875" customWidth="1"/>
    <col min="7" max="7" width="13.5703125" customWidth="1"/>
    <col min="8" max="8" width="12" customWidth="1"/>
    <col min="9" max="9" width="18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635</v>
      </c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636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637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638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639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131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/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53"/>
      <c r="E18" s="160" t="s">
        <v>72</v>
      </c>
      <c r="F18" s="63" t="s">
        <v>72</v>
      </c>
      <c r="G18" s="63"/>
      <c r="H18" s="53" t="s">
        <v>72</v>
      </c>
      <c r="I18" s="160"/>
    </row>
    <row r="19" spans="1:9" x14ac:dyDescent="0.25">
      <c r="A19" s="14"/>
      <c r="B19" s="11" t="s">
        <v>187</v>
      </c>
      <c r="C19" s="11">
        <v>8.9600000000000009</v>
      </c>
      <c r="D19" s="16">
        <v>-76342.66</v>
      </c>
      <c r="E19" s="16">
        <v>469240.83</v>
      </c>
      <c r="F19" s="13">
        <v>476827.35</v>
      </c>
      <c r="G19" s="16">
        <f t="shared" ref="G19:G24" si="0">E19</f>
        <v>469240.83</v>
      </c>
      <c r="H19" s="15">
        <f>D19+F19-G19</f>
        <v>-68756.140000000072</v>
      </c>
      <c r="I19" s="16">
        <f>H19</f>
        <v>-68756.140000000072</v>
      </c>
    </row>
    <row r="20" spans="1:9" x14ac:dyDescent="0.25">
      <c r="A20" s="66" t="s">
        <v>138</v>
      </c>
      <c r="B20" s="17" t="s">
        <v>37</v>
      </c>
      <c r="C20" s="61">
        <v>3.08</v>
      </c>
      <c r="D20" s="21"/>
      <c r="E20" s="187">
        <f>E19*34.4%</f>
        <v>161418.84552</v>
      </c>
      <c r="F20" s="21">
        <f>F19*34.4%</f>
        <v>164028.60839999997</v>
      </c>
      <c r="G20" s="21">
        <f t="shared" si="0"/>
        <v>161418.84552</v>
      </c>
      <c r="H20" s="20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33">
        <f>E19*16.4%</f>
        <v>76955.496119999996</v>
      </c>
      <c r="F21" s="33">
        <f>F19*16.4%</f>
        <v>78199.685399999988</v>
      </c>
      <c r="G21" s="33">
        <f t="shared" si="0"/>
        <v>76955.496119999996</v>
      </c>
      <c r="H21" s="25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0"/>
      <c r="E22" s="33">
        <f>E19*20.2%</f>
        <v>94786.647660000002</v>
      </c>
      <c r="F22" s="33">
        <f>F19*20.2%</f>
        <v>96319.124699999986</v>
      </c>
      <c r="G22" s="30">
        <f>E22</f>
        <v>94786.647660000002</v>
      </c>
      <c r="H22" s="235"/>
      <c r="I22" s="30"/>
    </row>
    <row r="23" spans="1:9" x14ac:dyDescent="0.25">
      <c r="A23" s="31" t="s">
        <v>42</v>
      </c>
      <c r="B23" s="8" t="s">
        <v>43</v>
      </c>
      <c r="C23" s="48">
        <v>2.6</v>
      </c>
      <c r="D23" s="33"/>
      <c r="E23" s="33">
        <f>E19*29%</f>
        <v>136079.8407</v>
      </c>
      <c r="F23" s="33">
        <f>F19*29%</f>
        <v>138279.93149999998</v>
      </c>
      <c r="G23" s="25">
        <f t="shared" si="0"/>
        <v>136079.8407</v>
      </c>
      <c r="H23" s="25"/>
      <c r="I23" s="33"/>
    </row>
    <row r="24" spans="1:9" x14ac:dyDescent="0.25">
      <c r="A24" s="66" t="s">
        <v>44</v>
      </c>
      <c r="B24" s="17" t="s">
        <v>45</v>
      </c>
      <c r="C24" s="61">
        <v>1755.25</v>
      </c>
      <c r="D24" s="30">
        <v>82.89</v>
      </c>
      <c r="E24" s="30">
        <v>12270.57</v>
      </c>
      <c r="F24" s="30">
        <v>12456.49</v>
      </c>
      <c r="G24" s="28">
        <f t="shared" si="0"/>
        <v>12270.57</v>
      </c>
      <c r="H24" s="29">
        <f>D24+F24-G24</f>
        <v>268.80999999999949</v>
      </c>
      <c r="I24" s="30"/>
    </row>
    <row r="25" spans="1:9" x14ac:dyDescent="0.25">
      <c r="A25" s="66" t="s">
        <v>46</v>
      </c>
      <c r="B25" s="17" t="s">
        <v>47</v>
      </c>
      <c r="C25" s="61" t="s">
        <v>48</v>
      </c>
      <c r="D25" s="5">
        <v>-7231.5</v>
      </c>
      <c r="E25" s="5">
        <v>38393.1</v>
      </c>
      <c r="F25" s="5">
        <v>38378.94</v>
      </c>
      <c r="G25" s="43">
        <f>E25</f>
        <v>38393.1</v>
      </c>
      <c r="H25" s="46">
        <f>D25+F25-G25</f>
        <v>-7245.6599999999962</v>
      </c>
      <c r="I25" s="63">
        <f>H25</f>
        <v>-7245.6599999999962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-56609.54</v>
      </c>
      <c r="E26" s="10">
        <v>240907.98</v>
      </c>
      <c r="F26" s="10">
        <v>247148.52</v>
      </c>
      <c r="G26" s="35">
        <f>E26</f>
        <v>240907.98</v>
      </c>
      <c r="H26" s="37">
        <f>D26+F26-G26</f>
        <v>-50369.000000000029</v>
      </c>
      <c r="I26" s="38">
        <f>H26</f>
        <v>-50369.000000000029</v>
      </c>
    </row>
    <row r="27" spans="1:9" x14ac:dyDescent="0.25">
      <c r="A27" s="63" t="s">
        <v>51</v>
      </c>
      <c r="B27" s="11" t="s">
        <v>310</v>
      </c>
      <c r="C27" s="13">
        <v>1.82</v>
      </c>
      <c r="D27" s="15">
        <v>167423.38</v>
      </c>
      <c r="E27" s="11">
        <v>95314.4</v>
      </c>
      <c r="F27" s="11">
        <f>F28+F29</f>
        <v>103829.29000000001</v>
      </c>
      <c r="G27" s="11">
        <f>I62</f>
        <v>135139.19</v>
      </c>
      <c r="H27" s="15">
        <f>D27+F27-G27</f>
        <v>136113.48000000004</v>
      </c>
      <c r="I27" s="41"/>
    </row>
    <row r="28" spans="1:9" x14ac:dyDescent="0.25">
      <c r="A28" s="11"/>
      <c r="B28" s="8" t="s">
        <v>53</v>
      </c>
      <c r="C28" s="13"/>
      <c r="D28" s="15"/>
      <c r="E28" s="11"/>
      <c r="F28" s="11">
        <v>102924.8</v>
      </c>
      <c r="G28" s="13">
        <f>G27</f>
        <v>135139.19</v>
      </c>
      <c r="H28" s="15"/>
      <c r="I28" s="38"/>
    </row>
    <row r="29" spans="1:9" x14ac:dyDescent="0.25">
      <c r="A29" s="11"/>
      <c r="B29" s="8" t="s">
        <v>54</v>
      </c>
      <c r="C29" s="13"/>
      <c r="D29" s="15"/>
      <c r="E29" s="11"/>
      <c r="F29" s="11">
        <v>904.49</v>
      </c>
      <c r="G29" s="13"/>
      <c r="H29" s="15"/>
      <c r="I29" s="41"/>
    </row>
    <row r="30" spans="1:9" x14ac:dyDescent="0.25">
      <c r="A30" s="10" t="s">
        <v>56</v>
      </c>
      <c r="B30" s="10" t="s">
        <v>144</v>
      </c>
      <c r="C30" s="35"/>
      <c r="D30" s="36" t="s">
        <v>72</v>
      </c>
      <c r="E30" s="10"/>
      <c r="F30" s="10"/>
      <c r="G30" s="35" t="s">
        <v>145</v>
      </c>
      <c r="H30" s="36" t="s">
        <v>72</v>
      </c>
      <c r="I30" s="38"/>
    </row>
    <row r="31" spans="1:9" x14ac:dyDescent="0.25">
      <c r="A31" s="11"/>
      <c r="B31" s="11" t="s">
        <v>146</v>
      </c>
      <c r="C31" s="16"/>
      <c r="D31" s="14">
        <v>86498.66</v>
      </c>
      <c r="E31" s="11">
        <v>0</v>
      </c>
      <c r="F31" s="11">
        <f>F32</f>
        <v>27.94</v>
      </c>
      <c r="G31" s="13">
        <f>I65</f>
        <v>0</v>
      </c>
      <c r="H31" s="14">
        <f>D31+F31-G31</f>
        <v>86526.6</v>
      </c>
      <c r="I31" s="16"/>
    </row>
    <row r="32" spans="1:9" x14ac:dyDescent="0.25">
      <c r="A32" s="8"/>
      <c r="B32" s="8" t="s">
        <v>53</v>
      </c>
      <c r="C32" s="28"/>
      <c r="D32" s="7"/>
      <c r="E32" s="8">
        <v>0</v>
      </c>
      <c r="F32" s="10">
        <v>27.94</v>
      </c>
      <c r="G32" s="9"/>
      <c r="H32" s="7"/>
      <c r="I32" s="30"/>
    </row>
    <row r="33" spans="1:9" x14ac:dyDescent="0.25">
      <c r="A33" s="1" t="s">
        <v>59</v>
      </c>
      <c r="B33" s="1"/>
      <c r="C33" s="1"/>
      <c r="D33" s="45"/>
      <c r="E33" s="1"/>
      <c r="F33" s="1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24278.55</v>
      </c>
      <c r="D36" s="8">
        <v>9600</v>
      </c>
      <c r="E36" s="162">
        <f>D36*15%</f>
        <v>1440</v>
      </c>
      <c r="F36" s="21">
        <f>C36+(D36-E36)</f>
        <v>32438.55</v>
      </c>
      <c r="G36" s="21"/>
      <c r="H36" s="162">
        <f>F36</f>
        <v>32438.55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46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49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17" t="s">
        <v>89</v>
      </c>
      <c r="H40" s="17"/>
      <c r="I40" s="6" t="s">
        <v>512</v>
      </c>
    </row>
    <row r="41" spans="1:9" x14ac:dyDescent="0.25">
      <c r="A41" s="5">
        <v>1</v>
      </c>
      <c r="B41" s="5" t="s">
        <v>91</v>
      </c>
      <c r="C41" s="159" t="s">
        <v>92</v>
      </c>
      <c r="D41" s="5">
        <v>-233273.68</v>
      </c>
      <c r="E41" s="188">
        <v>437261.1</v>
      </c>
      <c r="F41" s="5">
        <v>450735.09</v>
      </c>
      <c r="G41" s="188">
        <f>E41</f>
        <v>437261.1</v>
      </c>
      <c r="H41" s="6">
        <f>D41+F41-G41</f>
        <v>-219799.68999999994</v>
      </c>
      <c r="I41" s="5">
        <f>H41</f>
        <v>-219799.68999999994</v>
      </c>
    </row>
    <row r="42" spans="1:9" x14ac:dyDescent="0.25">
      <c r="A42" s="8"/>
      <c r="B42" s="8" t="s">
        <v>93</v>
      </c>
      <c r="C42" s="35" t="s">
        <v>94</v>
      </c>
      <c r="D42" s="8"/>
      <c r="E42" s="59"/>
      <c r="F42" s="8"/>
      <c r="G42" s="59"/>
      <c r="H42" s="8"/>
      <c r="I42" s="8"/>
    </row>
    <row r="43" spans="1:9" x14ac:dyDescent="0.25">
      <c r="A43" s="6">
        <v>2</v>
      </c>
      <c r="B43" s="6" t="s">
        <v>95</v>
      </c>
      <c r="C43" s="1" t="s">
        <v>96</v>
      </c>
      <c r="D43" s="6">
        <v>-464187.29</v>
      </c>
      <c r="E43" s="2">
        <v>610709.62</v>
      </c>
      <c r="F43" s="6">
        <v>661421.38</v>
      </c>
      <c r="G43" s="2">
        <f>E43</f>
        <v>610709.62</v>
      </c>
      <c r="H43" s="6">
        <f>D43+F43-G43</f>
        <v>-413475.52999999997</v>
      </c>
      <c r="I43" s="6">
        <f>H43</f>
        <v>-413475.52999999997</v>
      </c>
    </row>
    <row r="44" spans="1:9" x14ac:dyDescent="0.25">
      <c r="A44" s="8"/>
      <c r="B44" s="8" t="s">
        <v>97</v>
      </c>
      <c r="C44" s="35"/>
      <c r="D44" s="5" t="s">
        <v>72</v>
      </c>
      <c r="E44" s="9"/>
      <c r="F44" s="8"/>
      <c r="G44" s="9"/>
      <c r="H44" s="5" t="s">
        <v>72</v>
      </c>
      <c r="I44" s="5" t="str">
        <f>H44</f>
        <v xml:space="preserve"> </v>
      </c>
    </row>
    <row r="45" spans="1:9" x14ac:dyDescent="0.25">
      <c r="A45" s="8"/>
      <c r="B45" s="8" t="s">
        <v>198</v>
      </c>
      <c r="C45" s="35" t="s">
        <v>94</v>
      </c>
      <c r="D45" s="5"/>
      <c r="E45" s="9"/>
      <c r="F45" s="8"/>
      <c r="G45" s="9"/>
      <c r="H45" s="5"/>
      <c r="I45" s="5"/>
    </row>
    <row r="46" spans="1:9" x14ac:dyDescent="0.25">
      <c r="A46" s="8">
        <v>3</v>
      </c>
      <c r="B46" s="8" t="s">
        <v>99</v>
      </c>
      <c r="C46" s="35" t="s">
        <v>100</v>
      </c>
      <c r="D46" s="8">
        <v>-629006.56000000006</v>
      </c>
      <c r="E46" s="9">
        <v>1060633.58</v>
      </c>
      <c r="F46" s="8">
        <v>1051329.7</v>
      </c>
      <c r="G46" s="9">
        <f>E46</f>
        <v>1060633.58</v>
      </c>
      <c r="H46" s="8">
        <f>D46+F46-G46</f>
        <v>-638310.44000000018</v>
      </c>
      <c r="I46" s="8">
        <f>H46</f>
        <v>-638310.44000000018</v>
      </c>
    </row>
    <row r="47" spans="1:9" x14ac:dyDescent="0.25">
      <c r="A47" s="1" t="s">
        <v>251</v>
      </c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4" t="s">
        <v>252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47" t="s">
        <v>105</v>
      </c>
      <c r="H49" s="47" t="s">
        <v>106</v>
      </c>
      <c r="I49" s="5" t="s">
        <v>107</v>
      </c>
    </row>
    <row r="50" spans="1:9" x14ac:dyDescent="0.25">
      <c r="A50" s="50" t="s">
        <v>108</v>
      </c>
      <c r="B50" s="17"/>
      <c r="C50" s="49"/>
      <c r="D50" s="43"/>
      <c r="E50" s="43"/>
      <c r="F50" s="56"/>
      <c r="G50" s="56"/>
      <c r="H50" s="56"/>
      <c r="I50" s="6" t="s">
        <v>109</v>
      </c>
    </row>
    <row r="51" spans="1:9" x14ac:dyDescent="0.25">
      <c r="A51" s="228"/>
      <c r="B51" s="39"/>
      <c r="C51" s="53" t="s">
        <v>110</v>
      </c>
      <c r="D51" s="159"/>
      <c r="E51" s="159"/>
      <c r="F51" s="47"/>
      <c r="G51" s="47"/>
      <c r="H51" s="54"/>
      <c r="I51" s="5"/>
    </row>
    <row r="52" spans="1:9" x14ac:dyDescent="0.25">
      <c r="A52" s="64" t="s">
        <v>111</v>
      </c>
      <c r="B52" s="65">
        <v>43186</v>
      </c>
      <c r="C52" s="49" t="s">
        <v>640</v>
      </c>
      <c r="D52" s="43"/>
      <c r="E52" s="43"/>
      <c r="F52" s="56"/>
      <c r="G52" s="32" t="s">
        <v>113</v>
      </c>
      <c r="H52" s="43">
        <v>129</v>
      </c>
      <c r="I52" s="6">
        <v>25800</v>
      </c>
    </row>
    <row r="53" spans="1:9" x14ac:dyDescent="0.25">
      <c r="A53" s="64" t="s">
        <v>114</v>
      </c>
      <c r="B53" s="65">
        <v>43220</v>
      </c>
      <c r="C53" s="49" t="s">
        <v>641</v>
      </c>
      <c r="D53" s="43"/>
      <c r="E53" s="43"/>
      <c r="F53" s="56"/>
      <c r="G53" s="32" t="s">
        <v>205</v>
      </c>
      <c r="H53" s="43">
        <v>1</v>
      </c>
      <c r="I53" s="6">
        <v>1172.29</v>
      </c>
    </row>
    <row r="54" spans="1:9" x14ac:dyDescent="0.25">
      <c r="A54" s="64" t="s">
        <v>170</v>
      </c>
      <c r="B54" s="65">
        <v>43281</v>
      </c>
      <c r="C54" s="49" t="s">
        <v>642</v>
      </c>
      <c r="D54" s="43"/>
      <c r="E54" s="43"/>
      <c r="F54" s="56"/>
      <c r="G54" s="32" t="s">
        <v>116</v>
      </c>
      <c r="H54" s="43">
        <v>5.2</v>
      </c>
      <c r="I54" s="6">
        <v>7720.51</v>
      </c>
    </row>
    <row r="55" spans="1:9" x14ac:dyDescent="0.25">
      <c r="A55" s="64" t="s">
        <v>173</v>
      </c>
      <c r="B55" s="65">
        <v>43315</v>
      </c>
      <c r="C55" s="49" t="s">
        <v>254</v>
      </c>
      <c r="D55" s="43"/>
      <c r="E55" s="43"/>
      <c r="F55" s="56"/>
      <c r="G55" s="32" t="s">
        <v>255</v>
      </c>
      <c r="H55" s="43">
        <v>1</v>
      </c>
      <c r="I55" s="6">
        <v>1400</v>
      </c>
    </row>
    <row r="56" spans="1:9" x14ac:dyDescent="0.25">
      <c r="A56" s="64" t="s">
        <v>257</v>
      </c>
      <c r="B56" s="65">
        <v>43315</v>
      </c>
      <c r="C56" s="49" t="s">
        <v>171</v>
      </c>
      <c r="D56" s="43"/>
      <c r="E56" s="43"/>
      <c r="F56" s="56"/>
      <c r="G56" s="32" t="s">
        <v>172</v>
      </c>
      <c r="H56" s="43">
        <v>1</v>
      </c>
      <c r="I56" s="6">
        <v>26900</v>
      </c>
    </row>
    <row r="57" spans="1:9" x14ac:dyDescent="0.25">
      <c r="A57" s="64" t="s">
        <v>406</v>
      </c>
      <c r="B57" s="65">
        <v>43342</v>
      </c>
      <c r="C57" s="49" t="s">
        <v>254</v>
      </c>
      <c r="D57" s="43"/>
      <c r="E57" s="43"/>
      <c r="F57" s="56"/>
      <c r="G57" s="32" t="s">
        <v>255</v>
      </c>
      <c r="H57" s="43">
        <v>2</v>
      </c>
      <c r="I57" s="6">
        <v>2800</v>
      </c>
    </row>
    <row r="58" spans="1:9" x14ac:dyDescent="0.25">
      <c r="A58" s="64" t="s">
        <v>408</v>
      </c>
      <c r="B58" s="65">
        <v>43360</v>
      </c>
      <c r="C58" s="49" t="s">
        <v>360</v>
      </c>
      <c r="D58" s="43"/>
      <c r="E58" s="43"/>
      <c r="F58" s="56"/>
      <c r="G58" s="32" t="s">
        <v>169</v>
      </c>
      <c r="H58" s="43">
        <v>18</v>
      </c>
      <c r="I58" s="6">
        <v>12384</v>
      </c>
    </row>
    <row r="59" spans="1:9" x14ac:dyDescent="0.25">
      <c r="A59" s="64" t="s">
        <v>561</v>
      </c>
      <c r="B59" s="65">
        <v>43371</v>
      </c>
      <c r="C59" s="49" t="s">
        <v>643</v>
      </c>
      <c r="D59" s="43"/>
      <c r="E59" s="43"/>
      <c r="F59" s="56"/>
      <c r="G59" s="32" t="s">
        <v>169</v>
      </c>
      <c r="H59" s="43">
        <v>166</v>
      </c>
      <c r="I59" s="6">
        <v>55799.39</v>
      </c>
    </row>
    <row r="60" spans="1:9" x14ac:dyDescent="0.25">
      <c r="A60" s="64" t="s">
        <v>633</v>
      </c>
      <c r="B60" s="65">
        <v>43440</v>
      </c>
      <c r="C60" s="49" t="s">
        <v>644</v>
      </c>
      <c r="D60" s="43"/>
      <c r="E60" s="43"/>
      <c r="F60" s="56"/>
      <c r="G60" s="32" t="s">
        <v>205</v>
      </c>
      <c r="H60" s="43">
        <v>1</v>
      </c>
      <c r="I60" s="6">
        <v>385</v>
      </c>
    </row>
    <row r="61" spans="1:9" x14ac:dyDescent="0.25">
      <c r="A61" s="64" t="s">
        <v>645</v>
      </c>
      <c r="B61" s="65">
        <v>43463</v>
      </c>
      <c r="C61" s="49" t="s">
        <v>646</v>
      </c>
      <c r="D61" s="43"/>
      <c r="E61" s="43"/>
      <c r="F61" s="56"/>
      <c r="G61" s="32" t="s">
        <v>205</v>
      </c>
      <c r="H61" s="43">
        <v>2</v>
      </c>
      <c r="I61" s="6">
        <v>778</v>
      </c>
    </row>
    <row r="62" spans="1:9" x14ac:dyDescent="0.25">
      <c r="A62" s="64"/>
      <c r="B62" s="6"/>
      <c r="C62" s="14" t="s">
        <v>117</v>
      </c>
      <c r="D62" s="13"/>
      <c r="E62" s="13"/>
      <c r="F62" s="67"/>
      <c r="G62" s="265"/>
      <c r="H62" s="4"/>
      <c r="I62" s="11">
        <f>SUM(I51:I61)</f>
        <v>135139.19</v>
      </c>
    </row>
    <row r="63" spans="1:9" x14ac:dyDescent="0.25">
      <c r="A63" s="5"/>
      <c r="B63" s="5"/>
      <c r="C63" s="49"/>
      <c r="D63" s="43"/>
      <c r="E63" s="43"/>
      <c r="F63" s="43"/>
      <c r="G63" s="43"/>
      <c r="H63" s="47"/>
    </row>
    <row r="64" spans="1:9" x14ac:dyDescent="0.25">
      <c r="A64" s="5"/>
      <c r="B64" s="63" t="s">
        <v>258</v>
      </c>
      <c r="C64" s="53" t="s">
        <v>259</v>
      </c>
      <c r="D64" s="54"/>
      <c r="E64" s="54"/>
      <c r="F64" s="47" t="s">
        <v>260</v>
      </c>
      <c r="G64" s="5"/>
      <c r="H64" s="47"/>
      <c r="I64" s="5"/>
    </row>
    <row r="65" spans="1:9" x14ac:dyDescent="0.25">
      <c r="A65" s="66"/>
      <c r="B65" s="17" t="s">
        <v>258</v>
      </c>
      <c r="C65" s="14" t="s">
        <v>117</v>
      </c>
      <c r="D65" s="61"/>
      <c r="E65" s="61"/>
      <c r="F65" s="51" t="s">
        <v>72</v>
      </c>
      <c r="G65" s="16"/>
      <c r="H65" s="51"/>
      <c r="I65" s="11">
        <v>0</v>
      </c>
    </row>
    <row r="66" spans="1:9" x14ac:dyDescent="0.25">
      <c r="A66" s="2" t="s">
        <v>647</v>
      </c>
      <c r="B66" s="2"/>
      <c r="C66" s="2"/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</sheetData>
  <pageMargins left="0.7" right="0.7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I46" sqref="I46:I54"/>
    </sheetView>
  </sheetViews>
  <sheetFormatPr defaultRowHeight="15" x14ac:dyDescent="0.25"/>
  <cols>
    <col min="1" max="1" width="4.28515625" customWidth="1"/>
    <col min="2" max="2" width="38.7109375" customWidth="1"/>
    <col min="3" max="3" width="13.42578125" customWidth="1"/>
    <col min="8" max="8" width="13" customWidth="1"/>
    <col min="9" max="9" width="22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648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649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650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47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5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517</v>
      </c>
    </row>
    <row r="15" spans="1:9" x14ac:dyDescent="0.25">
      <c r="A15" s="5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651</v>
      </c>
    </row>
    <row r="16" spans="1:9" x14ac:dyDescent="0.25">
      <c r="A16" s="5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652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3">
        <v>1</v>
      </c>
      <c r="B18" s="11" t="s">
        <v>653</v>
      </c>
      <c r="C18" s="11">
        <v>8.9600000000000009</v>
      </c>
      <c r="D18" s="16">
        <v>-25827.7</v>
      </c>
      <c r="E18" s="16">
        <v>468002.76</v>
      </c>
      <c r="F18" s="13">
        <v>475487.31</v>
      </c>
      <c r="G18" s="16">
        <f t="shared" ref="G18:G25" si="0">E18</f>
        <v>468002.76</v>
      </c>
      <c r="H18" s="15">
        <f>D18+F18-G18</f>
        <v>-18343.150000000023</v>
      </c>
      <c r="I18" s="16">
        <f>H18</f>
        <v>-18343.150000000023</v>
      </c>
    </row>
    <row r="19" spans="1:9" x14ac:dyDescent="0.25">
      <c r="A19" s="192" t="s">
        <v>138</v>
      </c>
      <c r="B19" s="17" t="s">
        <v>37</v>
      </c>
      <c r="C19" s="61">
        <v>3.08</v>
      </c>
      <c r="D19" s="21"/>
      <c r="E19" s="187">
        <f>E18*34.4%</f>
        <v>160992.94944</v>
      </c>
      <c r="F19" s="21">
        <f>F18*34.4%</f>
        <v>163567.63463999997</v>
      </c>
      <c r="G19" s="21">
        <f t="shared" si="0"/>
        <v>160992.94944</v>
      </c>
      <c r="H19" s="20"/>
      <c r="I19" s="21"/>
    </row>
    <row r="20" spans="1:9" x14ac:dyDescent="0.25">
      <c r="A20" s="190" t="s">
        <v>38</v>
      </c>
      <c r="B20" s="5" t="s">
        <v>39</v>
      </c>
      <c r="C20" s="54">
        <v>1.47</v>
      </c>
      <c r="D20" s="33"/>
      <c r="E20" s="33">
        <f>E18*16.4%</f>
        <v>76752.452639999989</v>
      </c>
      <c r="F20" s="33">
        <f>F18*16.4%</f>
        <v>77979.918839999984</v>
      </c>
      <c r="G20" s="33">
        <f t="shared" si="0"/>
        <v>76752.452639999989</v>
      </c>
      <c r="H20" s="25"/>
      <c r="I20" s="33"/>
    </row>
    <row r="21" spans="1:9" x14ac:dyDescent="0.25">
      <c r="A21" s="190" t="s">
        <v>40</v>
      </c>
      <c r="B21" s="5" t="s">
        <v>41</v>
      </c>
      <c r="C21" s="54">
        <v>1.81</v>
      </c>
      <c r="D21" s="33"/>
      <c r="E21" s="33">
        <f>E18*20.2%</f>
        <v>94536.557520000002</v>
      </c>
      <c r="F21" s="33">
        <f>F18*20.2%</f>
        <v>96048.436619999993</v>
      </c>
      <c r="G21" s="33">
        <f t="shared" si="0"/>
        <v>94536.557520000002</v>
      </c>
      <c r="H21" s="234"/>
      <c r="I21" s="33"/>
    </row>
    <row r="22" spans="1:9" x14ac:dyDescent="0.25">
      <c r="A22" s="190" t="s">
        <v>42</v>
      </c>
      <c r="B22" s="5" t="s">
        <v>43</v>
      </c>
      <c r="C22" s="54">
        <v>2.6</v>
      </c>
      <c r="D22" s="30"/>
      <c r="E22" s="33">
        <f>E18*29%</f>
        <v>135720.80040000001</v>
      </c>
      <c r="F22" s="33">
        <f>F18*29%</f>
        <v>137891.3199</v>
      </c>
      <c r="G22" s="29">
        <f t="shared" si="0"/>
        <v>135720.80040000001</v>
      </c>
      <c r="H22" s="29"/>
      <c r="I22" s="30"/>
    </row>
    <row r="23" spans="1:9" x14ac:dyDescent="0.25">
      <c r="A23" s="190" t="s">
        <v>44</v>
      </c>
      <c r="B23" s="5" t="s">
        <v>45</v>
      </c>
      <c r="C23" s="54">
        <v>1755.25</v>
      </c>
      <c r="D23" s="30">
        <v>1314.85</v>
      </c>
      <c r="E23" s="33">
        <v>17353.78</v>
      </c>
      <c r="F23" s="33">
        <v>15500.72</v>
      </c>
      <c r="G23" s="28">
        <f t="shared" si="0"/>
        <v>17353.78</v>
      </c>
      <c r="H23" s="29">
        <f>D23+F23-G23</f>
        <v>-538.20999999999913</v>
      </c>
      <c r="I23" s="38">
        <f>H23</f>
        <v>-538.20999999999913</v>
      </c>
    </row>
    <row r="24" spans="1:9" x14ac:dyDescent="0.25">
      <c r="A24" s="190" t="s">
        <v>46</v>
      </c>
      <c r="B24" s="5" t="s">
        <v>47</v>
      </c>
      <c r="C24" s="54" t="s">
        <v>48</v>
      </c>
      <c r="D24" s="30">
        <v>-5004.42</v>
      </c>
      <c r="E24" s="9">
        <v>36877.74</v>
      </c>
      <c r="F24" s="8">
        <v>37717.42</v>
      </c>
      <c r="G24" s="9">
        <f>E24</f>
        <v>36877.74</v>
      </c>
      <c r="H24" s="30">
        <f>D24+F24-E24</f>
        <v>-4164.739999999998</v>
      </c>
      <c r="I24" s="10">
        <f>H24</f>
        <v>-4164.739999999998</v>
      </c>
    </row>
    <row r="25" spans="1:9" x14ac:dyDescent="0.25">
      <c r="A25" s="42" t="s">
        <v>49</v>
      </c>
      <c r="B25" s="10" t="s">
        <v>50</v>
      </c>
      <c r="C25" s="10">
        <v>4.5999999999999996</v>
      </c>
      <c r="D25" s="38">
        <v>-25157.06</v>
      </c>
      <c r="E25" s="10">
        <v>240291.12</v>
      </c>
      <c r="F25" s="10">
        <v>246022.81</v>
      </c>
      <c r="G25" s="35">
        <f t="shared" si="0"/>
        <v>240291.12</v>
      </c>
      <c r="H25" s="36">
        <f>D25+F25-G25</f>
        <v>-19425.369999999995</v>
      </c>
      <c r="I25" s="38">
        <f>H25</f>
        <v>-19425.369999999995</v>
      </c>
    </row>
    <row r="26" spans="1:9" x14ac:dyDescent="0.25">
      <c r="A26" s="195" t="s">
        <v>51</v>
      </c>
      <c r="B26" s="11" t="s">
        <v>310</v>
      </c>
      <c r="C26" s="13">
        <v>1.82</v>
      </c>
      <c r="D26" s="14">
        <v>126800.46</v>
      </c>
      <c r="E26" s="11">
        <v>95054.399999999994</v>
      </c>
      <c r="F26" s="11">
        <v>98553.35</v>
      </c>
      <c r="G26" s="11">
        <f>I54</f>
        <v>108770.43</v>
      </c>
      <c r="H26" s="14">
        <f>D26+F26-G26</f>
        <v>116583.38</v>
      </c>
      <c r="I26" s="41"/>
    </row>
    <row r="27" spans="1:9" x14ac:dyDescent="0.25">
      <c r="A27" s="10" t="s">
        <v>56</v>
      </c>
      <c r="B27" s="10" t="s">
        <v>399</v>
      </c>
      <c r="C27" s="38"/>
      <c r="D27" s="10">
        <v>220246.76</v>
      </c>
      <c r="E27" s="10">
        <f>E28</f>
        <v>0</v>
      </c>
      <c r="F27" s="10">
        <f>F28</f>
        <v>286.68</v>
      </c>
      <c r="G27" s="42">
        <f>G28</f>
        <v>0</v>
      </c>
      <c r="H27" s="10">
        <f>D27+F27-G27</f>
        <v>220533.44</v>
      </c>
      <c r="I27" s="38"/>
    </row>
    <row r="28" spans="1:9" x14ac:dyDescent="0.25">
      <c r="A28" s="48"/>
      <c r="B28" s="8" t="s">
        <v>53</v>
      </c>
      <c r="C28" s="28"/>
      <c r="D28" s="7"/>
      <c r="E28" s="10">
        <v>0</v>
      </c>
      <c r="F28" s="10">
        <v>286.68</v>
      </c>
      <c r="G28" s="51">
        <f>I58</f>
        <v>0</v>
      </c>
      <c r="H28" s="7"/>
      <c r="I28" s="30"/>
    </row>
    <row r="29" spans="1:9" x14ac:dyDescent="0.25">
      <c r="A29" s="1" t="s">
        <v>59</v>
      </c>
      <c r="B29" s="1"/>
      <c r="C29" s="1"/>
      <c r="D29" s="45"/>
      <c r="E29" s="1"/>
      <c r="F29" s="1"/>
      <c r="G29" s="2"/>
      <c r="H29" s="2"/>
      <c r="I29" s="2"/>
    </row>
    <row r="30" spans="1:9" x14ac:dyDescent="0.25">
      <c r="A30" s="5" t="s">
        <v>60</v>
      </c>
      <c r="B30" s="5"/>
      <c r="C30" s="5" t="s">
        <v>356</v>
      </c>
      <c r="D30" s="5" t="s">
        <v>63</v>
      </c>
      <c r="E30" s="5" t="s">
        <v>64</v>
      </c>
      <c r="F30" s="5" t="s">
        <v>654</v>
      </c>
      <c r="G30" s="5"/>
      <c r="H30" s="5" t="s">
        <v>66</v>
      </c>
      <c r="I30" s="43"/>
    </row>
    <row r="31" spans="1:9" x14ac:dyDescent="0.25">
      <c r="A31" s="17"/>
      <c r="B31" s="17"/>
      <c r="C31" s="21" t="s">
        <v>655</v>
      </c>
      <c r="D31" s="21" t="s">
        <v>23</v>
      </c>
      <c r="E31" s="21" t="s">
        <v>312</v>
      </c>
      <c r="F31" s="21" t="s">
        <v>656</v>
      </c>
      <c r="G31" s="21"/>
      <c r="H31" s="21" t="s">
        <v>30</v>
      </c>
      <c r="I31" s="43"/>
    </row>
    <row r="32" spans="1:9" x14ac:dyDescent="0.25">
      <c r="A32" s="17"/>
      <c r="B32" s="11" t="s">
        <v>657</v>
      </c>
      <c r="C32" s="21">
        <v>24278.55</v>
      </c>
      <c r="D32" s="21">
        <v>9600</v>
      </c>
      <c r="E32" s="21">
        <f>D32*15/100</f>
        <v>1440</v>
      </c>
      <c r="F32" s="21">
        <f>C32+D32-E32</f>
        <v>32438.550000000003</v>
      </c>
      <c r="G32" s="21"/>
      <c r="H32" s="21">
        <f>F32-G32</f>
        <v>32438.550000000003</v>
      </c>
      <c r="I32" s="43"/>
    </row>
    <row r="33" spans="1:10" x14ac:dyDescent="0.25">
      <c r="A33" s="1" t="s">
        <v>248</v>
      </c>
      <c r="B33" s="1"/>
      <c r="C33" s="1"/>
      <c r="D33" s="45"/>
      <c r="E33" s="1"/>
      <c r="F33" s="1"/>
      <c r="G33" s="1"/>
      <c r="H33" s="1"/>
      <c r="I33" s="1"/>
    </row>
    <row r="34" spans="1:10" x14ac:dyDescent="0.25">
      <c r="A34" s="47" t="s">
        <v>72</v>
      </c>
      <c r="B34" s="46" t="s">
        <v>73</v>
      </c>
      <c r="C34" s="5" t="s">
        <v>74</v>
      </c>
      <c r="D34" s="54" t="s">
        <v>75</v>
      </c>
      <c r="E34" s="5" t="s">
        <v>76</v>
      </c>
      <c r="F34" s="54" t="s">
        <v>77</v>
      </c>
      <c r="G34" s="5" t="s">
        <v>249</v>
      </c>
      <c r="H34" s="5" t="s">
        <v>79</v>
      </c>
      <c r="I34" s="5" t="s">
        <v>19</v>
      </c>
    </row>
    <row r="35" spans="1:10" x14ac:dyDescent="0.25">
      <c r="A35" s="56"/>
      <c r="B35" s="49" t="s">
        <v>80</v>
      </c>
      <c r="C35" s="6" t="s">
        <v>81</v>
      </c>
      <c r="D35" s="43" t="s">
        <v>82</v>
      </c>
      <c r="E35" s="6" t="s">
        <v>83</v>
      </c>
      <c r="F35" s="43" t="s">
        <v>84</v>
      </c>
      <c r="G35" s="6" t="s">
        <v>85</v>
      </c>
      <c r="H35" s="6" t="s">
        <v>86</v>
      </c>
      <c r="I35" s="6" t="s">
        <v>87</v>
      </c>
    </row>
    <row r="36" spans="1:10" x14ac:dyDescent="0.25">
      <c r="A36" s="56"/>
      <c r="B36" s="49"/>
      <c r="C36" s="6"/>
      <c r="D36" s="43"/>
      <c r="E36" s="6"/>
      <c r="F36" s="43" t="s">
        <v>88</v>
      </c>
      <c r="G36" s="6" t="s">
        <v>89</v>
      </c>
      <c r="H36" s="6"/>
      <c r="I36" s="6" t="s">
        <v>30</v>
      </c>
    </row>
    <row r="37" spans="1:10" x14ac:dyDescent="0.25">
      <c r="A37" s="8"/>
      <c r="B37" s="7"/>
      <c r="C37" s="9"/>
      <c r="D37" s="8"/>
      <c r="E37" s="9"/>
      <c r="F37" s="8"/>
      <c r="G37" s="9"/>
      <c r="H37" s="8"/>
      <c r="I37" s="8"/>
    </row>
    <row r="38" spans="1:10" x14ac:dyDescent="0.25">
      <c r="A38" s="51">
        <v>1</v>
      </c>
      <c r="B38" s="17" t="s">
        <v>91</v>
      </c>
      <c r="C38" s="13" t="s">
        <v>92</v>
      </c>
      <c r="D38" s="17">
        <v>-71679.45</v>
      </c>
      <c r="E38" s="60">
        <v>465130.77</v>
      </c>
      <c r="F38" s="17">
        <v>459544.91</v>
      </c>
      <c r="G38" s="60">
        <f>E38</f>
        <v>465130.77</v>
      </c>
      <c r="H38" s="6">
        <f>D38+F38-G38</f>
        <v>-77265.310000000056</v>
      </c>
      <c r="I38" s="17">
        <f>H38</f>
        <v>-77265.310000000056</v>
      </c>
    </row>
    <row r="39" spans="1:10" x14ac:dyDescent="0.25">
      <c r="A39" s="56">
        <v>2</v>
      </c>
      <c r="B39" s="6" t="s">
        <v>160</v>
      </c>
      <c r="C39" s="1" t="s">
        <v>658</v>
      </c>
      <c r="D39" s="8">
        <v>-250163.59</v>
      </c>
      <c r="E39" s="2">
        <v>787925.69</v>
      </c>
      <c r="F39" s="6">
        <v>796700.69</v>
      </c>
      <c r="G39" s="2">
        <f>E39</f>
        <v>787925.69</v>
      </c>
      <c r="H39" s="5">
        <f>D39+F39-G39</f>
        <v>-241388.58999999997</v>
      </c>
      <c r="I39" s="8">
        <f>H39</f>
        <v>-241388.58999999997</v>
      </c>
    </row>
    <row r="40" spans="1:10" x14ac:dyDescent="0.25">
      <c r="A40" s="48">
        <v>3</v>
      </c>
      <c r="B40" s="8" t="s">
        <v>99</v>
      </c>
      <c r="C40" s="35" t="s">
        <v>100</v>
      </c>
      <c r="D40" s="8">
        <v>-405321.97</v>
      </c>
      <c r="E40" s="9">
        <v>1087172.02</v>
      </c>
      <c r="F40" s="8">
        <v>1083016.99</v>
      </c>
      <c r="G40" s="9">
        <f>E40</f>
        <v>1087172.02</v>
      </c>
      <c r="H40" s="8">
        <f>D40+F40-G40</f>
        <v>-409477</v>
      </c>
      <c r="I40" s="8">
        <f>H40</f>
        <v>-409477</v>
      </c>
    </row>
    <row r="41" spans="1:10" x14ac:dyDescent="0.25">
      <c r="A41" s="1" t="s">
        <v>251</v>
      </c>
      <c r="B41" s="1"/>
      <c r="C41" s="1"/>
      <c r="D41" s="1"/>
      <c r="E41" s="1"/>
      <c r="F41" s="1"/>
      <c r="G41" s="1"/>
      <c r="H41" s="1"/>
      <c r="I41" s="2"/>
    </row>
    <row r="42" spans="1:10" x14ac:dyDescent="0.25">
      <c r="A42" s="4" t="s">
        <v>252</v>
      </c>
      <c r="B42" s="1"/>
      <c r="C42" s="1"/>
      <c r="D42" s="1"/>
      <c r="E42" s="1"/>
      <c r="F42" s="1"/>
      <c r="G42" s="1"/>
      <c r="H42" s="1"/>
      <c r="I42" s="2"/>
    </row>
    <row r="43" spans="1:10" x14ac:dyDescent="0.25">
      <c r="A43" s="54" t="s">
        <v>12</v>
      </c>
      <c r="B43" s="5" t="s">
        <v>103</v>
      </c>
      <c r="C43" s="46" t="s">
        <v>104</v>
      </c>
      <c r="D43" s="54"/>
      <c r="E43" s="54"/>
      <c r="F43" s="47"/>
      <c r="G43" s="5" t="s">
        <v>105</v>
      </c>
      <c r="H43" s="47" t="s">
        <v>165</v>
      </c>
      <c r="I43" s="5" t="s">
        <v>107</v>
      </c>
    </row>
    <row r="44" spans="1:10" x14ac:dyDescent="0.25">
      <c r="A44" s="43" t="s">
        <v>108</v>
      </c>
      <c r="B44" s="6"/>
      <c r="C44" s="49"/>
      <c r="D44" s="43"/>
      <c r="E44" s="43"/>
      <c r="F44" s="56"/>
      <c r="G44" s="6"/>
      <c r="H44" s="56" t="s">
        <v>85</v>
      </c>
      <c r="I44" s="6" t="s">
        <v>109</v>
      </c>
    </row>
    <row r="45" spans="1:10" x14ac:dyDescent="0.25">
      <c r="A45" s="43"/>
      <c r="B45" s="6"/>
      <c r="C45" s="49"/>
      <c r="D45" s="43"/>
      <c r="E45" s="43"/>
      <c r="F45" s="56"/>
      <c r="G45" s="6"/>
      <c r="H45" s="56"/>
      <c r="I45" s="6"/>
    </row>
    <row r="46" spans="1:10" x14ac:dyDescent="0.25">
      <c r="A46" s="43"/>
      <c r="B46" s="17"/>
      <c r="C46" s="50"/>
      <c r="D46" s="61"/>
      <c r="E46" s="61"/>
      <c r="F46" s="51"/>
      <c r="G46" s="17"/>
      <c r="H46" s="51"/>
      <c r="I46" s="17"/>
    </row>
    <row r="47" spans="1:10" x14ac:dyDescent="0.25">
      <c r="A47" s="198" t="s">
        <v>111</v>
      </c>
      <c r="B47" s="232">
        <v>43159</v>
      </c>
      <c r="C47" s="49" t="s">
        <v>659</v>
      </c>
      <c r="D47" s="43"/>
      <c r="E47" s="43"/>
      <c r="F47" s="56"/>
      <c r="G47" s="26"/>
      <c r="H47" s="56"/>
      <c r="I47" s="6">
        <v>6066.52</v>
      </c>
      <c r="J47" s="49"/>
    </row>
    <row r="48" spans="1:10" x14ac:dyDescent="0.25">
      <c r="A48" s="198" t="s">
        <v>114</v>
      </c>
      <c r="B48" s="232">
        <v>43251</v>
      </c>
      <c r="C48" s="49" t="s">
        <v>660</v>
      </c>
      <c r="D48" s="43"/>
      <c r="E48" s="43"/>
      <c r="F48" s="56"/>
      <c r="G48" s="26" t="s">
        <v>169</v>
      </c>
      <c r="H48" s="56">
        <v>8.5</v>
      </c>
      <c r="I48" s="6">
        <v>15417.56</v>
      </c>
      <c r="J48" s="49"/>
    </row>
    <row r="49" spans="1:10" x14ac:dyDescent="0.25">
      <c r="A49" s="198" t="s">
        <v>170</v>
      </c>
      <c r="B49" s="232">
        <v>43315</v>
      </c>
      <c r="C49" s="49" t="s">
        <v>661</v>
      </c>
      <c r="D49" s="43"/>
      <c r="E49" s="43"/>
      <c r="F49" s="56"/>
      <c r="G49" s="26" t="s">
        <v>172</v>
      </c>
      <c r="H49" s="43">
        <v>1</v>
      </c>
      <c r="I49" s="6">
        <v>17400</v>
      </c>
      <c r="J49" s="49"/>
    </row>
    <row r="50" spans="1:10" x14ac:dyDescent="0.25">
      <c r="A50" s="198" t="s">
        <v>173</v>
      </c>
      <c r="B50" s="232">
        <v>43334</v>
      </c>
      <c r="C50" s="49" t="s">
        <v>662</v>
      </c>
      <c r="D50" s="43"/>
      <c r="E50" s="43"/>
      <c r="F50" s="56"/>
      <c r="G50" s="26" t="s">
        <v>172</v>
      </c>
      <c r="H50" s="43">
        <v>1</v>
      </c>
      <c r="I50" s="6">
        <v>21500</v>
      </c>
      <c r="J50" s="49"/>
    </row>
    <row r="51" spans="1:10" x14ac:dyDescent="0.25">
      <c r="A51" s="198" t="s">
        <v>257</v>
      </c>
      <c r="B51" s="232">
        <v>43348</v>
      </c>
      <c r="C51" s="49" t="s">
        <v>254</v>
      </c>
      <c r="D51" s="43"/>
      <c r="E51" s="43"/>
      <c r="F51" s="56"/>
      <c r="G51" s="26" t="s">
        <v>255</v>
      </c>
      <c r="H51" s="43">
        <v>2</v>
      </c>
      <c r="I51" s="6">
        <v>2000</v>
      </c>
      <c r="J51" s="49"/>
    </row>
    <row r="52" spans="1:10" x14ac:dyDescent="0.25">
      <c r="A52" s="198" t="s">
        <v>406</v>
      </c>
      <c r="B52" s="232">
        <v>43360</v>
      </c>
      <c r="C52" s="49" t="s">
        <v>360</v>
      </c>
      <c r="D52" s="43"/>
      <c r="E52" s="43"/>
      <c r="F52" s="56"/>
      <c r="G52" s="26" t="s">
        <v>169</v>
      </c>
      <c r="H52" s="43">
        <v>17.899999999999999</v>
      </c>
      <c r="I52" s="6">
        <v>10716</v>
      </c>
      <c r="J52" s="49"/>
    </row>
    <row r="53" spans="1:10" x14ac:dyDescent="0.25">
      <c r="A53" s="198" t="s">
        <v>408</v>
      </c>
      <c r="B53" s="232">
        <v>43371</v>
      </c>
      <c r="C53" s="49" t="s">
        <v>663</v>
      </c>
      <c r="D53" s="43"/>
      <c r="E53" s="43"/>
      <c r="F53" s="56"/>
      <c r="G53" s="26" t="s">
        <v>169</v>
      </c>
      <c r="H53" s="43">
        <v>96</v>
      </c>
      <c r="I53" s="6">
        <v>35670.35</v>
      </c>
    </row>
    <row r="54" spans="1:10" x14ac:dyDescent="0.25">
      <c r="A54" s="198"/>
      <c r="B54" s="49"/>
      <c r="C54" s="14" t="s">
        <v>117</v>
      </c>
      <c r="D54" s="13"/>
      <c r="E54" s="13"/>
      <c r="F54" s="67"/>
      <c r="G54" s="16"/>
      <c r="H54" s="4"/>
      <c r="I54" s="11">
        <f>SUM(I46:I53)</f>
        <v>108770.43</v>
      </c>
    </row>
    <row r="55" spans="1:10" x14ac:dyDescent="0.25">
      <c r="A55" s="47"/>
      <c r="B55" s="5"/>
      <c r="C55" s="49"/>
      <c r="D55" s="43"/>
      <c r="E55" s="43"/>
      <c r="F55" s="43"/>
      <c r="G55" s="43"/>
      <c r="H55" s="47"/>
    </row>
    <row r="56" spans="1:10" x14ac:dyDescent="0.25">
      <c r="A56" s="47" t="s">
        <v>49</v>
      </c>
      <c r="B56" s="63" t="s">
        <v>258</v>
      </c>
      <c r="C56" s="53" t="s">
        <v>259</v>
      </c>
      <c r="D56" s="54"/>
      <c r="E56" s="54"/>
      <c r="F56" s="47" t="s">
        <v>260</v>
      </c>
      <c r="G56" s="33"/>
      <c r="H56" s="47"/>
      <c r="I56" s="47"/>
    </row>
    <row r="57" spans="1:10" x14ac:dyDescent="0.25">
      <c r="A57" s="198" t="s">
        <v>664</v>
      </c>
      <c r="B57" s="65"/>
      <c r="C57" s="49"/>
      <c r="D57" s="4"/>
      <c r="E57" s="4"/>
      <c r="F57" s="194"/>
      <c r="G57" s="26"/>
      <c r="H57" s="194"/>
      <c r="I57" s="56"/>
    </row>
    <row r="58" spans="1:10" x14ac:dyDescent="0.25">
      <c r="A58" s="266"/>
      <c r="B58" s="11" t="s">
        <v>258</v>
      </c>
      <c r="C58" s="14" t="s">
        <v>117</v>
      </c>
      <c r="D58" s="13"/>
      <c r="E58" s="13"/>
      <c r="F58" s="67" t="s">
        <v>72</v>
      </c>
      <c r="G58" s="21"/>
      <c r="H58" s="67"/>
      <c r="I58" s="51">
        <f>SUM(I57:I57)</f>
        <v>0</v>
      </c>
    </row>
    <row r="59" spans="1:10" x14ac:dyDescent="0.25">
      <c r="A59" s="2" t="s">
        <v>665</v>
      </c>
      <c r="B59" s="2"/>
      <c r="C59" s="189" t="s">
        <v>119</v>
      </c>
      <c r="E59" s="2" t="s">
        <v>120</v>
      </c>
      <c r="G59" s="2" t="s">
        <v>264</v>
      </c>
      <c r="H59" s="2"/>
      <c r="I59" s="2" t="s">
        <v>265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51" sqref="B51"/>
    </sheetView>
  </sheetViews>
  <sheetFormatPr defaultRowHeight="15" x14ac:dyDescent="0.25"/>
  <cols>
    <col min="1" max="1" width="4.140625" customWidth="1"/>
    <col min="2" max="2" width="32.42578125" customWidth="1"/>
    <col min="3" max="3" width="13.7109375" customWidth="1"/>
    <col min="8" max="8" width="10.85546875" customWidth="1"/>
    <col min="9" max="9" width="20.7109375" customWidth="1"/>
  </cols>
  <sheetData>
    <row r="1" spans="1:9" x14ac:dyDescent="0.25">
      <c r="A1" s="1" t="s">
        <v>209</v>
      </c>
      <c r="B1" s="1"/>
      <c r="C1" s="1"/>
      <c r="D1" s="1"/>
      <c r="E1" s="1"/>
      <c r="F1" s="1" t="s">
        <v>72</v>
      </c>
      <c r="G1" s="1"/>
      <c r="H1" s="1"/>
      <c r="I1" s="1"/>
    </row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  <c r="I3" s="158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2"/>
    </row>
    <row r="7" spans="1:9" x14ac:dyDescent="0.25">
      <c r="A7" s="1" t="s">
        <v>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1" t="s">
        <v>210</v>
      </c>
      <c r="B8" s="1"/>
      <c r="C8" s="2"/>
      <c r="D8" s="2"/>
      <c r="E8" s="2"/>
      <c r="F8" s="2"/>
      <c r="G8" s="2"/>
      <c r="H8" s="2"/>
      <c r="I8" s="2"/>
    </row>
    <row r="9" spans="1:9" x14ac:dyDescent="0.25">
      <c r="A9" s="2" t="s">
        <v>211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212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213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9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1" t="s">
        <v>10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4" t="s">
        <v>11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17</v>
      </c>
      <c r="G15" s="5" t="s">
        <v>18</v>
      </c>
      <c r="H15" s="5" t="s">
        <v>15</v>
      </c>
      <c r="I15" s="5" t="s">
        <v>19</v>
      </c>
    </row>
    <row r="16" spans="1:9" x14ac:dyDescent="0.25">
      <c r="A16" s="6" t="s">
        <v>20</v>
      </c>
      <c r="B16" s="6"/>
      <c r="C16" s="6" t="s">
        <v>214</v>
      </c>
      <c r="D16" s="6" t="s">
        <v>22</v>
      </c>
      <c r="E16" s="6" t="s">
        <v>23</v>
      </c>
      <c r="F16" s="6" t="s">
        <v>23</v>
      </c>
      <c r="G16" s="6" t="s">
        <v>24</v>
      </c>
      <c r="H16" s="6" t="s">
        <v>25</v>
      </c>
      <c r="I16" s="6" t="s">
        <v>132</v>
      </c>
    </row>
    <row r="17" spans="1:9" x14ac:dyDescent="0.25">
      <c r="A17" s="6"/>
      <c r="B17" s="6"/>
      <c r="C17" s="6" t="s">
        <v>27</v>
      </c>
      <c r="D17" s="6" t="s">
        <v>28</v>
      </c>
      <c r="E17" s="6"/>
      <c r="F17" s="6"/>
      <c r="G17" s="6" t="s">
        <v>29</v>
      </c>
      <c r="H17" s="6" t="s">
        <v>30</v>
      </c>
      <c r="I17" s="6" t="s">
        <v>215</v>
      </c>
    </row>
    <row r="18" spans="1:9" x14ac:dyDescent="0.25">
      <c r="A18" s="6"/>
      <c r="B18" s="6"/>
      <c r="C18" s="6" t="s">
        <v>32</v>
      </c>
      <c r="D18" s="6" t="s">
        <v>33</v>
      </c>
      <c r="E18" s="6" t="s">
        <v>33</v>
      </c>
      <c r="F18" s="6" t="s">
        <v>33</v>
      </c>
      <c r="G18" s="6" t="s">
        <v>33</v>
      </c>
      <c r="H18" s="6" t="s">
        <v>33</v>
      </c>
      <c r="I18" s="6" t="s">
        <v>216</v>
      </c>
    </row>
    <row r="19" spans="1:9" x14ac:dyDescent="0.25">
      <c r="A19" s="7">
        <v>1</v>
      </c>
      <c r="B19" s="8">
        <v>2</v>
      </c>
      <c r="C19" s="9">
        <v>3</v>
      </c>
      <c r="D19" s="8">
        <v>4</v>
      </c>
      <c r="E19" s="9">
        <v>5</v>
      </c>
      <c r="F19" s="8">
        <v>6</v>
      </c>
      <c r="G19" s="9">
        <v>7</v>
      </c>
      <c r="H19" s="8">
        <v>8</v>
      </c>
      <c r="I19" s="5">
        <v>9</v>
      </c>
    </row>
    <row r="20" spans="1:9" x14ac:dyDescent="0.25">
      <c r="A20" s="53">
        <v>1</v>
      </c>
      <c r="B20" s="63" t="s">
        <v>186</v>
      </c>
      <c r="C20" s="159" t="s">
        <v>72</v>
      </c>
      <c r="D20" s="53"/>
      <c r="E20" s="160" t="s">
        <v>72</v>
      </c>
      <c r="F20" s="63" t="s">
        <v>72</v>
      </c>
      <c r="G20" s="53"/>
      <c r="H20" s="53" t="s">
        <v>72</v>
      </c>
      <c r="I20" s="160" t="s">
        <v>72</v>
      </c>
    </row>
    <row r="21" spans="1:9" x14ac:dyDescent="0.25">
      <c r="A21" s="14"/>
      <c r="B21" s="11" t="s">
        <v>187</v>
      </c>
      <c r="C21" s="161">
        <v>8.5500000000000007</v>
      </c>
      <c r="D21" s="16">
        <v>-3172.31</v>
      </c>
      <c r="E21" s="16">
        <v>34532.400000000001</v>
      </c>
      <c r="F21" s="16">
        <v>30219.01</v>
      </c>
      <c r="G21" s="15">
        <f>E21</f>
        <v>34532.400000000001</v>
      </c>
      <c r="H21" s="15">
        <f>D21+F21-G21</f>
        <v>-7485.7000000000044</v>
      </c>
      <c r="I21" s="16">
        <f>H21</f>
        <v>-7485.7000000000044</v>
      </c>
    </row>
    <row r="22" spans="1:9" x14ac:dyDescent="0.25">
      <c r="A22" s="6" t="s">
        <v>36</v>
      </c>
      <c r="B22" s="6" t="s">
        <v>217</v>
      </c>
      <c r="C22" s="19"/>
      <c r="D22" s="26"/>
      <c r="E22" s="26"/>
      <c r="F22" s="26"/>
      <c r="G22" s="19"/>
      <c r="H22" s="44"/>
      <c r="I22" s="26"/>
    </row>
    <row r="23" spans="1:9" x14ac:dyDescent="0.25">
      <c r="A23" s="17"/>
      <c r="B23" s="17" t="s">
        <v>218</v>
      </c>
      <c r="C23" s="162">
        <v>3.08</v>
      </c>
      <c r="D23" s="26"/>
      <c r="E23" s="21">
        <f>E21*36%</f>
        <v>12431.664000000001</v>
      </c>
      <c r="F23" s="21">
        <f>F21*36%</f>
        <v>10878.843599999998</v>
      </c>
      <c r="G23" s="19">
        <f>E23</f>
        <v>12431.664000000001</v>
      </c>
      <c r="H23" s="44"/>
      <c r="I23" s="26"/>
    </row>
    <row r="24" spans="1:9" x14ac:dyDescent="0.25">
      <c r="A24" s="22" t="s">
        <v>38</v>
      </c>
      <c r="B24" s="5" t="s">
        <v>188</v>
      </c>
      <c r="C24" s="24">
        <v>1.51</v>
      </c>
      <c r="D24" s="33"/>
      <c r="E24" s="33">
        <f>E21*17.7%</f>
        <v>6112.2348000000002</v>
      </c>
      <c r="F24" s="33">
        <f>F21*17.7%</f>
        <v>5348.7647699999998</v>
      </c>
      <c r="G24" s="25">
        <f>E24</f>
        <v>6112.2348000000002</v>
      </c>
      <c r="H24" s="25"/>
      <c r="I24" s="33"/>
    </row>
    <row r="25" spans="1:9" x14ac:dyDescent="0.25">
      <c r="A25" s="17"/>
      <c r="B25" s="17" t="s">
        <v>189</v>
      </c>
      <c r="C25" s="162"/>
      <c r="D25" s="21"/>
      <c r="E25" s="21"/>
      <c r="F25" s="21"/>
      <c r="G25" s="20"/>
      <c r="H25" s="20"/>
      <c r="I25" s="21"/>
    </row>
    <row r="26" spans="1:9" x14ac:dyDescent="0.25">
      <c r="A26" s="22" t="s">
        <v>40</v>
      </c>
      <c r="B26" s="5" t="s">
        <v>41</v>
      </c>
      <c r="C26" s="24">
        <v>1.36</v>
      </c>
      <c r="D26" s="26"/>
      <c r="E26" s="33">
        <f xml:space="preserve"> E21*16%</f>
        <v>5525.1840000000002</v>
      </c>
      <c r="F26" s="33">
        <f>F21*16%</f>
        <v>4835.0415999999996</v>
      </c>
      <c r="G26" s="19">
        <f>E26</f>
        <v>5525.1840000000002</v>
      </c>
      <c r="H26" s="44"/>
      <c r="I26" s="26"/>
    </row>
    <row r="27" spans="1:9" x14ac:dyDescent="0.25">
      <c r="A27" s="22" t="s">
        <v>42</v>
      </c>
      <c r="B27" s="5" t="s">
        <v>43</v>
      </c>
      <c r="C27" s="24">
        <v>2.6</v>
      </c>
      <c r="D27" s="30"/>
      <c r="E27" s="33">
        <f>E21*30.3%</f>
        <v>10463.3172</v>
      </c>
      <c r="F27" s="33">
        <f>F21*30.3%</f>
        <v>9156.3600299999998</v>
      </c>
      <c r="G27" s="25">
        <f>E27</f>
        <v>10463.3172</v>
      </c>
      <c r="H27" s="25"/>
      <c r="I27" s="30"/>
    </row>
    <row r="28" spans="1:9" x14ac:dyDescent="0.25">
      <c r="A28" s="22" t="s">
        <v>44</v>
      </c>
      <c r="B28" s="5" t="s">
        <v>47</v>
      </c>
      <c r="C28" s="163" t="s">
        <v>48</v>
      </c>
      <c r="D28" s="8">
        <v>-720.87</v>
      </c>
      <c r="E28" s="9">
        <v>4378.0200000000004</v>
      </c>
      <c r="F28" s="8">
        <v>3699.54</v>
      </c>
      <c r="G28" s="9">
        <f>E28</f>
        <v>4378.0200000000004</v>
      </c>
      <c r="H28" s="8">
        <f>D28+F28-G28</f>
        <v>-1399.3500000000004</v>
      </c>
      <c r="I28" s="48">
        <f>H28</f>
        <v>-1399.3500000000004</v>
      </c>
    </row>
    <row r="29" spans="1:9" x14ac:dyDescent="0.25">
      <c r="A29" s="10" t="s">
        <v>49</v>
      </c>
      <c r="B29" s="10" t="s">
        <v>50</v>
      </c>
      <c r="C29" s="10">
        <v>4.5999999999999996</v>
      </c>
      <c r="D29" s="41">
        <v>-2038.4</v>
      </c>
      <c r="E29" s="11">
        <v>22372.03</v>
      </c>
      <c r="F29" s="11">
        <v>19940.75</v>
      </c>
      <c r="G29" s="13">
        <f>E29</f>
        <v>22372.03</v>
      </c>
      <c r="H29" s="14">
        <f>D29+F29-G29</f>
        <v>-4469.68</v>
      </c>
      <c r="I29" s="41">
        <f>H29</f>
        <v>-4469.68</v>
      </c>
    </row>
    <row r="30" spans="1:9" x14ac:dyDescent="0.25">
      <c r="A30" s="63" t="s">
        <v>51</v>
      </c>
      <c r="B30" s="63" t="s">
        <v>219</v>
      </c>
      <c r="C30" s="63"/>
      <c r="D30" s="164"/>
      <c r="E30" s="160"/>
      <c r="F30" s="160"/>
      <c r="G30" s="160"/>
      <c r="H30" s="164"/>
      <c r="I30" s="160"/>
    </row>
    <row r="31" spans="1:9" x14ac:dyDescent="0.25">
      <c r="A31" s="39"/>
      <c r="B31" s="11" t="s">
        <v>220</v>
      </c>
      <c r="C31" s="11">
        <v>1.65</v>
      </c>
      <c r="D31" s="14">
        <v>7064.93</v>
      </c>
      <c r="E31" s="39">
        <v>6607.08</v>
      </c>
      <c r="F31" s="11">
        <f>F32+F33+F34</f>
        <v>6982.2199999999993</v>
      </c>
      <c r="G31" s="11">
        <f>I52</f>
        <v>0</v>
      </c>
      <c r="H31" s="14">
        <f>D31+F31-G31</f>
        <v>14047.15</v>
      </c>
      <c r="I31" s="16"/>
    </row>
    <row r="32" spans="1:9" x14ac:dyDescent="0.25">
      <c r="A32" s="10"/>
      <c r="B32" s="8" t="s">
        <v>53</v>
      </c>
      <c r="C32" s="13"/>
      <c r="D32" s="14"/>
      <c r="E32" s="10"/>
      <c r="F32" s="11">
        <v>5973.23</v>
      </c>
      <c r="G32" s="11"/>
      <c r="H32" s="14"/>
      <c r="I32" s="16"/>
    </row>
    <row r="33" spans="1:9" x14ac:dyDescent="0.25">
      <c r="A33" s="10"/>
      <c r="B33" s="8" t="s">
        <v>54</v>
      </c>
      <c r="C33" s="35"/>
      <c r="D33" s="36"/>
      <c r="E33" s="10"/>
      <c r="F33" s="10">
        <v>1008.99</v>
      </c>
      <c r="G33" s="10"/>
      <c r="H33" s="36"/>
      <c r="I33" s="38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165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4" t="s">
        <v>70</v>
      </c>
    </row>
    <row r="37" spans="1:9" x14ac:dyDescent="0.25">
      <c r="A37" s="1" t="s">
        <v>71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5" t="s">
        <v>72</v>
      </c>
      <c r="B38" s="159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46" t="s">
        <v>78</v>
      </c>
      <c r="H38" s="33" t="s">
        <v>15</v>
      </c>
      <c r="I38" s="47" t="s">
        <v>19</v>
      </c>
    </row>
    <row r="39" spans="1:9" x14ac:dyDescent="0.25">
      <c r="A39" s="6"/>
      <c r="B39" s="4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49" t="s">
        <v>85</v>
      </c>
      <c r="H39" s="26" t="s">
        <v>25</v>
      </c>
      <c r="I39" s="56" t="s">
        <v>87</v>
      </c>
    </row>
    <row r="40" spans="1:9" x14ac:dyDescent="0.25">
      <c r="A40" s="6"/>
      <c r="B40" s="43"/>
      <c r="C40" s="6"/>
      <c r="D40" s="43"/>
      <c r="E40" s="6"/>
      <c r="F40" s="43" t="s">
        <v>88</v>
      </c>
      <c r="G40" s="49" t="s">
        <v>89</v>
      </c>
      <c r="H40" s="26" t="s">
        <v>30</v>
      </c>
      <c r="I40" s="56" t="s">
        <v>221</v>
      </c>
    </row>
    <row r="41" spans="1:9" x14ac:dyDescent="0.25">
      <c r="A41" s="17"/>
      <c r="B41" s="61"/>
      <c r="C41" s="17"/>
      <c r="D41" s="43"/>
      <c r="E41" s="17"/>
      <c r="F41" s="61"/>
      <c r="G41" s="50"/>
      <c r="H41" s="21"/>
      <c r="I41" s="51"/>
    </row>
    <row r="42" spans="1:9" x14ac:dyDescent="0.25">
      <c r="A42" s="8">
        <v>2</v>
      </c>
      <c r="B42" s="8" t="s">
        <v>91</v>
      </c>
      <c r="C42" s="35" t="s">
        <v>92</v>
      </c>
      <c r="D42" s="8">
        <v>-16562.25</v>
      </c>
      <c r="E42" s="59">
        <v>54658.02</v>
      </c>
      <c r="F42" s="8">
        <v>51532.81</v>
      </c>
      <c r="G42" s="59">
        <f>E42</f>
        <v>54658.02</v>
      </c>
      <c r="H42" s="8">
        <f>D42+F42-G42</f>
        <v>-19687.46</v>
      </c>
      <c r="I42" s="8">
        <f>H42</f>
        <v>-19687.46</v>
      </c>
    </row>
    <row r="43" spans="1:9" x14ac:dyDescent="0.25">
      <c r="A43" s="8"/>
      <c r="B43" s="9" t="s">
        <v>93</v>
      </c>
      <c r="C43" s="36" t="s">
        <v>94</v>
      </c>
      <c r="D43" s="7"/>
      <c r="E43" s="8"/>
      <c r="F43" s="9"/>
      <c r="G43" s="8"/>
      <c r="H43" s="48"/>
      <c r="I43" s="48"/>
    </row>
    <row r="44" spans="1:9" x14ac:dyDescent="0.25">
      <c r="A44" s="2"/>
      <c r="B44" s="2" t="s">
        <v>72</v>
      </c>
      <c r="C44" s="2"/>
      <c r="D44" s="2"/>
      <c r="E44" s="2"/>
      <c r="F44" s="2" t="s">
        <v>72</v>
      </c>
      <c r="G44" s="2"/>
      <c r="H44" s="2"/>
      <c r="I44" s="2"/>
    </row>
    <row r="45" spans="1:9" x14ac:dyDescent="0.25">
      <c r="A45" s="1" t="s">
        <v>222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223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54"/>
      <c r="G47" s="5" t="s">
        <v>105</v>
      </c>
      <c r="H47" s="47" t="s">
        <v>165</v>
      </c>
      <c r="I47" s="5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43"/>
      <c r="G48" s="6"/>
      <c r="H48" s="56" t="s">
        <v>85</v>
      </c>
      <c r="I48" s="6" t="s">
        <v>109</v>
      </c>
    </row>
    <row r="49" spans="1:10" x14ac:dyDescent="0.25">
      <c r="A49" s="49"/>
      <c r="B49" s="17"/>
      <c r="C49" s="50"/>
      <c r="D49" s="61"/>
      <c r="E49" s="61"/>
      <c r="F49" s="61"/>
      <c r="G49" s="17"/>
      <c r="H49" s="51"/>
      <c r="I49" s="6"/>
    </row>
    <row r="50" spans="1:10" x14ac:dyDescent="0.25">
      <c r="A50" s="62"/>
      <c r="B50" s="63"/>
      <c r="C50" s="159" t="s">
        <v>110</v>
      </c>
      <c r="D50" s="159"/>
      <c r="E50" s="159"/>
      <c r="F50" s="54"/>
      <c r="G50" s="5"/>
      <c r="H50" s="47"/>
      <c r="I50" s="5"/>
    </row>
    <row r="51" spans="1:10" x14ac:dyDescent="0.25">
      <c r="A51" s="64"/>
      <c r="B51" s="65"/>
      <c r="C51" s="43"/>
      <c r="D51" s="43"/>
      <c r="E51" s="43"/>
      <c r="F51" s="19"/>
      <c r="G51" s="26"/>
      <c r="H51" s="56"/>
      <c r="I51" s="6"/>
    </row>
    <row r="52" spans="1:10" x14ac:dyDescent="0.25">
      <c r="A52" s="66"/>
      <c r="B52" s="17"/>
      <c r="C52" s="13" t="s">
        <v>117</v>
      </c>
      <c r="D52" s="13"/>
      <c r="E52" s="13"/>
      <c r="F52" s="162"/>
      <c r="G52" s="16"/>
      <c r="H52" s="67"/>
      <c r="I52" s="11">
        <f>SUM(I50:I51)</f>
        <v>0</v>
      </c>
    </row>
    <row r="53" spans="1:10" x14ac:dyDescent="0.25">
      <c r="A53" s="43"/>
      <c r="B53" s="43"/>
      <c r="C53" s="43"/>
      <c r="D53" s="43"/>
      <c r="E53" s="43"/>
      <c r="F53" s="19"/>
      <c r="G53" s="43"/>
      <c r="H53" s="43"/>
      <c r="I53" s="43"/>
      <c r="J53" s="166"/>
    </row>
    <row r="54" spans="1:10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</row>
    <row r="55" spans="1:10" x14ac:dyDescent="0.25">
      <c r="A55" s="2" t="s">
        <v>224</v>
      </c>
      <c r="B55" s="2"/>
      <c r="C55" s="2" t="s">
        <v>72</v>
      </c>
      <c r="D55" s="2" t="s">
        <v>119</v>
      </c>
      <c r="E55" s="2"/>
      <c r="F55" s="2" t="s">
        <v>120</v>
      </c>
      <c r="G55" s="2"/>
      <c r="H55" s="2" t="s">
        <v>121</v>
      </c>
      <c r="I55" s="2" t="s">
        <v>122</v>
      </c>
      <c r="J55" s="166"/>
    </row>
    <row r="56" spans="1:10" x14ac:dyDescent="0.25">
      <c r="A56" s="166"/>
      <c r="B56" s="166"/>
      <c r="C56" s="166"/>
      <c r="D56" s="166"/>
      <c r="E56" s="166"/>
      <c r="F56" s="166"/>
      <c r="G56" s="166"/>
      <c r="H56" s="166"/>
      <c r="I56" s="166"/>
      <c r="J56" s="166"/>
    </row>
  </sheetData>
  <pageMargins left="0.7" right="0.7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33" customWidth="1"/>
    <col min="3" max="3" width="13.140625" customWidth="1"/>
    <col min="4" max="4" width="13" customWidth="1"/>
    <col min="5" max="5" width="10.5703125" customWidth="1"/>
    <col min="6" max="6" width="14.28515625" customWidth="1"/>
    <col min="7" max="7" width="10.140625" customWidth="1"/>
    <col min="8" max="8" width="12.85546875" customWidth="1"/>
    <col min="9" max="9" width="18.140625" customWidth="1"/>
  </cols>
  <sheetData>
    <row r="1" spans="1:9" x14ac:dyDescent="0.25">
      <c r="A1" s="337" t="s">
        <v>0</v>
      </c>
      <c r="B1" s="337"/>
      <c r="C1" s="337"/>
      <c r="D1" s="337"/>
      <c r="E1" s="337"/>
      <c r="F1" s="337"/>
      <c r="G1" s="337"/>
      <c r="H1" s="337"/>
      <c r="I1" s="338"/>
    </row>
    <row r="2" spans="1:9" x14ac:dyDescent="0.25">
      <c r="A2" s="337" t="s">
        <v>1237</v>
      </c>
      <c r="B2" s="337"/>
      <c r="C2" s="337"/>
      <c r="D2" s="337"/>
      <c r="E2" s="337"/>
      <c r="F2" s="337"/>
      <c r="G2" s="337"/>
      <c r="H2" s="337"/>
      <c r="I2" s="339"/>
    </row>
    <row r="3" spans="1:9" x14ac:dyDescent="0.25">
      <c r="A3" s="337" t="s">
        <v>2</v>
      </c>
      <c r="B3" s="337"/>
      <c r="C3" s="337"/>
      <c r="D3" s="337"/>
      <c r="E3" s="337"/>
      <c r="F3" s="337"/>
      <c r="G3" s="337"/>
      <c r="H3" s="337"/>
      <c r="I3" s="338"/>
    </row>
    <row r="4" spans="1:9" x14ac:dyDescent="0.25">
      <c r="A4" s="337" t="s">
        <v>3</v>
      </c>
      <c r="B4" s="337"/>
      <c r="C4" s="337"/>
      <c r="D4" s="337"/>
      <c r="E4" s="337"/>
      <c r="F4" s="337"/>
      <c r="G4" s="337"/>
      <c r="H4" s="337"/>
      <c r="I4" s="338"/>
    </row>
    <row r="5" spans="1:9" x14ac:dyDescent="0.25">
      <c r="A5" s="337" t="s">
        <v>4</v>
      </c>
      <c r="B5" s="338"/>
      <c r="C5" s="338"/>
      <c r="D5" s="337"/>
      <c r="E5" s="337"/>
      <c r="F5" s="337"/>
      <c r="G5" s="337"/>
      <c r="H5" s="338"/>
      <c r="I5" s="338"/>
    </row>
    <row r="6" spans="1:9" x14ac:dyDescent="0.25">
      <c r="A6" s="337" t="s">
        <v>666</v>
      </c>
      <c r="B6" s="338"/>
      <c r="C6" s="338"/>
      <c r="D6" s="338"/>
      <c r="E6" s="338"/>
      <c r="F6" s="338"/>
      <c r="G6" s="338"/>
      <c r="H6" s="338"/>
      <c r="I6" s="338"/>
    </row>
    <row r="7" spans="1:9" x14ac:dyDescent="0.25">
      <c r="A7" s="338" t="s">
        <v>667</v>
      </c>
      <c r="B7" s="338"/>
      <c r="C7" s="338"/>
      <c r="D7" s="338"/>
      <c r="E7" s="338"/>
      <c r="F7" s="338"/>
      <c r="G7" s="338"/>
      <c r="H7" s="338"/>
      <c r="I7" s="338"/>
    </row>
    <row r="8" spans="1:9" x14ac:dyDescent="0.25">
      <c r="A8" s="338" t="s">
        <v>668</v>
      </c>
      <c r="B8" s="338"/>
      <c r="C8" s="338"/>
      <c r="D8" s="338"/>
      <c r="E8" s="338"/>
      <c r="F8" s="338"/>
      <c r="G8" s="338"/>
      <c r="H8" s="338"/>
      <c r="I8" s="338"/>
    </row>
    <row r="9" spans="1:9" x14ac:dyDescent="0.25">
      <c r="A9" s="338" t="s">
        <v>185</v>
      </c>
      <c r="B9" s="338"/>
      <c r="C9" s="338"/>
      <c r="D9" s="338"/>
      <c r="E9" s="338"/>
      <c r="F9" s="338"/>
      <c r="G9" s="338"/>
      <c r="H9" s="338"/>
      <c r="I9" s="338"/>
    </row>
    <row r="10" spans="1:9" x14ac:dyDescent="0.25">
      <c r="A10" s="337" t="s">
        <v>9</v>
      </c>
      <c r="B10" s="337"/>
      <c r="C10" s="337"/>
      <c r="D10" s="337"/>
      <c r="E10" s="337"/>
      <c r="F10" s="337"/>
      <c r="G10" s="337"/>
      <c r="H10" s="337"/>
      <c r="I10" s="338"/>
    </row>
    <row r="11" spans="1:9" x14ac:dyDescent="0.25">
      <c r="A11" s="337" t="s">
        <v>10</v>
      </c>
      <c r="B11" s="337"/>
      <c r="C11" s="337"/>
      <c r="D11" s="337"/>
      <c r="E11" s="337"/>
      <c r="F11" s="337"/>
      <c r="G11" s="337"/>
      <c r="H11" s="337"/>
      <c r="I11" s="338"/>
    </row>
    <row r="12" spans="1:9" x14ac:dyDescent="0.25">
      <c r="A12" s="340" t="s">
        <v>129</v>
      </c>
      <c r="B12" s="337"/>
      <c r="C12" s="337"/>
      <c r="D12" s="337"/>
      <c r="E12" s="337"/>
      <c r="F12" s="337"/>
      <c r="G12" s="337"/>
      <c r="H12" s="337"/>
      <c r="I12" s="338"/>
    </row>
    <row r="13" spans="1:9" x14ac:dyDescent="0.25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x14ac:dyDescent="0.25">
      <c r="A14" s="341" t="s">
        <v>12</v>
      </c>
      <c r="B14" s="342" t="s">
        <v>13</v>
      </c>
      <c r="C14" s="342" t="s">
        <v>14</v>
      </c>
      <c r="D14" s="342" t="s">
        <v>15</v>
      </c>
      <c r="E14" s="342" t="s">
        <v>16</v>
      </c>
      <c r="F14" s="342" t="s">
        <v>17</v>
      </c>
      <c r="G14" s="342" t="s">
        <v>18</v>
      </c>
      <c r="H14" s="342" t="s">
        <v>15</v>
      </c>
      <c r="I14" s="342" t="s">
        <v>19</v>
      </c>
    </row>
    <row r="15" spans="1:9" x14ac:dyDescent="0.25">
      <c r="A15" s="343" t="s">
        <v>20</v>
      </c>
      <c r="B15" s="344"/>
      <c r="C15" s="344" t="s">
        <v>214</v>
      </c>
      <c r="D15" s="344" t="s">
        <v>22</v>
      </c>
      <c r="E15" s="344" t="s">
        <v>23</v>
      </c>
      <c r="F15" s="344" t="s">
        <v>23</v>
      </c>
      <c r="G15" s="344" t="s">
        <v>24</v>
      </c>
      <c r="H15" s="344" t="s">
        <v>25</v>
      </c>
      <c r="I15" s="344" t="s">
        <v>26</v>
      </c>
    </row>
    <row r="16" spans="1:9" x14ac:dyDescent="0.25">
      <c r="A16" s="343"/>
      <c r="B16" s="344"/>
      <c r="C16" s="344" t="s">
        <v>27</v>
      </c>
      <c r="D16" s="344" t="s">
        <v>28</v>
      </c>
      <c r="E16" s="344"/>
      <c r="F16" s="344"/>
      <c r="G16" s="344" t="s">
        <v>29</v>
      </c>
      <c r="H16" s="344" t="s">
        <v>30</v>
      </c>
      <c r="I16" s="344" t="s">
        <v>31</v>
      </c>
    </row>
    <row r="17" spans="1:9" x14ac:dyDescent="0.25">
      <c r="A17" s="343"/>
      <c r="B17" s="344"/>
      <c r="C17" s="344" t="s">
        <v>32</v>
      </c>
      <c r="D17" s="344" t="s">
        <v>33</v>
      </c>
      <c r="E17" s="344" t="s">
        <v>33</v>
      </c>
      <c r="F17" s="344" t="s">
        <v>33</v>
      </c>
      <c r="G17" s="344" t="s">
        <v>33</v>
      </c>
      <c r="H17" s="344" t="s">
        <v>33</v>
      </c>
      <c r="I17" s="344" t="s">
        <v>34</v>
      </c>
    </row>
    <row r="18" spans="1:9" x14ac:dyDescent="0.25">
      <c r="A18" s="345">
        <v>1</v>
      </c>
      <c r="B18" s="346">
        <v>2</v>
      </c>
      <c r="C18" s="345">
        <v>3</v>
      </c>
      <c r="D18" s="346">
        <v>4</v>
      </c>
      <c r="E18" s="345">
        <v>5</v>
      </c>
      <c r="F18" s="346">
        <v>6</v>
      </c>
      <c r="G18" s="345">
        <v>7</v>
      </c>
      <c r="H18" s="346">
        <v>8</v>
      </c>
      <c r="I18" s="346">
        <v>9</v>
      </c>
    </row>
    <row r="19" spans="1:9" x14ac:dyDescent="0.25">
      <c r="A19" s="347" t="s">
        <v>344</v>
      </c>
      <c r="B19" s="348" t="s">
        <v>323</v>
      </c>
      <c r="C19" s="348">
        <v>8.9600000000000009</v>
      </c>
      <c r="D19" s="349">
        <v>-78076.45</v>
      </c>
      <c r="E19" s="350">
        <v>577447.19999999995</v>
      </c>
      <c r="F19" s="347">
        <v>558246.93999999994</v>
      </c>
      <c r="G19" s="350">
        <v>577447.19999999995</v>
      </c>
      <c r="H19" s="351">
        <v>-97276.710000000021</v>
      </c>
      <c r="I19" s="350">
        <v>-97276.710000000021</v>
      </c>
    </row>
    <row r="20" spans="1:9" x14ac:dyDescent="0.25">
      <c r="A20" s="343" t="s">
        <v>36</v>
      </c>
      <c r="B20" s="344" t="s">
        <v>217</v>
      </c>
      <c r="C20" s="352"/>
      <c r="D20" s="353"/>
      <c r="E20" s="341"/>
      <c r="F20" s="354"/>
      <c r="G20" s="344" t="s">
        <v>72</v>
      </c>
      <c r="H20" s="355"/>
      <c r="I20" s="353"/>
    </row>
    <row r="21" spans="1:9" x14ac:dyDescent="0.25">
      <c r="A21" s="356"/>
      <c r="B21" s="357" t="s">
        <v>218</v>
      </c>
      <c r="C21" s="358">
        <v>3.08</v>
      </c>
      <c r="D21" s="359"/>
      <c r="E21" s="360">
        <v>198641.83679999996</v>
      </c>
      <c r="F21" s="359">
        <v>192036.94735999996</v>
      </c>
      <c r="G21" s="359">
        <v>198641.83679999996</v>
      </c>
      <c r="H21" s="361"/>
      <c r="I21" s="359"/>
    </row>
    <row r="22" spans="1:9" x14ac:dyDescent="0.25">
      <c r="A22" s="362" t="s">
        <v>38</v>
      </c>
      <c r="B22" s="342" t="s">
        <v>39</v>
      </c>
      <c r="C22" s="363">
        <v>1.47</v>
      </c>
      <c r="D22" s="359"/>
      <c r="E22" s="353">
        <v>94701.340799999976</v>
      </c>
      <c r="F22" s="353">
        <v>91552.498159999974</v>
      </c>
      <c r="G22" s="353">
        <v>94701.340799999976</v>
      </c>
      <c r="H22" s="364"/>
      <c r="I22" s="353"/>
    </row>
    <row r="23" spans="1:9" x14ac:dyDescent="0.25">
      <c r="A23" s="362" t="s">
        <v>40</v>
      </c>
      <c r="B23" s="342" t="s">
        <v>41</v>
      </c>
      <c r="C23" s="363">
        <v>1.81</v>
      </c>
      <c r="D23" s="365"/>
      <c r="E23" s="353">
        <v>116644.33439999998</v>
      </c>
      <c r="F23" s="353">
        <v>112765.88187999999</v>
      </c>
      <c r="G23" s="365">
        <v>116644.33439999998</v>
      </c>
      <c r="H23" s="366"/>
      <c r="I23" s="365"/>
    </row>
    <row r="24" spans="1:9" x14ac:dyDescent="0.25">
      <c r="A24" s="362" t="s">
        <v>42</v>
      </c>
      <c r="B24" s="342" t="s">
        <v>43</v>
      </c>
      <c r="C24" s="346">
        <v>2.6</v>
      </c>
      <c r="D24" s="365"/>
      <c r="E24" s="353">
        <v>167459.68799999997</v>
      </c>
      <c r="F24" s="353">
        <v>161891.61259999996</v>
      </c>
      <c r="G24" s="365">
        <v>167459.68799999997</v>
      </c>
      <c r="H24" s="367"/>
      <c r="I24" s="365"/>
    </row>
    <row r="25" spans="1:9" x14ac:dyDescent="0.25">
      <c r="A25" s="362" t="s">
        <v>44</v>
      </c>
      <c r="B25" s="342" t="s">
        <v>47</v>
      </c>
      <c r="C25" s="358" t="s">
        <v>48</v>
      </c>
      <c r="D25" s="365">
        <v>-19728.849999999999</v>
      </c>
      <c r="E25" s="345">
        <v>111020.03</v>
      </c>
      <c r="F25" s="346">
        <v>116087.28</v>
      </c>
      <c r="G25" s="345">
        <v>111020.03</v>
      </c>
      <c r="H25" s="365">
        <v>-14661.600000000006</v>
      </c>
      <c r="I25" s="368">
        <v>-14661.600000000006</v>
      </c>
    </row>
    <row r="26" spans="1:9" x14ac:dyDescent="0.25">
      <c r="A26" s="369" t="s">
        <v>49</v>
      </c>
      <c r="B26" s="370" t="s">
        <v>191</v>
      </c>
      <c r="C26" s="371">
        <v>1</v>
      </c>
      <c r="D26" s="372">
        <v>-15399.8</v>
      </c>
      <c r="E26" s="370">
        <v>64447.199999999997</v>
      </c>
      <c r="F26" s="372">
        <v>62560.74</v>
      </c>
      <c r="G26" s="370">
        <v>64447.199999999997</v>
      </c>
      <c r="H26" s="373">
        <v>-17286.259999999995</v>
      </c>
      <c r="I26" s="372">
        <v>-17286.259999999995</v>
      </c>
    </row>
    <row r="27" spans="1:9" x14ac:dyDescent="0.25">
      <c r="A27" s="374" t="s">
        <v>51</v>
      </c>
      <c r="B27" s="348" t="s">
        <v>669</v>
      </c>
      <c r="C27" s="347">
        <v>3.43</v>
      </c>
      <c r="D27" s="372">
        <v>-56969.279999999999</v>
      </c>
      <c r="E27" s="348">
        <v>220868.85</v>
      </c>
      <c r="F27" s="350">
        <v>215027.49</v>
      </c>
      <c r="G27" s="375">
        <v>220868.85</v>
      </c>
      <c r="H27" s="372">
        <v>-62810.640000000014</v>
      </c>
      <c r="I27" s="372">
        <v>-62810.640000000014</v>
      </c>
    </row>
    <row r="28" spans="1:9" x14ac:dyDescent="0.25">
      <c r="A28" s="368" t="s">
        <v>56</v>
      </c>
      <c r="B28" s="370" t="s">
        <v>50</v>
      </c>
      <c r="C28" s="370">
        <v>4.5999999999999996</v>
      </c>
      <c r="D28" s="372">
        <v>-32049.19</v>
      </c>
      <c r="E28" s="370">
        <v>296457.12</v>
      </c>
      <c r="F28" s="370">
        <v>287906.65000000002</v>
      </c>
      <c r="G28" s="376">
        <v>296457.12</v>
      </c>
      <c r="H28" s="373">
        <v>-40599.659999999974</v>
      </c>
      <c r="I28" s="372">
        <v>-40599.659999999974</v>
      </c>
    </row>
    <row r="29" spans="1:9" x14ac:dyDescent="0.25">
      <c r="A29" s="377" t="s">
        <v>60</v>
      </c>
      <c r="B29" s="377" t="s">
        <v>219</v>
      </c>
      <c r="C29" s="378"/>
      <c r="D29" s="377"/>
      <c r="E29" s="379"/>
      <c r="F29" s="377"/>
      <c r="G29" s="377"/>
      <c r="H29" s="380"/>
      <c r="I29" s="381"/>
    </row>
    <row r="30" spans="1:9" x14ac:dyDescent="0.25">
      <c r="A30" s="348"/>
      <c r="B30" s="348" t="s">
        <v>231</v>
      </c>
      <c r="C30" s="348">
        <v>1.82</v>
      </c>
      <c r="D30" s="348">
        <v>197058.13</v>
      </c>
      <c r="E30" s="374">
        <v>117293.75999999999</v>
      </c>
      <c r="F30" s="348">
        <v>140659.37</v>
      </c>
      <c r="G30" s="348">
        <v>5172.6499999999996</v>
      </c>
      <c r="H30" s="382">
        <v>332544.84999999998</v>
      </c>
      <c r="I30" s="350"/>
    </row>
    <row r="31" spans="1:9" x14ac:dyDescent="0.25">
      <c r="A31" s="370"/>
      <c r="B31" s="346" t="s">
        <v>53</v>
      </c>
      <c r="C31" s="370"/>
      <c r="D31" s="375"/>
      <c r="E31" s="370"/>
      <c r="F31" s="370">
        <v>115741.45</v>
      </c>
      <c r="G31" s="368"/>
      <c r="H31" s="382"/>
      <c r="I31" s="350"/>
    </row>
    <row r="32" spans="1:9" x14ac:dyDescent="0.25">
      <c r="A32" s="383"/>
      <c r="B32" s="344" t="s">
        <v>143</v>
      </c>
      <c r="C32" s="348"/>
      <c r="D32" s="384"/>
      <c r="E32" s="348"/>
      <c r="F32" s="348">
        <v>24917.919999999998</v>
      </c>
      <c r="G32" s="374"/>
      <c r="H32" s="382"/>
      <c r="I32" s="350"/>
    </row>
    <row r="33" spans="1:9" x14ac:dyDescent="0.25">
      <c r="A33" s="370" t="s">
        <v>355</v>
      </c>
      <c r="B33" s="370" t="s">
        <v>670</v>
      </c>
      <c r="C33" s="372">
        <v>0</v>
      </c>
      <c r="D33" s="375">
        <v>24453.35</v>
      </c>
      <c r="E33" s="370">
        <v>0</v>
      </c>
      <c r="F33" s="372">
        <v>-24917.919999999998</v>
      </c>
      <c r="G33" s="374">
        <v>0</v>
      </c>
      <c r="H33" s="375">
        <v>0</v>
      </c>
      <c r="I33" s="372"/>
    </row>
    <row r="34" spans="1:9" x14ac:dyDescent="0.25">
      <c r="A34" s="385"/>
      <c r="B34" s="346" t="s">
        <v>53</v>
      </c>
      <c r="C34" s="386"/>
      <c r="D34" s="346">
        <v>0</v>
      </c>
      <c r="E34" s="345">
        <v>0</v>
      </c>
      <c r="F34" s="346">
        <v>464.57</v>
      </c>
      <c r="G34" s="356">
        <v>0</v>
      </c>
      <c r="H34" s="387"/>
      <c r="I34" s="365"/>
    </row>
    <row r="35" spans="1:9" x14ac:dyDescent="0.25">
      <c r="A35" s="385"/>
      <c r="B35" s="346" t="s">
        <v>58</v>
      </c>
      <c r="C35" s="386"/>
      <c r="D35" s="346">
        <v>0</v>
      </c>
      <c r="E35" s="345">
        <v>0</v>
      </c>
      <c r="F35" s="346">
        <v>24917.919999999998</v>
      </c>
      <c r="G35" s="345">
        <v>0</v>
      </c>
      <c r="H35" s="387"/>
      <c r="I35" s="359"/>
    </row>
    <row r="36" spans="1:9" x14ac:dyDescent="0.25">
      <c r="A36" s="337" t="s">
        <v>59</v>
      </c>
      <c r="B36" s="342"/>
      <c r="C36" s="338"/>
      <c r="D36" s="336"/>
      <c r="E36" s="338"/>
      <c r="F36" s="338"/>
      <c r="G36" s="338"/>
      <c r="H36" s="338"/>
      <c r="I36" s="338"/>
    </row>
    <row r="37" spans="1:9" x14ac:dyDescent="0.25">
      <c r="A37" s="388" t="s">
        <v>671</v>
      </c>
      <c r="B37" s="389" t="s">
        <v>61</v>
      </c>
      <c r="C37" s="389" t="s">
        <v>356</v>
      </c>
      <c r="D37" s="342" t="s">
        <v>672</v>
      </c>
      <c r="E37" s="363" t="s">
        <v>673</v>
      </c>
      <c r="F37" s="342" t="s">
        <v>356</v>
      </c>
      <c r="G37" s="342" t="s">
        <v>674</v>
      </c>
      <c r="H37" s="389" t="s">
        <v>195</v>
      </c>
      <c r="I37" s="341"/>
    </row>
    <row r="38" spans="1:9" x14ac:dyDescent="0.25">
      <c r="A38" s="340"/>
      <c r="B38" s="355"/>
      <c r="C38" s="390" t="s">
        <v>67</v>
      </c>
      <c r="D38" s="357" t="s">
        <v>23</v>
      </c>
      <c r="E38" s="358" t="s">
        <v>312</v>
      </c>
      <c r="F38" s="357" t="s">
        <v>30</v>
      </c>
      <c r="G38" s="357"/>
      <c r="H38" s="390"/>
      <c r="I38" s="356"/>
    </row>
    <row r="39" spans="1:9" x14ac:dyDescent="0.25">
      <c r="A39" s="358"/>
      <c r="B39" s="390" t="s">
        <v>69</v>
      </c>
      <c r="C39" s="365">
        <v>23746.12</v>
      </c>
      <c r="D39" s="356">
        <v>6000</v>
      </c>
      <c r="E39" s="359">
        <v>900</v>
      </c>
      <c r="F39" s="359">
        <v>28846.12</v>
      </c>
      <c r="G39" s="391"/>
      <c r="H39" s="392">
        <v>28846.12</v>
      </c>
      <c r="I39" s="356"/>
    </row>
    <row r="40" spans="1:9" x14ac:dyDescent="0.25">
      <c r="A40" s="387"/>
      <c r="B40" s="346"/>
      <c r="C40" s="345"/>
      <c r="D40" s="346"/>
      <c r="E40" s="386"/>
      <c r="F40" s="365"/>
      <c r="G40" s="372"/>
      <c r="H40" s="386" t="s">
        <v>72</v>
      </c>
      <c r="I40" s="385"/>
    </row>
    <row r="41" spans="1:9" x14ac:dyDescent="0.25">
      <c r="A41" s="352"/>
      <c r="B41" s="352"/>
      <c r="C41" s="393"/>
      <c r="D41" s="352"/>
      <c r="E41" s="394"/>
      <c r="F41" s="394"/>
      <c r="G41" s="394"/>
      <c r="H41" s="394"/>
      <c r="I41" s="352"/>
    </row>
    <row r="42" spans="1:9" x14ac:dyDescent="0.25">
      <c r="A42" s="337" t="s">
        <v>248</v>
      </c>
      <c r="B42" s="337"/>
      <c r="C42" s="337"/>
      <c r="D42" s="395"/>
      <c r="E42" s="337"/>
      <c r="F42" s="337"/>
      <c r="G42" s="337"/>
      <c r="H42" s="396"/>
      <c r="I42" s="337"/>
    </row>
    <row r="43" spans="1:9" x14ac:dyDescent="0.25">
      <c r="A43" s="341" t="s">
        <v>72</v>
      </c>
      <c r="B43" s="380" t="s">
        <v>73</v>
      </c>
      <c r="C43" s="342" t="s">
        <v>74</v>
      </c>
      <c r="D43" s="342" t="s">
        <v>75</v>
      </c>
      <c r="E43" s="342" t="s">
        <v>76</v>
      </c>
      <c r="F43" s="363" t="s">
        <v>77</v>
      </c>
      <c r="G43" s="389" t="s">
        <v>249</v>
      </c>
      <c r="H43" s="342" t="s">
        <v>79</v>
      </c>
      <c r="I43" s="341" t="s">
        <v>19</v>
      </c>
    </row>
    <row r="44" spans="1:9" x14ac:dyDescent="0.25">
      <c r="A44" s="343"/>
      <c r="B44" s="384" t="s">
        <v>80</v>
      </c>
      <c r="C44" s="344" t="s">
        <v>81</v>
      </c>
      <c r="D44" s="344" t="s">
        <v>82</v>
      </c>
      <c r="E44" s="344" t="s">
        <v>83</v>
      </c>
      <c r="F44" s="352" t="s">
        <v>84</v>
      </c>
      <c r="G44" s="355" t="s">
        <v>85</v>
      </c>
      <c r="H44" s="344" t="s">
        <v>86</v>
      </c>
      <c r="I44" s="343" t="s">
        <v>87</v>
      </c>
    </row>
    <row r="45" spans="1:9" x14ac:dyDescent="0.25">
      <c r="A45" s="343"/>
      <c r="B45" s="355"/>
      <c r="C45" s="344"/>
      <c r="D45" s="344"/>
      <c r="E45" s="344"/>
      <c r="F45" s="352" t="s">
        <v>88</v>
      </c>
      <c r="G45" s="355" t="s">
        <v>89</v>
      </c>
      <c r="H45" s="344"/>
      <c r="I45" s="343" t="s">
        <v>30</v>
      </c>
    </row>
    <row r="46" spans="1:9" x14ac:dyDescent="0.25">
      <c r="A46" s="397"/>
      <c r="B46" s="385"/>
      <c r="C46" s="345"/>
      <c r="D46" s="346"/>
      <c r="E46" s="345"/>
      <c r="F46" s="346"/>
      <c r="G46" s="345"/>
      <c r="H46" s="346"/>
      <c r="I46" s="385"/>
    </row>
    <row r="47" spans="1:9" x14ac:dyDescent="0.25">
      <c r="A47" s="343">
        <v>1</v>
      </c>
      <c r="B47" s="344" t="s">
        <v>91</v>
      </c>
      <c r="C47" s="340" t="s">
        <v>92</v>
      </c>
      <c r="D47" s="344">
        <v>-156527.19</v>
      </c>
      <c r="E47" s="398">
        <v>514574.54</v>
      </c>
      <c r="F47" s="344">
        <v>482451.25</v>
      </c>
      <c r="G47" s="398">
        <v>514574.54</v>
      </c>
      <c r="H47" s="344">
        <v>-188650.47999999998</v>
      </c>
      <c r="I47" s="344">
        <v>-188650.47999999998</v>
      </c>
    </row>
    <row r="48" spans="1:9" x14ac:dyDescent="0.25">
      <c r="A48" s="346"/>
      <c r="B48" s="346" t="s">
        <v>487</v>
      </c>
      <c r="C48" s="376" t="s">
        <v>94</v>
      </c>
      <c r="D48" s="346"/>
      <c r="E48" s="399"/>
      <c r="F48" s="346"/>
      <c r="G48" s="399"/>
      <c r="H48" s="346"/>
      <c r="I48" s="346"/>
    </row>
    <row r="49" spans="1:9" x14ac:dyDescent="0.25">
      <c r="A49" s="343">
        <v>2</v>
      </c>
      <c r="B49" s="344" t="s">
        <v>160</v>
      </c>
      <c r="C49" s="337" t="s">
        <v>96</v>
      </c>
      <c r="D49" s="344">
        <v>-446162.16</v>
      </c>
      <c r="E49" s="338">
        <v>858002.24</v>
      </c>
      <c r="F49" s="344">
        <v>807789.2</v>
      </c>
      <c r="G49" s="338">
        <v>858002.24</v>
      </c>
      <c r="H49" s="344">
        <v>-496375.2</v>
      </c>
      <c r="I49" s="344">
        <v>-496375.2</v>
      </c>
    </row>
    <row r="50" spans="1:9" x14ac:dyDescent="0.25">
      <c r="A50" s="346"/>
      <c r="B50" s="346" t="s">
        <v>313</v>
      </c>
      <c r="C50" s="376" t="s">
        <v>94</v>
      </c>
      <c r="D50" s="346"/>
      <c r="E50" s="345"/>
      <c r="F50" s="346"/>
      <c r="G50" s="345"/>
      <c r="H50" s="346"/>
      <c r="I50" s="346"/>
    </row>
    <row r="51" spans="1:9" x14ac:dyDescent="0.25">
      <c r="A51" s="385">
        <v>3</v>
      </c>
      <c r="B51" s="346" t="s">
        <v>99</v>
      </c>
      <c r="C51" s="376" t="s">
        <v>100</v>
      </c>
      <c r="D51" s="346">
        <v>-709027.95</v>
      </c>
      <c r="E51" s="345">
        <v>1941380.45</v>
      </c>
      <c r="F51" s="346">
        <v>1872215.35</v>
      </c>
      <c r="G51" s="345">
        <v>1941380.45</v>
      </c>
      <c r="H51" s="346">
        <v>-778193.04999999981</v>
      </c>
      <c r="I51" s="346">
        <v>-778193.04999999981</v>
      </c>
    </row>
    <row r="52" spans="1:9" x14ac:dyDescent="0.25">
      <c r="A52" s="337" t="s">
        <v>251</v>
      </c>
      <c r="B52" s="338"/>
      <c r="C52" s="338"/>
      <c r="D52" s="338"/>
      <c r="E52" s="338"/>
      <c r="F52" s="338"/>
      <c r="G52" s="338"/>
      <c r="H52" s="338"/>
      <c r="I52" s="338"/>
    </row>
    <row r="53" spans="1:9" x14ac:dyDescent="0.25">
      <c r="A53" s="340" t="s">
        <v>252</v>
      </c>
      <c r="B53" s="338"/>
      <c r="C53" s="338"/>
      <c r="D53" s="338"/>
      <c r="E53" s="338"/>
      <c r="F53" s="338"/>
      <c r="G53" s="338"/>
      <c r="H53" s="338"/>
      <c r="I53" s="338"/>
    </row>
    <row r="54" spans="1:9" x14ac:dyDescent="0.25">
      <c r="A54" s="363" t="s">
        <v>12</v>
      </c>
      <c r="B54" s="342" t="s">
        <v>103</v>
      </c>
      <c r="C54" s="389" t="s">
        <v>104</v>
      </c>
      <c r="D54" s="363"/>
      <c r="E54" s="363"/>
      <c r="F54" s="341"/>
      <c r="G54" s="342" t="s">
        <v>199</v>
      </c>
      <c r="H54" s="341" t="s">
        <v>200</v>
      </c>
      <c r="I54" s="342" t="s">
        <v>107</v>
      </c>
    </row>
    <row r="55" spans="1:9" x14ac:dyDescent="0.25">
      <c r="A55" s="352" t="s">
        <v>108</v>
      </c>
      <c r="B55" s="344"/>
      <c r="C55" s="355"/>
      <c r="D55" s="352"/>
      <c r="E55" s="352"/>
      <c r="F55" s="343"/>
      <c r="G55" s="344" t="s">
        <v>201</v>
      </c>
      <c r="H55" s="343"/>
      <c r="I55" s="344" t="s">
        <v>109</v>
      </c>
    </row>
    <row r="56" spans="1:9" x14ac:dyDescent="0.25">
      <c r="A56" s="352"/>
      <c r="B56" s="344"/>
      <c r="C56" s="355"/>
      <c r="D56" s="352"/>
      <c r="E56" s="352"/>
      <c r="F56" s="343"/>
      <c r="G56" s="344"/>
      <c r="H56" s="343"/>
      <c r="I56" s="344"/>
    </row>
    <row r="57" spans="1:9" x14ac:dyDescent="0.25">
      <c r="A57" s="400"/>
      <c r="B57" s="377"/>
      <c r="C57" s="380" t="s">
        <v>110</v>
      </c>
      <c r="D57" s="388"/>
      <c r="E57" s="388"/>
      <c r="F57" s="341"/>
      <c r="G57" s="342"/>
      <c r="H57" s="363"/>
      <c r="I57" s="342"/>
    </row>
    <row r="58" spans="1:9" x14ac:dyDescent="0.25">
      <c r="A58" s="401"/>
      <c r="B58" s="344"/>
      <c r="C58" s="355"/>
      <c r="D58" s="352"/>
      <c r="E58" s="352"/>
      <c r="F58" s="343" t="s">
        <v>72</v>
      </c>
      <c r="G58" s="354"/>
      <c r="H58" s="352" t="s">
        <v>72</v>
      </c>
      <c r="I58" s="344" t="s">
        <v>72</v>
      </c>
    </row>
    <row r="59" spans="1:9" x14ac:dyDescent="0.25">
      <c r="A59" s="401" t="s">
        <v>111</v>
      </c>
      <c r="B59" s="402">
        <v>43220</v>
      </c>
      <c r="C59" s="355" t="s">
        <v>675</v>
      </c>
      <c r="D59" s="352"/>
      <c r="E59" s="352"/>
      <c r="F59" s="343"/>
      <c r="G59" s="354" t="s">
        <v>205</v>
      </c>
      <c r="H59" s="352">
        <v>1</v>
      </c>
      <c r="I59" s="344">
        <v>5172.6499999999996</v>
      </c>
    </row>
    <row r="60" spans="1:9" x14ac:dyDescent="0.25">
      <c r="A60" s="401"/>
      <c r="B60" s="402"/>
      <c r="C60" s="355"/>
      <c r="D60" s="352"/>
      <c r="E60" s="352"/>
      <c r="F60" s="343"/>
      <c r="G60" s="354"/>
      <c r="H60" s="352"/>
      <c r="I60" s="344"/>
    </row>
    <row r="61" spans="1:9" x14ac:dyDescent="0.25">
      <c r="A61" s="403"/>
      <c r="B61" s="357"/>
      <c r="C61" s="382" t="s">
        <v>117</v>
      </c>
      <c r="D61" s="347"/>
      <c r="E61" s="347"/>
      <c r="F61" s="374"/>
      <c r="G61" s="350"/>
      <c r="H61" s="347"/>
      <c r="I61" s="348">
        <v>5172.6499999999996</v>
      </c>
    </row>
    <row r="62" spans="1:9" x14ac:dyDescent="0.25">
      <c r="A62" s="352"/>
      <c r="B62" s="352"/>
      <c r="C62" s="352"/>
      <c r="D62" s="352"/>
      <c r="E62" s="352"/>
      <c r="F62" s="352"/>
      <c r="G62" s="352"/>
      <c r="H62" s="352"/>
      <c r="I62" s="404"/>
    </row>
    <row r="63" spans="1:9" x14ac:dyDescent="0.25">
      <c r="A63" s="352"/>
      <c r="B63" s="340"/>
      <c r="C63" s="340"/>
      <c r="D63" s="352"/>
      <c r="E63" s="352"/>
      <c r="F63" s="352"/>
      <c r="G63" s="394"/>
      <c r="H63" s="352"/>
      <c r="I63" s="352"/>
    </row>
    <row r="64" spans="1:9" x14ac:dyDescent="0.25">
      <c r="A64" s="338" t="s">
        <v>422</v>
      </c>
      <c r="B64" s="338"/>
      <c r="C64" s="338" t="s">
        <v>207</v>
      </c>
      <c r="D64" s="405" t="s">
        <v>119</v>
      </c>
      <c r="E64" s="336"/>
      <c r="F64" s="338" t="s">
        <v>120</v>
      </c>
      <c r="G64" s="338" t="s">
        <v>264</v>
      </c>
      <c r="H64" s="338"/>
      <c r="I64" s="338" t="s">
        <v>265</v>
      </c>
    </row>
  </sheetData>
  <pageMargins left="0.7" right="0.7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opLeftCell="A40" workbookViewId="0">
      <selection activeCell="A44" sqref="A44:I47"/>
    </sheetView>
  </sheetViews>
  <sheetFormatPr defaultRowHeight="15" x14ac:dyDescent="0.25"/>
  <cols>
    <col min="1" max="1" width="5.140625" customWidth="1"/>
    <col min="2" max="2" width="32.28515625" customWidth="1"/>
    <col min="3" max="3" width="12.42578125" customWidth="1"/>
    <col min="6" max="6" width="16.7109375" customWidth="1"/>
    <col min="8" max="8" width="11.5703125" customWidth="1"/>
    <col min="9" max="9" width="20.28515625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  <c r="I3" s="3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676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677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678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679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4" t="s">
        <v>129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483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484</v>
      </c>
    </row>
    <row r="17" spans="1:9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9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53">
        <v>1</v>
      </c>
      <c r="B19" s="63" t="s">
        <v>186</v>
      </c>
      <c r="C19" s="63"/>
      <c r="D19" s="63"/>
      <c r="E19" s="203" t="s">
        <v>72</v>
      </c>
      <c r="F19" s="63" t="s">
        <v>72</v>
      </c>
      <c r="G19" s="63"/>
      <c r="H19" s="53" t="s">
        <v>72</v>
      </c>
      <c r="I19" s="160"/>
    </row>
    <row r="20" spans="1:9" x14ac:dyDescent="0.25">
      <c r="A20" s="14"/>
      <c r="B20" s="11" t="s">
        <v>187</v>
      </c>
      <c r="C20" s="11">
        <v>8.9600000000000009</v>
      </c>
      <c r="D20" s="11">
        <v>4478.17</v>
      </c>
      <c r="E20" s="16">
        <v>119218.2</v>
      </c>
      <c r="F20" s="13">
        <v>113109.26</v>
      </c>
      <c r="G20" s="16">
        <f>E20</f>
        <v>119218.2</v>
      </c>
      <c r="H20" s="15">
        <f>D20+F20-G20</f>
        <v>-1630.7700000000041</v>
      </c>
      <c r="I20" s="16">
        <f>H20</f>
        <v>-1630.7700000000041</v>
      </c>
    </row>
    <row r="21" spans="1:9" x14ac:dyDescent="0.25">
      <c r="A21" s="6" t="s">
        <v>36</v>
      </c>
      <c r="B21" s="6" t="s">
        <v>217</v>
      </c>
      <c r="C21" s="43"/>
      <c r="D21" s="26" t="s">
        <v>72</v>
      </c>
      <c r="E21" s="43"/>
      <c r="F21" s="26"/>
      <c r="G21" s="6" t="s">
        <v>72</v>
      </c>
      <c r="H21" s="49"/>
      <c r="I21" s="33"/>
    </row>
    <row r="22" spans="1:9" x14ac:dyDescent="0.25">
      <c r="A22" s="17"/>
      <c r="B22" s="17" t="s">
        <v>218</v>
      </c>
      <c r="C22" s="61">
        <v>3.08</v>
      </c>
      <c r="D22" s="21"/>
      <c r="E22" s="243">
        <f>E20*34.4%</f>
        <v>41011.060799999999</v>
      </c>
      <c r="F22" s="21">
        <f>F20*34.4%</f>
        <v>38909.585439999995</v>
      </c>
      <c r="G22" s="21">
        <f>E22</f>
        <v>41011.060799999999</v>
      </c>
      <c r="H22" s="20"/>
      <c r="I22" s="21"/>
    </row>
    <row r="23" spans="1:9" x14ac:dyDescent="0.25">
      <c r="A23" s="22" t="s">
        <v>38</v>
      </c>
      <c r="B23" s="5" t="s">
        <v>188</v>
      </c>
      <c r="C23" s="54">
        <v>1.47</v>
      </c>
      <c r="D23" s="33"/>
      <c r="E23" s="24">
        <f>E20*16.4%</f>
        <v>19551.784799999998</v>
      </c>
      <c r="F23" s="33">
        <f>F20*16.4%</f>
        <v>18549.918639999996</v>
      </c>
      <c r="G23" s="33">
        <f>E23</f>
        <v>19551.784799999998</v>
      </c>
      <c r="H23" s="25"/>
      <c r="I23" s="33"/>
    </row>
    <row r="24" spans="1:9" x14ac:dyDescent="0.25">
      <c r="A24" s="17"/>
      <c r="B24" s="17" t="s">
        <v>189</v>
      </c>
      <c r="C24" s="61"/>
      <c r="D24" s="21"/>
      <c r="E24" s="61"/>
      <c r="F24" s="21"/>
      <c r="G24" s="17" t="s">
        <v>72</v>
      </c>
      <c r="H24" s="50"/>
      <c r="I24" s="21"/>
    </row>
    <row r="25" spans="1:9" x14ac:dyDescent="0.25">
      <c r="A25" s="22" t="s">
        <v>40</v>
      </c>
      <c r="B25" s="5" t="s">
        <v>680</v>
      </c>
      <c r="C25" s="54">
        <v>1.81</v>
      </c>
      <c r="D25" s="205"/>
      <c r="E25" s="24">
        <f>E20*20.2%</f>
        <v>24082.076399999998</v>
      </c>
      <c r="F25" s="33">
        <f>F20*20.2%</f>
        <v>22848.070519999997</v>
      </c>
      <c r="G25" s="33">
        <f>E25</f>
        <v>24082.076399999998</v>
      </c>
      <c r="H25" s="234"/>
      <c r="I25" s="33"/>
    </row>
    <row r="26" spans="1:9" x14ac:dyDescent="0.25">
      <c r="A26" s="22" t="s">
        <v>42</v>
      </c>
      <c r="B26" s="5" t="s">
        <v>681</v>
      </c>
      <c r="C26" s="54">
        <v>2.6</v>
      </c>
      <c r="D26" s="33"/>
      <c r="E26" s="24">
        <f>E20*29%</f>
        <v>34573.277999999998</v>
      </c>
      <c r="F26" s="33">
        <f>F20*29%</f>
        <v>32801.685399999995</v>
      </c>
      <c r="G26" s="25">
        <f>E26</f>
        <v>34573.277999999998</v>
      </c>
      <c r="H26" s="25"/>
      <c r="I26" s="33"/>
    </row>
    <row r="27" spans="1:9" x14ac:dyDescent="0.25">
      <c r="A27" s="17"/>
      <c r="B27" s="17" t="s">
        <v>682</v>
      </c>
      <c r="C27" s="61"/>
      <c r="D27" s="21"/>
      <c r="E27" s="61"/>
      <c r="F27" s="21"/>
      <c r="G27" s="50" t="s">
        <v>72</v>
      </c>
      <c r="H27" s="20"/>
      <c r="I27" s="21"/>
    </row>
    <row r="28" spans="1:9" x14ac:dyDescent="0.25">
      <c r="A28" s="66" t="s">
        <v>44</v>
      </c>
      <c r="B28" s="17" t="s">
        <v>45</v>
      </c>
      <c r="C28" s="61">
        <v>1755.25</v>
      </c>
      <c r="D28" s="21">
        <v>-32.53</v>
      </c>
      <c r="E28" s="61">
        <v>438.48</v>
      </c>
      <c r="F28" s="21">
        <v>420.72</v>
      </c>
      <c r="G28" s="61">
        <f>E28</f>
        <v>438.48</v>
      </c>
      <c r="H28" s="20">
        <f>D28+F28-E28</f>
        <v>-50.289999999999964</v>
      </c>
      <c r="I28" s="16">
        <f>H28</f>
        <v>-50.289999999999964</v>
      </c>
    </row>
    <row r="29" spans="1:9" x14ac:dyDescent="0.25">
      <c r="A29" s="66" t="s">
        <v>46</v>
      </c>
      <c r="B29" s="17" t="s">
        <v>47</v>
      </c>
      <c r="C29" s="61" t="s">
        <v>48</v>
      </c>
      <c r="D29" s="21">
        <v>-2152.81</v>
      </c>
      <c r="E29" s="9">
        <v>13972.68</v>
      </c>
      <c r="F29" s="8">
        <v>13360.63</v>
      </c>
      <c r="G29" s="9">
        <f>E29</f>
        <v>13972.68</v>
      </c>
      <c r="H29" s="30">
        <f>D29+F29-E29</f>
        <v>-2764.8600000000006</v>
      </c>
      <c r="I29" s="10">
        <f>H29</f>
        <v>-2764.8600000000006</v>
      </c>
    </row>
    <row r="30" spans="1:9" x14ac:dyDescent="0.25">
      <c r="A30" s="10" t="s">
        <v>49</v>
      </c>
      <c r="B30" s="10" t="s">
        <v>50</v>
      </c>
      <c r="C30" s="10">
        <v>4.5999999999999996</v>
      </c>
      <c r="D30" s="38">
        <v>-3061.96</v>
      </c>
      <c r="E30" s="35">
        <v>61205.760000000002</v>
      </c>
      <c r="F30" s="10">
        <v>58693.82</v>
      </c>
      <c r="G30" s="35">
        <f>E30</f>
        <v>61205.760000000002</v>
      </c>
      <c r="H30" s="37">
        <f>D30+F30-G30</f>
        <v>-5573.9000000000015</v>
      </c>
      <c r="I30" s="38">
        <f>H30</f>
        <v>-5573.9000000000015</v>
      </c>
    </row>
    <row r="31" spans="1:9" x14ac:dyDescent="0.25">
      <c r="A31" s="63" t="s">
        <v>51</v>
      </c>
      <c r="B31" s="39" t="s">
        <v>310</v>
      </c>
      <c r="C31" s="4">
        <v>1.82</v>
      </c>
      <c r="D31" s="55">
        <v>102390.27</v>
      </c>
      <c r="E31" s="39">
        <v>24216.12</v>
      </c>
      <c r="F31" s="39">
        <f>F32+F33</f>
        <v>57256.820000000007</v>
      </c>
      <c r="G31" s="39">
        <f>I64</f>
        <v>18644.059999999998</v>
      </c>
      <c r="H31" s="55">
        <f>D31+F31-G31</f>
        <v>141003.03000000003</v>
      </c>
      <c r="I31" s="41"/>
    </row>
    <row r="32" spans="1:9" x14ac:dyDescent="0.25">
      <c r="A32" s="10"/>
      <c r="B32" s="8" t="s">
        <v>53</v>
      </c>
      <c r="C32" s="35"/>
      <c r="D32" s="36"/>
      <c r="E32" s="10"/>
      <c r="F32" s="10">
        <v>23232.95</v>
      </c>
      <c r="G32" s="35"/>
      <c r="H32" s="36"/>
      <c r="I32" s="38"/>
    </row>
    <row r="33" spans="1:9" x14ac:dyDescent="0.25">
      <c r="A33" s="10"/>
      <c r="B33" s="8" t="s">
        <v>58</v>
      </c>
      <c r="C33" s="35"/>
      <c r="D33" s="36"/>
      <c r="E33" s="10"/>
      <c r="F33" s="10">
        <v>34023.870000000003</v>
      </c>
      <c r="G33" s="35"/>
      <c r="H33" s="36"/>
      <c r="I33" s="38"/>
    </row>
    <row r="34" spans="1:9" x14ac:dyDescent="0.25">
      <c r="A34" s="39" t="s">
        <v>56</v>
      </c>
      <c r="B34" s="39" t="s">
        <v>144</v>
      </c>
      <c r="C34" s="4"/>
      <c r="D34" s="55" t="s">
        <v>72</v>
      </c>
      <c r="E34" s="39"/>
      <c r="F34" s="39"/>
      <c r="G34" s="4" t="s">
        <v>145</v>
      </c>
      <c r="H34" s="55" t="s">
        <v>72</v>
      </c>
      <c r="I34" s="41" t="str">
        <f>H34</f>
        <v xml:space="preserve"> </v>
      </c>
    </row>
    <row r="35" spans="1:9" x14ac:dyDescent="0.25">
      <c r="A35" s="10"/>
      <c r="B35" s="10" t="s">
        <v>683</v>
      </c>
      <c r="C35" s="38">
        <v>0</v>
      </c>
      <c r="D35" s="36">
        <v>34023.870000000003</v>
      </c>
      <c r="E35" s="10">
        <v>0</v>
      </c>
      <c r="F35" s="10">
        <f>-34023.87</f>
        <v>-34023.870000000003</v>
      </c>
      <c r="G35" s="35">
        <v>0</v>
      </c>
      <c r="H35" s="36">
        <f>D35+F35-G35</f>
        <v>0</v>
      </c>
      <c r="I35" s="38"/>
    </row>
    <row r="36" spans="1:9" x14ac:dyDescent="0.25">
      <c r="A36" s="8"/>
      <c r="B36" s="8" t="s">
        <v>53</v>
      </c>
      <c r="C36" s="43"/>
      <c r="D36" s="44"/>
      <c r="E36" s="199"/>
      <c r="F36" s="26"/>
      <c r="G36" s="19"/>
      <c r="H36" s="44"/>
      <c r="I36" s="26"/>
    </row>
    <row r="37" spans="1:9" x14ac:dyDescent="0.25">
      <c r="A37" s="8"/>
      <c r="B37" s="8" t="s">
        <v>58</v>
      </c>
      <c r="C37" s="28"/>
      <c r="D37" s="7" t="s">
        <v>72</v>
      </c>
      <c r="E37" s="8">
        <v>0</v>
      </c>
      <c r="F37" s="8">
        <v>34023.870000000003</v>
      </c>
      <c r="G37" s="9">
        <v>0</v>
      </c>
      <c r="H37" s="7" t="s">
        <v>72</v>
      </c>
      <c r="I37" s="30"/>
    </row>
    <row r="38" spans="1:9" x14ac:dyDescent="0.25">
      <c r="A38" s="2" t="s">
        <v>684</v>
      </c>
      <c r="B38" s="43"/>
      <c r="C38" s="43"/>
      <c r="D38" s="43"/>
      <c r="E38" s="43"/>
      <c r="F38" s="43"/>
      <c r="G38" s="43"/>
      <c r="H38" s="43"/>
      <c r="I38" s="19"/>
    </row>
    <row r="39" spans="1:9" x14ac:dyDescent="0.25">
      <c r="A39" s="63" t="s">
        <v>60</v>
      </c>
      <c r="B39" s="54" t="s">
        <v>61</v>
      </c>
      <c r="C39" s="5" t="s">
        <v>65</v>
      </c>
      <c r="D39" s="47" t="s">
        <v>63</v>
      </c>
      <c r="E39" s="54" t="s">
        <v>64</v>
      </c>
      <c r="F39" s="5" t="s">
        <v>65</v>
      </c>
      <c r="G39" s="5"/>
      <c r="H39" s="54" t="s">
        <v>195</v>
      </c>
      <c r="I39" s="47"/>
    </row>
    <row r="40" spans="1:9" x14ac:dyDescent="0.25">
      <c r="A40" s="6"/>
      <c r="B40" s="43"/>
      <c r="C40" s="17" t="s">
        <v>67</v>
      </c>
      <c r="D40" s="51" t="s">
        <v>23</v>
      </c>
      <c r="E40" s="61" t="s">
        <v>312</v>
      </c>
      <c r="F40" s="17" t="s">
        <v>30</v>
      </c>
      <c r="G40" s="17"/>
      <c r="H40" s="61"/>
      <c r="I40" s="51"/>
    </row>
    <row r="41" spans="1:9" x14ac:dyDescent="0.25">
      <c r="A41" s="11"/>
      <c r="B41" s="61" t="s">
        <v>69</v>
      </c>
      <c r="C41" s="30">
        <v>23151.67</v>
      </c>
      <c r="D41" s="8">
        <v>6000</v>
      </c>
      <c r="E41" s="162">
        <f>D41*15%</f>
        <v>900</v>
      </c>
      <c r="F41" s="21">
        <f>C41+D41-E41</f>
        <v>28251.67</v>
      </c>
      <c r="G41" s="21"/>
      <c r="H41" s="162">
        <f>F41-G41</f>
        <v>28251.67</v>
      </c>
      <c r="I41" s="51"/>
    </row>
    <row r="42" spans="1:9" x14ac:dyDescent="0.25">
      <c r="A42" s="4"/>
      <c r="B42" s="43"/>
      <c r="C42" s="43"/>
      <c r="D42" s="166"/>
      <c r="E42" s="19"/>
      <c r="F42" s="19"/>
      <c r="G42" s="19"/>
      <c r="H42" s="19"/>
      <c r="I42" s="43"/>
    </row>
    <row r="43" spans="1:9" x14ac:dyDescent="0.25">
      <c r="A43" s="1" t="s">
        <v>248</v>
      </c>
      <c r="B43" s="1"/>
      <c r="C43" s="1"/>
      <c r="D43" s="45"/>
      <c r="E43" s="1"/>
      <c r="F43" s="1"/>
      <c r="G43" s="1"/>
      <c r="H43" s="1"/>
      <c r="I43" s="1"/>
    </row>
    <row r="44" spans="1:9" x14ac:dyDescent="0.25">
      <c r="A44" s="5"/>
      <c r="B44" s="54" t="s">
        <v>73</v>
      </c>
      <c r="C44" s="5" t="s">
        <v>74</v>
      </c>
      <c r="D44" s="54" t="s">
        <v>75</v>
      </c>
      <c r="E44" s="5" t="s">
        <v>76</v>
      </c>
      <c r="F44" s="54" t="s">
        <v>77</v>
      </c>
      <c r="G44" s="5" t="s">
        <v>249</v>
      </c>
      <c r="H44" s="5" t="s">
        <v>79</v>
      </c>
      <c r="I44" s="5" t="s">
        <v>19</v>
      </c>
    </row>
    <row r="45" spans="1:9" x14ac:dyDescent="0.25">
      <c r="A45" s="6"/>
      <c r="B45" s="43" t="s">
        <v>80</v>
      </c>
      <c r="C45" s="6" t="s">
        <v>81</v>
      </c>
      <c r="D45" s="43" t="s">
        <v>82</v>
      </c>
      <c r="E45" s="6" t="s">
        <v>83</v>
      </c>
      <c r="F45" s="43" t="s">
        <v>84</v>
      </c>
      <c r="G45" s="6" t="s">
        <v>85</v>
      </c>
      <c r="H45" s="6" t="s">
        <v>86</v>
      </c>
      <c r="I45" s="6" t="s">
        <v>87</v>
      </c>
    </row>
    <row r="46" spans="1:9" x14ac:dyDescent="0.25">
      <c r="A46" s="6"/>
      <c r="B46" s="43"/>
      <c r="C46" s="6"/>
      <c r="D46" s="43"/>
      <c r="E46" s="6"/>
      <c r="F46" s="43" t="s">
        <v>88</v>
      </c>
      <c r="G46" s="6" t="s">
        <v>89</v>
      </c>
      <c r="H46" s="6"/>
      <c r="I46" s="6" t="s">
        <v>512</v>
      </c>
    </row>
    <row r="47" spans="1:9" x14ac:dyDescent="0.25">
      <c r="A47" s="17"/>
      <c r="B47" s="61"/>
      <c r="C47" s="17"/>
      <c r="D47" s="61"/>
      <c r="E47" s="17"/>
      <c r="F47" s="61"/>
      <c r="G47" s="17"/>
      <c r="H47" s="17"/>
      <c r="I47" s="17"/>
    </row>
    <row r="48" spans="1:9" x14ac:dyDescent="0.25">
      <c r="A48" s="6">
        <v>1</v>
      </c>
      <c r="B48" s="6" t="s">
        <v>91</v>
      </c>
      <c r="C48" s="4" t="s">
        <v>92</v>
      </c>
      <c r="D48" s="6">
        <v>-9791.0400000000009</v>
      </c>
      <c r="E48" s="217">
        <v>46278.2</v>
      </c>
      <c r="F48" s="6">
        <v>41506.639999999999</v>
      </c>
      <c r="G48" s="217">
        <f>E48</f>
        <v>46278.2</v>
      </c>
      <c r="H48" s="6">
        <f>D48+F48-G48</f>
        <v>-14562.599999999999</v>
      </c>
      <c r="I48" s="6">
        <f>H48</f>
        <v>-14562.599999999999</v>
      </c>
    </row>
    <row r="49" spans="1:9" x14ac:dyDescent="0.25">
      <c r="A49" s="8"/>
      <c r="B49" s="8" t="s">
        <v>685</v>
      </c>
      <c r="C49" s="35" t="s">
        <v>94</v>
      </c>
      <c r="D49" s="8"/>
      <c r="E49" s="59"/>
      <c r="F49" s="8"/>
      <c r="G49" s="59"/>
      <c r="H49" s="8"/>
      <c r="I49" s="8"/>
    </row>
    <row r="50" spans="1:9" x14ac:dyDescent="0.25">
      <c r="A50" s="6">
        <v>2</v>
      </c>
      <c r="B50" s="6" t="s">
        <v>95</v>
      </c>
      <c r="C50" s="1" t="s">
        <v>96</v>
      </c>
      <c r="D50" s="17">
        <v>-34638.720000000001</v>
      </c>
      <c r="E50" s="2">
        <v>88332.78</v>
      </c>
      <c r="F50" s="6">
        <v>81807.25</v>
      </c>
      <c r="G50" s="2">
        <f>E50</f>
        <v>88332.78</v>
      </c>
      <c r="H50" s="6">
        <f>D50+F50-G50</f>
        <v>-41164.25</v>
      </c>
      <c r="I50" s="17">
        <f>H50</f>
        <v>-41164.25</v>
      </c>
    </row>
    <row r="51" spans="1:9" x14ac:dyDescent="0.25">
      <c r="A51" s="8"/>
      <c r="B51" s="8" t="s">
        <v>97</v>
      </c>
      <c r="C51" s="35"/>
      <c r="D51" s="8" t="s">
        <v>72</v>
      </c>
      <c r="E51" s="9"/>
      <c r="F51" s="8"/>
      <c r="G51" s="9"/>
      <c r="H51" s="5" t="s">
        <v>72</v>
      </c>
      <c r="I51" s="8" t="str">
        <f>H51</f>
        <v xml:space="preserve"> </v>
      </c>
    </row>
    <row r="52" spans="1:9" x14ac:dyDescent="0.25">
      <c r="A52" s="8"/>
      <c r="B52" s="8" t="s">
        <v>313</v>
      </c>
      <c r="C52" s="35" t="s">
        <v>94</v>
      </c>
      <c r="D52" s="8"/>
      <c r="E52" s="9"/>
      <c r="F52" s="8"/>
      <c r="G52" s="9"/>
      <c r="H52" s="5"/>
      <c r="I52" s="8"/>
    </row>
    <row r="53" spans="1:9" x14ac:dyDescent="0.25">
      <c r="A53" s="8">
        <v>3</v>
      </c>
      <c r="B53" s="8" t="s">
        <v>99</v>
      </c>
      <c r="C53" s="35" t="s">
        <v>100</v>
      </c>
      <c r="D53" s="8">
        <v>-150696.85</v>
      </c>
      <c r="E53" s="9">
        <v>400812.36</v>
      </c>
      <c r="F53" s="8">
        <v>383630.42</v>
      </c>
      <c r="G53" s="9">
        <f>E53</f>
        <v>400812.36</v>
      </c>
      <c r="H53" s="8">
        <f>D53+F53-G53</f>
        <v>-167878.79</v>
      </c>
      <c r="I53" s="8">
        <f>H53</f>
        <v>-167878.79</v>
      </c>
    </row>
    <row r="54" spans="1:9" x14ac:dyDescent="0.25">
      <c r="A54" s="43"/>
      <c r="B54" s="43"/>
      <c r="C54" s="4"/>
      <c r="D54" s="43"/>
      <c r="E54" s="43"/>
      <c r="F54" s="43"/>
      <c r="G54" s="43"/>
      <c r="H54" s="43"/>
      <c r="I54" s="43"/>
    </row>
    <row r="55" spans="1:9" x14ac:dyDescent="0.25">
      <c r="A55" s="4" t="s">
        <v>251</v>
      </c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4" t="s">
        <v>686</v>
      </c>
      <c r="B56" s="1"/>
      <c r="C56" s="1"/>
      <c r="D56" s="4" t="s">
        <v>687</v>
      </c>
      <c r="E56" s="1"/>
      <c r="F56" s="1"/>
      <c r="G56" s="1"/>
      <c r="H56" s="1"/>
      <c r="I56" s="1"/>
    </row>
    <row r="57" spans="1:9" x14ac:dyDescent="0.25">
      <c r="A57" s="5" t="s">
        <v>12</v>
      </c>
      <c r="B57" s="47" t="s">
        <v>103</v>
      </c>
      <c r="C57" s="46" t="s">
        <v>104</v>
      </c>
      <c r="D57" s="54"/>
      <c r="E57" s="54"/>
      <c r="F57" s="47"/>
      <c r="G57" s="5" t="s">
        <v>105</v>
      </c>
      <c r="H57" s="47" t="s">
        <v>106</v>
      </c>
      <c r="I57" s="5" t="s">
        <v>107</v>
      </c>
    </row>
    <row r="58" spans="1:9" x14ac:dyDescent="0.25">
      <c r="A58" s="17" t="s">
        <v>108</v>
      </c>
      <c r="B58" s="51"/>
      <c r="C58" s="50"/>
      <c r="D58" s="61"/>
      <c r="E58" s="61"/>
      <c r="F58" s="51"/>
      <c r="G58" s="17"/>
      <c r="H58" s="51"/>
      <c r="I58" s="17" t="s">
        <v>109</v>
      </c>
    </row>
    <row r="59" spans="1:9" x14ac:dyDescent="0.25">
      <c r="A59" s="228"/>
      <c r="B59" s="39"/>
      <c r="C59" s="4" t="s">
        <v>110</v>
      </c>
      <c r="D59" s="4"/>
      <c r="E59" s="4"/>
      <c r="F59" s="56"/>
      <c r="G59" s="6"/>
      <c r="H59" s="56"/>
      <c r="I59" s="6"/>
    </row>
    <row r="60" spans="1:9" x14ac:dyDescent="0.25">
      <c r="A60" s="64" t="s">
        <v>111</v>
      </c>
      <c r="B60" s="65">
        <v>43186</v>
      </c>
      <c r="C60" s="43" t="s">
        <v>112</v>
      </c>
      <c r="D60" s="43"/>
      <c r="E60" s="43"/>
      <c r="F60" s="56"/>
      <c r="G60" s="26" t="s">
        <v>113</v>
      </c>
      <c r="H60" s="56">
        <v>32</v>
      </c>
      <c r="I60" s="6">
        <v>6400</v>
      </c>
    </row>
    <row r="61" spans="1:9" x14ac:dyDescent="0.25">
      <c r="A61" s="64" t="s">
        <v>114</v>
      </c>
      <c r="B61" s="65">
        <v>43426</v>
      </c>
      <c r="C61" s="43" t="s">
        <v>688</v>
      </c>
      <c r="D61" s="43"/>
      <c r="E61" s="43"/>
      <c r="F61" s="56"/>
      <c r="G61" s="26" t="s">
        <v>421</v>
      </c>
      <c r="H61" s="56">
        <v>10</v>
      </c>
      <c r="I61" s="6">
        <v>12244.06</v>
      </c>
    </row>
    <row r="62" spans="1:9" x14ac:dyDescent="0.25">
      <c r="A62" s="64"/>
      <c r="B62" s="65"/>
      <c r="C62" s="43" t="s">
        <v>689</v>
      </c>
      <c r="D62" s="43"/>
      <c r="E62" s="43"/>
      <c r="F62" s="56"/>
      <c r="G62" s="26"/>
      <c r="H62" s="56"/>
      <c r="I62" s="6"/>
    </row>
    <row r="63" spans="1:9" x14ac:dyDescent="0.25">
      <c r="A63" s="64"/>
      <c r="B63" s="65"/>
      <c r="C63" s="43"/>
      <c r="D63" s="43"/>
      <c r="E63" s="43"/>
      <c r="F63" s="56"/>
      <c r="G63" s="26"/>
      <c r="H63" s="56"/>
      <c r="I63" s="6"/>
    </row>
    <row r="64" spans="1:9" x14ac:dyDescent="0.25">
      <c r="A64" s="66"/>
      <c r="B64" s="17"/>
      <c r="C64" s="13" t="s">
        <v>117</v>
      </c>
      <c r="D64" s="13"/>
      <c r="E64" s="13"/>
      <c r="F64" s="67"/>
      <c r="G64" s="268"/>
      <c r="H64" s="67"/>
      <c r="I64" s="11">
        <f>SUM(I59:I63)</f>
        <v>18644.059999999998</v>
      </c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2" t="s">
        <v>206</v>
      </c>
      <c r="B66" s="2"/>
      <c r="C66" s="2"/>
      <c r="D66" s="189" t="s">
        <v>119</v>
      </c>
      <c r="F66" s="2" t="s">
        <v>120</v>
      </c>
      <c r="G66" s="2"/>
      <c r="H66" s="2" t="s">
        <v>264</v>
      </c>
      <c r="I66" s="2" t="s">
        <v>281</v>
      </c>
    </row>
    <row r="67" spans="1:9" x14ac:dyDescent="0.25">
      <c r="B67" s="2"/>
    </row>
  </sheetData>
  <pageMargins left="0.7" right="0.7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4" workbookViewId="0">
      <selection activeCell="A20" sqref="A20"/>
    </sheetView>
  </sheetViews>
  <sheetFormatPr defaultRowHeight="15" x14ac:dyDescent="0.25"/>
  <cols>
    <col min="1" max="1" width="4.85546875" customWidth="1"/>
    <col min="2" max="2" width="32.42578125" customWidth="1"/>
    <col min="3" max="3" width="12.140625" customWidth="1"/>
    <col min="5" max="5" width="11" customWidth="1"/>
    <col min="6" max="6" width="13.42578125" customWidth="1"/>
    <col min="8" max="8" width="11.85546875" customWidth="1"/>
    <col min="9" max="9" width="18.140625" customWidth="1"/>
  </cols>
  <sheetData>
    <row r="1" spans="1:9" x14ac:dyDescent="0.25">
      <c r="A1" s="1" t="s">
        <v>690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1"/>
      <c r="C4" s="1"/>
      <c r="D4" s="1"/>
      <c r="E4" s="1"/>
      <c r="F4" s="1"/>
      <c r="G4" s="1"/>
      <c r="H4" s="1"/>
      <c r="I4" s="43"/>
    </row>
    <row r="5" spans="1:9" x14ac:dyDescent="0.25">
      <c r="A5" s="1" t="s">
        <v>691</v>
      </c>
      <c r="B5" s="2"/>
      <c r="C5" s="2"/>
      <c r="D5" s="2"/>
      <c r="E5" s="2"/>
      <c r="F5" s="2"/>
      <c r="G5" s="2"/>
      <c r="H5" s="1"/>
      <c r="I5" s="43"/>
    </row>
    <row r="6" spans="1:9" x14ac:dyDescent="0.25">
      <c r="A6" s="2" t="s">
        <v>692</v>
      </c>
      <c r="B6" s="2"/>
      <c r="C6" s="2"/>
      <c r="D6" s="2"/>
      <c r="E6" s="2"/>
      <c r="F6" s="2"/>
      <c r="G6" s="2"/>
      <c r="H6" s="2"/>
      <c r="I6" s="43"/>
    </row>
    <row r="7" spans="1:9" x14ac:dyDescent="0.25">
      <c r="A7" s="2" t="s">
        <v>126</v>
      </c>
      <c r="B7" s="2"/>
      <c r="C7" s="2"/>
      <c r="D7" s="2"/>
      <c r="E7" s="2"/>
      <c r="F7" s="2"/>
      <c r="G7" s="2"/>
      <c r="H7" s="2"/>
      <c r="I7" s="43"/>
    </row>
    <row r="8" spans="1:9" x14ac:dyDescent="0.25">
      <c r="A8" s="2" t="s">
        <v>693</v>
      </c>
      <c r="B8" s="2"/>
      <c r="C8" s="2"/>
      <c r="D8" s="2"/>
      <c r="E8" s="2"/>
      <c r="F8" s="2"/>
      <c r="G8" s="2"/>
      <c r="H8" s="2"/>
      <c r="I8" s="43"/>
    </row>
    <row r="9" spans="1:9" x14ac:dyDescent="0.25">
      <c r="A9" s="2" t="s">
        <v>694</v>
      </c>
      <c r="B9" s="2"/>
      <c r="C9" s="2"/>
      <c r="D9" s="2"/>
      <c r="E9" s="2"/>
      <c r="F9" s="2"/>
      <c r="G9" s="2"/>
      <c r="H9" s="2"/>
      <c r="I9" s="43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46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49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49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49" t="s">
        <v>33</v>
      </c>
      <c r="I16" s="6" t="s">
        <v>34</v>
      </c>
    </row>
    <row r="17" spans="1:9" x14ac:dyDescent="0.25">
      <c r="A17" s="8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7">
        <v>8</v>
      </c>
      <c r="I17" s="5">
        <v>9</v>
      </c>
    </row>
    <row r="18" spans="1:9" x14ac:dyDescent="0.25">
      <c r="A18" s="63">
        <v>1</v>
      </c>
      <c r="B18" s="63" t="s">
        <v>186</v>
      </c>
      <c r="C18" s="159"/>
      <c r="D18" s="53"/>
      <c r="E18" s="160"/>
      <c r="F18" s="63"/>
      <c r="G18" s="159"/>
      <c r="H18" s="53"/>
      <c r="I18" s="160" t="s">
        <v>72</v>
      </c>
    </row>
    <row r="19" spans="1:9" x14ac:dyDescent="0.25">
      <c r="A19" s="11"/>
      <c r="B19" s="11" t="s">
        <v>187</v>
      </c>
      <c r="C19" s="13">
        <v>8.5500000000000007</v>
      </c>
      <c r="D19" s="15">
        <v>-5105.18</v>
      </c>
      <c r="E19" s="11">
        <v>332898</v>
      </c>
      <c r="F19" s="11">
        <v>323069.40999999997</v>
      </c>
      <c r="G19" s="13">
        <f>E19</f>
        <v>332898</v>
      </c>
      <c r="H19" s="15">
        <f>D19+F19-G19</f>
        <v>-14933.770000000019</v>
      </c>
      <c r="I19" s="16">
        <f>H19</f>
        <v>-14933.770000000019</v>
      </c>
    </row>
    <row r="20" spans="1:9" x14ac:dyDescent="0.25">
      <c r="A20" s="6" t="s">
        <v>36</v>
      </c>
      <c r="B20" s="17" t="s">
        <v>37</v>
      </c>
      <c r="C20" s="162">
        <v>3.08</v>
      </c>
      <c r="D20" s="20"/>
      <c r="E20" s="21">
        <f>E19*36%</f>
        <v>119843.28</v>
      </c>
      <c r="F20" s="21">
        <f>F19*36%</f>
        <v>116304.98759999999</v>
      </c>
      <c r="G20" s="20">
        <f t="shared" ref="G20:G26" si="0">E20</f>
        <v>119843.28</v>
      </c>
      <c r="H20" s="20"/>
      <c r="I20" s="26"/>
    </row>
    <row r="21" spans="1:9" x14ac:dyDescent="0.25">
      <c r="A21" s="22" t="s">
        <v>38</v>
      </c>
      <c r="B21" s="5" t="s">
        <v>39</v>
      </c>
      <c r="C21" s="24">
        <v>1.51</v>
      </c>
      <c r="D21" s="44"/>
      <c r="E21" s="33">
        <f>E19*17.7%</f>
        <v>58922.945999999996</v>
      </c>
      <c r="F21" s="33">
        <f>F19*17.7%</f>
        <v>57183.285569999993</v>
      </c>
      <c r="G21" s="19">
        <f t="shared" si="0"/>
        <v>58922.945999999996</v>
      </c>
      <c r="H21" s="44"/>
      <c r="I21" s="30"/>
    </row>
    <row r="22" spans="1:9" x14ac:dyDescent="0.25">
      <c r="A22" s="22" t="s">
        <v>40</v>
      </c>
      <c r="B22" s="5" t="s">
        <v>41</v>
      </c>
      <c r="C22" s="24">
        <v>1.36</v>
      </c>
      <c r="D22" s="25"/>
      <c r="E22" s="33">
        <f>E19*16%</f>
        <v>53263.68</v>
      </c>
      <c r="F22" s="33">
        <f>F19*16%</f>
        <v>51691.105599999995</v>
      </c>
      <c r="G22" s="25">
        <f t="shared" si="0"/>
        <v>53263.68</v>
      </c>
      <c r="H22" s="25"/>
      <c r="I22" s="26"/>
    </row>
    <row r="23" spans="1:9" x14ac:dyDescent="0.25">
      <c r="A23" s="22" t="s">
        <v>42</v>
      </c>
      <c r="B23" s="5" t="s">
        <v>43</v>
      </c>
      <c r="C23" s="24">
        <v>2.6</v>
      </c>
      <c r="D23" s="25"/>
      <c r="E23" s="33">
        <f>E19*30.3%</f>
        <v>100868.094</v>
      </c>
      <c r="F23" s="33">
        <f>F19*30.3%</f>
        <v>97890.031229999993</v>
      </c>
      <c r="G23" s="25">
        <f t="shared" si="0"/>
        <v>100868.094</v>
      </c>
      <c r="H23" s="25"/>
      <c r="I23" s="33"/>
    </row>
    <row r="24" spans="1:9" x14ac:dyDescent="0.25">
      <c r="A24" s="22" t="s">
        <v>44</v>
      </c>
      <c r="B24" s="5" t="s">
        <v>45</v>
      </c>
      <c r="C24" s="24">
        <v>1755.25</v>
      </c>
      <c r="D24" s="25">
        <v>1212.3800000000001</v>
      </c>
      <c r="E24" s="33">
        <v>12223.68</v>
      </c>
      <c r="F24" s="33">
        <v>11987.1</v>
      </c>
      <c r="G24" s="24">
        <f t="shared" si="0"/>
        <v>12223.68</v>
      </c>
      <c r="H24" s="25">
        <f>D24+F24-E24</f>
        <v>975.79999999999927</v>
      </c>
      <c r="I24" s="33"/>
    </row>
    <row r="25" spans="1:9" x14ac:dyDescent="0.25">
      <c r="A25" s="22" t="s">
        <v>46</v>
      </c>
      <c r="B25" s="5" t="s">
        <v>695</v>
      </c>
      <c r="C25" s="269" t="s">
        <v>48</v>
      </c>
      <c r="D25" s="25">
        <v>-4649.83</v>
      </c>
      <c r="E25" s="8">
        <v>25563.01</v>
      </c>
      <c r="F25" s="8">
        <v>26891.78</v>
      </c>
      <c r="G25" s="9">
        <f>E25</f>
        <v>25563.01</v>
      </c>
      <c r="H25" s="30">
        <f>D25+F25-E25</f>
        <v>-3321.0600000000013</v>
      </c>
      <c r="I25" s="8">
        <f>H25</f>
        <v>-3321.0600000000013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38">
        <v>-17796.34</v>
      </c>
      <c r="E26" s="10">
        <v>179101.92</v>
      </c>
      <c r="F26" s="10">
        <v>175765.56</v>
      </c>
      <c r="G26" s="35">
        <f t="shared" si="0"/>
        <v>179101.92</v>
      </c>
      <c r="H26" s="37">
        <f>D26+F26-G26</f>
        <v>-21132.700000000012</v>
      </c>
      <c r="I26" s="38">
        <f>H26</f>
        <v>-21132.700000000012</v>
      </c>
    </row>
    <row r="27" spans="1:9" x14ac:dyDescent="0.25">
      <c r="A27" s="39" t="s">
        <v>51</v>
      </c>
      <c r="B27" s="11" t="s">
        <v>310</v>
      </c>
      <c r="C27" s="36">
        <v>1.65</v>
      </c>
      <c r="D27" s="37">
        <v>315706.28999999998</v>
      </c>
      <c r="E27" s="10">
        <v>64245.120000000003</v>
      </c>
      <c r="F27" s="10">
        <f>F28+F29+F30</f>
        <v>107131.1</v>
      </c>
      <c r="G27" s="42">
        <f>I59</f>
        <v>42997.79</v>
      </c>
      <c r="H27" s="15">
        <f>D27+F27-G27</f>
        <v>379839.60000000003</v>
      </c>
      <c r="I27" s="16"/>
    </row>
    <row r="28" spans="1:9" x14ac:dyDescent="0.25">
      <c r="A28" s="10"/>
      <c r="B28" s="8" t="s">
        <v>398</v>
      </c>
      <c r="C28" s="13"/>
      <c r="D28" s="15"/>
      <c r="E28" s="11"/>
      <c r="F28" s="11">
        <v>62951.1</v>
      </c>
      <c r="G28" s="67"/>
      <c r="H28" s="15"/>
      <c r="I28" s="16"/>
    </row>
    <row r="29" spans="1:9" x14ac:dyDescent="0.25">
      <c r="A29" s="10"/>
      <c r="B29" s="8" t="s">
        <v>54</v>
      </c>
      <c r="C29" s="35"/>
      <c r="D29" s="37"/>
      <c r="E29" s="10"/>
      <c r="F29" s="10">
        <v>950.3</v>
      </c>
      <c r="G29" s="42"/>
      <c r="H29" s="15"/>
      <c r="I29" s="16"/>
    </row>
    <row r="30" spans="1:9" x14ac:dyDescent="0.25">
      <c r="A30" s="39"/>
      <c r="B30" s="8" t="s">
        <v>58</v>
      </c>
      <c r="C30" s="4"/>
      <c r="D30" s="15"/>
      <c r="E30" s="39"/>
      <c r="F30" s="11">
        <v>43229.7</v>
      </c>
      <c r="G30" s="1"/>
      <c r="H30" s="15"/>
      <c r="I30" s="16"/>
    </row>
    <row r="31" spans="1:9" x14ac:dyDescent="0.25">
      <c r="A31" s="10" t="s">
        <v>56</v>
      </c>
      <c r="B31" s="10" t="s">
        <v>696</v>
      </c>
      <c r="C31" s="193"/>
      <c r="D31" s="36">
        <v>43229.7</v>
      </c>
      <c r="E31" s="10">
        <v>0</v>
      </c>
      <c r="F31" s="10">
        <f>-43229.7</f>
        <v>-43229.7</v>
      </c>
      <c r="G31" s="35">
        <v>0</v>
      </c>
      <c r="H31" s="36">
        <f>D31+F31-G31</f>
        <v>0</v>
      </c>
      <c r="I31" s="38"/>
    </row>
    <row r="32" spans="1:9" x14ac:dyDescent="0.25">
      <c r="A32" s="8"/>
      <c r="B32" s="8" t="s">
        <v>58</v>
      </c>
      <c r="C32" s="9" t="s">
        <v>72</v>
      </c>
      <c r="D32" s="7"/>
      <c r="E32" s="8">
        <v>0</v>
      </c>
      <c r="F32" s="8">
        <v>43229.7</v>
      </c>
      <c r="G32" s="9">
        <v>0</v>
      </c>
      <c r="H32" s="8"/>
      <c r="I32" s="17"/>
    </row>
    <row r="33" spans="1:9" x14ac:dyDescent="0.25">
      <c r="A33" s="1" t="s">
        <v>59</v>
      </c>
      <c r="B33" s="1"/>
      <c r="C33" s="1"/>
      <c r="D33" s="45"/>
      <c r="E33" s="1"/>
      <c r="F33" s="43"/>
      <c r="G33" s="43"/>
      <c r="H33" s="43"/>
      <c r="I33" s="56"/>
    </row>
    <row r="34" spans="1:9" x14ac:dyDescent="0.25">
      <c r="A34" s="1"/>
      <c r="B34" s="1"/>
      <c r="C34" s="1"/>
      <c r="D34" s="45"/>
      <c r="E34" s="1"/>
      <c r="F34" s="43"/>
      <c r="G34" s="43"/>
      <c r="H34" s="43"/>
      <c r="I34" s="56"/>
    </row>
    <row r="35" spans="1:9" x14ac:dyDescent="0.25">
      <c r="A35" s="1"/>
      <c r="B35" s="1"/>
      <c r="C35" s="1"/>
      <c r="D35" s="45"/>
      <c r="E35" s="1"/>
      <c r="F35" s="43"/>
      <c r="G35" s="43"/>
      <c r="H35" s="43"/>
      <c r="I35" s="56"/>
    </row>
    <row r="36" spans="1:9" x14ac:dyDescent="0.25">
      <c r="A36" s="5" t="s">
        <v>355</v>
      </c>
      <c r="B36" s="54" t="s">
        <v>697</v>
      </c>
      <c r="C36" s="46" t="s">
        <v>698</v>
      </c>
      <c r="D36" s="5" t="s">
        <v>63</v>
      </c>
      <c r="E36" s="5" t="s">
        <v>673</v>
      </c>
      <c r="F36" s="46" t="s">
        <v>698</v>
      </c>
      <c r="G36" s="5"/>
      <c r="H36" s="54" t="s">
        <v>699</v>
      </c>
      <c r="I36" s="47"/>
    </row>
    <row r="37" spans="1:9" x14ac:dyDescent="0.25">
      <c r="A37" s="6"/>
      <c r="B37" s="43"/>
      <c r="C37" s="50" t="s">
        <v>67</v>
      </c>
      <c r="D37" s="17" t="s">
        <v>23</v>
      </c>
      <c r="E37" s="17" t="s">
        <v>312</v>
      </c>
      <c r="F37" s="50" t="s">
        <v>30</v>
      </c>
      <c r="G37" s="17"/>
      <c r="H37" s="61"/>
      <c r="I37" s="51"/>
    </row>
    <row r="38" spans="1:9" x14ac:dyDescent="0.25">
      <c r="A38" s="17"/>
      <c r="B38" s="61" t="s">
        <v>700</v>
      </c>
      <c r="C38" s="17">
        <v>15620.55</v>
      </c>
      <c r="D38" s="51">
        <v>6000</v>
      </c>
      <c r="E38" s="21">
        <f>D38*15%</f>
        <v>900</v>
      </c>
      <c r="F38" s="21">
        <f>C38+D38-E38</f>
        <v>20720.55</v>
      </c>
      <c r="G38" s="18"/>
      <c r="H38" s="20">
        <f>F38-G38</f>
        <v>20720.55</v>
      </c>
      <c r="I38" s="17"/>
    </row>
    <row r="39" spans="1:9" x14ac:dyDescent="0.25">
      <c r="A39" s="43"/>
      <c r="B39" s="43"/>
      <c r="C39" s="43"/>
      <c r="D39" s="43"/>
      <c r="E39" s="19"/>
      <c r="F39" s="19"/>
      <c r="G39" s="19"/>
      <c r="H39" s="19"/>
      <c r="I39" s="43"/>
    </row>
    <row r="40" spans="1:9" x14ac:dyDescent="0.25">
      <c r="A40" s="4" t="s">
        <v>701</v>
      </c>
      <c r="B40" s="4"/>
      <c r="C40" s="4"/>
      <c r="D40" s="52"/>
      <c r="E40" s="4"/>
      <c r="F40" s="4"/>
      <c r="G40" s="4"/>
      <c r="H40" s="4"/>
      <c r="I40" s="4"/>
    </row>
    <row r="41" spans="1:9" x14ac:dyDescent="0.25">
      <c r="A41" s="1" t="s">
        <v>702</v>
      </c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5" t="s">
        <v>72</v>
      </c>
      <c r="B42" s="53" t="s">
        <v>73</v>
      </c>
      <c r="C42" s="5" t="s">
        <v>74</v>
      </c>
      <c r="D42" s="54" t="s">
        <v>75</v>
      </c>
      <c r="E42" s="5" t="s">
        <v>76</v>
      </c>
      <c r="F42" s="54" t="s">
        <v>77</v>
      </c>
      <c r="G42" s="5" t="s">
        <v>78</v>
      </c>
      <c r="H42" s="54" t="s">
        <v>79</v>
      </c>
      <c r="I42" s="5" t="s">
        <v>19</v>
      </c>
    </row>
    <row r="43" spans="1:9" x14ac:dyDescent="0.25">
      <c r="A43" s="6"/>
      <c r="B43" s="55" t="s">
        <v>80</v>
      </c>
      <c r="C43" s="6" t="s">
        <v>81</v>
      </c>
      <c r="D43" s="43" t="s">
        <v>82</v>
      </c>
      <c r="E43" s="6" t="s">
        <v>83</v>
      </c>
      <c r="F43" s="43" t="s">
        <v>84</v>
      </c>
      <c r="G43" s="6" t="s">
        <v>85</v>
      </c>
      <c r="H43" s="43" t="s">
        <v>86</v>
      </c>
      <c r="I43" s="6" t="s">
        <v>87</v>
      </c>
    </row>
    <row r="44" spans="1:9" x14ac:dyDescent="0.25">
      <c r="A44" s="6"/>
      <c r="B44" s="55"/>
      <c r="C44" s="17"/>
      <c r="D44" s="61"/>
      <c r="E44" s="17"/>
      <c r="F44" s="61" t="s">
        <v>88</v>
      </c>
      <c r="G44" s="17" t="s">
        <v>89</v>
      </c>
      <c r="H44" s="61"/>
      <c r="I44" s="17" t="s">
        <v>325</v>
      </c>
    </row>
    <row r="45" spans="1:9" x14ac:dyDescent="0.25">
      <c r="A45" s="8">
        <v>1</v>
      </c>
      <c r="B45" s="8" t="s">
        <v>91</v>
      </c>
      <c r="C45" s="13" t="s">
        <v>92</v>
      </c>
      <c r="D45" s="21">
        <v>-37261.69</v>
      </c>
      <c r="E45" s="60">
        <v>469429.08</v>
      </c>
      <c r="F45" s="17">
        <v>463841.9</v>
      </c>
      <c r="G45" s="60">
        <f>E45</f>
        <v>469429.08</v>
      </c>
      <c r="H45" s="21">
        <f>D45+F45-G45</f>
        <v>-42848.869999999995</v>
      </c>
      <c r="I45" s="21">
        <f>H45</f>
        <v>-42848.869999999995</v>
      </c>
    </row>
    <row r="46" spans="1:9" x14ac:dyDescent="0.25">
      <c r="A46" s="8"/>
      <c r="B46" s="8" t="s">
        <v>93</v>
      </c>
      <c r="C46" s="13" t="s">
        <v>94</v>
      </c>
      <c r="D46" s="21"/>
      <c r="E46" s="60"/>
      <c r="F46" s="17"/>
      <c r="G46" s="60"/>
      <c r="H46" s="21"/>
      <c r="I46" s="21"/>
    </row>
    <row r="47" spans="1:9" x14ac:dyDescent="0.25">
      <c r="A47" s="8">
        <v>2</v>
      </c>
      <c r="B47" s="8" t="s">
        <v>99</v>
      </c>
      <c r="C47" s="35" t="s">
        <v>100</v>
      </c>
      <c r="D47" s="21">
        <v>-204153.67</v>
      </c>
      <c r="E47" s="9">
        <v>902954.83</v>
      </c>
      <c r="F47" s="8">
        <v>867132.2</v>
      </c>
      <c r="G47" s="9">
        <f>E47</f>
        <v>902954.83</v>
      </c>
      <c r="H47" s="30">
        <f>D47+F47-G47</f>
        <v>-239976.30000000005</v>
      </c>
      <c r="I47" s="21">
        <f>H47</f>
        <v>-239976.30000000005</v>
      </c>
    </row>
    <row r="48" spans="1:9" x14ac:dyDescent="0.25">
      <c r="A48" s="43"/>
      <c r="B48" s="43"/>
      <c r="C48" s="4"/>
      <c r="D48" s="19"/>
      <c r="E48" s="43"/>
      <c r="F48" s="43"/>
      <c r="G48" s="43"/>
      <c r="H48" s="19"/>
      <c r="I48" s="43"/>
    </row>
    <row r="49" spans="1:9" x14ac:dyDescent="0.25">
      <c r="A49" s="1" t="s">
        <v>703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" t="s">
        <v>223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5" t="s">
        <v>12</v>
      </c>
      <c r="B51" s="5" t="s">
        <v>103</v>
      </c>
      <c r="C51" s="46" t="s">
        <v>104</v>
      </c>
      <c r="D51" s="54"/>
      <c r="E51" s="54"/>
      <c r="F51" s="54"/>
      <c r="G51" s="5" t="s">
        <v>105</v>
      </c>
      <c r="H51" s="47" t="s">
        <v>165</v>
      </c>
      <c r="I51" s="5" t="s">
        <v>107</v>
      </c>
    </row>
    <row r="52" spans="1:9" x14ac:dyDescent="0.25">
      <c r="A52" s="6" t="s">
        <v>108</v>
      </c>
      <c r="B52" s="6"/>
      <c r="C52" s="49"/>
      <c r="D52" s="43"/>
      <c r="E52" s="43"/>
      <c r="F52" s="43"/>
      <c r="G52" s="6"/>
      <c r="H52" s="56" t="s">
        <v>85</v>
      </c>
      <c r="I52" s="6" t="s">
        <v>109</v>
      </c>
    </row>
    <row r="53" spans="1:9" x14ac:dyDescent="0.25">
      <c r="A53" s="6"/>
      <c r="B53" s="17"/>
      <c r="C53" s="50"/>
      <c r="D53" s="61"/>
      <c r="E53" s="61"/>
      <c r="F53" s="61"/>
      <c r="G53" s="17"/>
      <c r="H53" s="51"/>
      <c r="I53" s="6"/>
    </row>
    <row r="54" spans="1:9" x14ac:dyDescent="0.25">
      <c r="A54" s="62"/>
      <c r="B54" s="39"/>
      <c r="C54" s="55" t="s">
        <v>110</v>
      </c>
      <c r="D54" s="4"/>
      <c r="E54" s="4"/>
      <c r="F54" s="43"/>
      <c r="G54" s="6"/>
      <c r="H54" s="56"/>
      <c r="I54" s="5"/>
    </row>
    <row r="55" spans="1:9" x14ac:dyDescent="0.25">
      <c r="A55" s="64" t="s">
        <v>111</v>
      </c>
      <c r="B55" s="65">
        <v>43186</v>
      </c>
      <c r="C55" s="49" t="s">
        <v>640</v>
      </c>
      <c r="D55" s="43"/>
      <c r="E55" s="43"/>
      <c r="F55" s="43"/>
      <c r="G55" s="26" t="s">
        <v>113</v>
      </c>
      <c r="H55" s="56">
        <v>76</v>
      </c>
      <c r="I55" s="6">
        <v>15200</v>
      </c>
    </row>
    <row r="56" spans="1:9" x14ac:dyDescent="0.25">
      <c r="A56" s="64" t="s">
        <v>114</v>
      </c>
      <c r="B56" s="216">
        <v>43371</v>
      </c>
      <c r="C56" s="49" t="s">
        <v>704</v>
      </c>
      <c r="D56" s="43"/>
      <c r="E56" s="166"/>
      <c r="F56" s="43"/>
      <c r="G56" s="26" t="s">
        <v>116</v>
      </c>
      <c r="H56" s="56">
        <v>15.2</v>
      </c>
      <c r="I56" s="6">
        <v>27797.79</v>
      </c>
    </row>
    <row r="57" spans="1:9" x14ac:dyDescent="0.25">
      <c r="A57" s="64"/>
      <c r="B57" s="216"/>
      <c r="C57" s="49"/>
      <c r="D57" s="43"/>
      <c r="E57" s="166"/>
      <c r="F57" s="43"/>
      <c r="G57" s="26"/>
      <c r="H57" s="56"/>
      <c r="I57" s="6"/>
    </row>
    <row r="58" spans="1:9" x14ac:dyDescent="0.25">
      <c r="A58" s="64"/>
      <c r="B58" s="216"/>
      <c r="C58" s="49"/>
      <c r="D58" s="43"/>
      <c r="E58" s="166"/>
      <c r="F58" s="43"/>
      <c r="G58" s="26"/>
      <c r="H58" s="56"/>
      <c r="I58" s="6"/>
    </row>
    <row r="59" spans="1:9" x14ac:dyDescent="0.25">
      <c r="A59" s="66"/>
      <c r="B59" s="17"/>
      <c r="C59" s="14" t="s">
        <v>117</v>
      </c>
      <c r="D59" s="13"/>
      <c r="E59" s="13"/>
      <c r="F59" s="13"/>
      <c r="G59" s="16"/>
      <c r="H59" s="67"/>
      <c r="I59" s="11">
        <f>SUM(I55:I58)</f>
        <v>42997.79</v>
      </c>
    </row>
    <row r="60" spans="1:9" x14ac:dyDescent="0.25">
      <c r="A60" s="43"/>
      <c r="B60" s="4"/>
      <c r="C60" s="4"/>
      <c r="D60" s="43"/>
      <c r="E60" s="43"/>
      <c r="F60" s="43"/>
      <c r="G60" s="19"/>
      <c r="H60" s="43"/>
      <c r="I60" s="43"/>
    </row>
    <row r="61" spans="1:9" x14ac:dyDescent="0.25">
      <c r="A61" s="68"/>
      <c r="B61" s="43"/>
      <c r="C61" s="43"/>
      <c r="D61" s="43"/>
      <c r="E61" s="43"/>
      <c r="F61" s="43"/>
      <c r="G61" s="19"/>
      <c r="H61" s="43"/>
      <c r="I61" s="43"/>
    </row>
    <row r="62" spans="1:9" x14ac:dyDescent="0.25">
      <c r="A62" s="2" t="s">
        <v>665</v>
      </c>
      <c r="B62" s="2"/>
      <c r="C62" s="2" t="s">
        <v>119</v>
      </c>
      <c r="E62" s="2" t="s">
        <v>120</v>
      </c>
      <c r="F62" s="2"/>
      <c r="G62" s="2"/>
      <c r="H62" s="2" t="s">
        <v>121</v>
      </c>
      <c r="I62" s="2" t="s">
        <v>122</v>
      </c>
    </row>
    <row r="63" spans="1:9" x14ac:dyDescent="0.25">
      <c r="A63" s="2"/>
      <c r="B63" s="2"/>
    </row>
  </sheetData>
  <pageMargins left="0.7" right="0.7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0" workbookViewId="0">
      <selection activeCell="H25" sqref="H25"/>
    </sheetView>
  </sheetViews>
  <sheetFormatPr defaultRowHeight="15" x14ac:dyDescent="0.25"/>
  <cols>
    <col min="1" max="1" width="4.42578125" customWidth="1"/>
    <col min="2" max="2" width="34.5703125" customWidth="1"/>
    <col min="3" max="3" width="12.42578125" customWidth="1"/>
    <col min="5" max="5" width="11.5703125" customWidth="1"/>
    <col min="8" max="8" width="12.85546875" customWidth="1"/>
    <col min="9" max="9" width="18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 t="s">
        <v>705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706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707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4" t="s">
        <v>11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132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134</v>
      </c>
    </row>
    <row r="17" spans="1:9" x14ac:dyDescent="0.25">
      <c r="A17" s="17"/>
      <c r="B17" s="17"/>
      <c r="C17" s="17" t="s">
        <v>308</v>
      </c>
      <c r="D17" s="17" t="s">
        <v>33</v>
      </c>
      <c r="E17" s="17" t="s">
        <v>33</v>
      </c>
      <c r="F17" s="17" t="s">
        <v>33</v>
      </c>
      <c r="G17" s="17" t="s">
        <v>33</v>
      </c>
      <c r="H17" s="17" t="s">
        <v>33</v>
      </c>
      <c r="I17" s="17" t="s">
        <v>372</v>
      </c>
    </row>
    <row r="18" spans="1:9" x14ac:dyDescent="0.25">
      <c r="A18" s="9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14">
        <v>1</v>
      </c>
      <c r="B19" s="11" t="s">
        <v>580</v>
      </c>
      <c r="C19" s="13">
        <v>8.5500000000000007</v>
      </c>
      <c r="D19" s="16">
        <v>-138042.81</v>
      </c>
      <c r="E19" s="13">
        <v>342975.37</v>
      </c>
      <c r="F19" s="11">
        <v>323074.33</v>
      </c>
      <c r="G19" s="13">
        <f>E19</f>
        <v>342975.37</v>
      </c>
      <c r="H19" s="16">
        <f>D19+F19-G19</f>
        <v>-157943.84999999998</v>
      </c>
      <c r="I19" s="16">
        <f>H19</f>
        <v>-157943.84999999998</v>
      </c>
    </row>
    <row r="20" spans="1:9" x14ac:dyDescent="0.25">
      <c r="A20" s="66" t="s">
        <v>138</v>
      </c>
      <c r="B20" s="17" t="s">
        <v>37</v>
      </c>
      <c r="C20" s="61">
        <v>3.08</v>
      </c>
      <c r="D20" s="21"/>
      <c r="E20" s="162">
        <f>E19*36/100</f>
        <v>123471.1332</v>
      </c>
      <c r="F20" s="21">
        <f>F19*36/100</f>
        <v>116306.75880000001</v>
      </c>
      <c r="G20" s="20">
        <f t="shared" ref="G20:G26" si="0">E20</f>
        <v>123471.1332</v>
      </c>
      <c r="H20" s="21"/>
      <c r="I20" s="21"/>
    </row>
    <row r="21" spans="1:9" x14ac:dyDescent="0.25">
      <c r="A21" s="22" t="s">
        <v>38</v>
      </c>
      <c r="B21" s="5" t="s">
        <v>39</v>
      </c>
      <c r="C21" s="54">
        <v>1.51</v>
      </c>
      <c r="D21" s="26"/>
      <c r="E21" s="24">
        <f>E19*17.7/100</f>
        <v>60706.640489999998</v>
      </c>
      <c r="F21" s="33">
        <f>F19*17.7/100</f>
        <v>57184.156409999996</v>
      </c>
      <c r="G21" s="19">
        <f t="shared" si="0"/>
        <v>60706.640489999998</v>
      </c>
      <c r="H21" s="26"/>
      <c r="I21" s="26"/>
    </row>
    <row r="22" spans="1:9" x14ac:dyDescent="0.25">
      <c r="A22" s="22" t="s">
        <v>40</v>
      </c>
      <c r="B22" s="5" t="s">
        <v>41</v>
      </c>
      <c r="C22" s="54">
        <v>1.36</v>
      </c>
      <c r="D22" s="30"/>
      <c r="E22" s="28">
        <f>E19*16/100</f>
        <v>54876.059199999996</v>
      </c>
      <c r="F22" s="30">
        <f>F19*16/100</f>
        <v>51691.892800000001</v>
      </c>
      <c r="G22" s="29">
        <f t="shared" si="0"/>
        <v>54876.059199999996</v>
      </c>
      <c r="H22" s="30"/>
      <c r="I22" s="30"/>
    </row>
    <row r="23" spans="1:9" x14ac:dyDescent="0.25">
      <c r="A23" s="22" t="s">
        <v>42</v>
      </c>
      <c r="B23" s="5" t="s">
        <v>43</v>
      </c>
      <c r="C23" s="54">
        <v>2.6</v>
      </c>
      <c r="D23" s="26"/>
      <c r="E23" s="19">
        <f>E19*30.3%</f>
        <v>103921.53710999999</v>
      </c>
      <c r="F23" s="26">
        <f>F19*30.3/100</f>
        <v>97891.521990000008</v>
      </c>
      <c r="G23" s="19">
        <f t="shared" si="0"/>
        <v>103921.53710999999</v>
      </c>
      <c r="H23" s="26"/>
      <c r="I23" s="26"/>
    </row>
    <row r="24" spans="1:9" x14ac:dyDescent="0.25">
      <c r="A24" s="22" t="s">
        <v>44</v>
      </c>
      <c r="B24" s="5" t="s">
        <v>45</v>
      </c>
      <c r="C24" s="159">
        <v>1755.25</v>
      </c>
      <c r="D24" s="30">
        <v>1043.1199999999999</v>
      </c>
      <c r="E24" s="28">
        <v>12403.89</v>
      </c>
      <c r="F24" s="30">
        <v>11755.27</v>
      </c>
      <c r="G24" s="28">
        <f>E24</f>
        <v>12403.89</v>
      </c>
      <c r="H24" s="30">
        <f>D24+F24-G24</f>
        <v>394.5</v>
      </c>
      <c r="I24" s="30"/>
    </row>
    <row r="25" spans="1:9" x14ac:dyDescent="0.25">
      <c r="A25" s="22" t="s">
        <v>46</v>
      </c>
      <c r="B25" s="5" t="s">
        <v>695</v>
      </c>
      <c r="C25" s="159" t="s">
        <v>48</v>
      </c>
      <c r="D25" s="5">
        <v>-7926.75</v>
      </c>
      <c r="E25" s="54">
        <v>29811.360000000001</v>
      </c>
      <c r="F25" s="5">
        <v>28510.959999999999</v>
      </c>
      <c r="G25" s="54">
        <f>E25</f>
        <v>29811.360000000001</v>
      </c>
      <c r="H25" s="5">
        <f>D25+F25-G25</f>
        <v>-9227.1500000000015</v>
      </c>
      <c r="I25" s="63">
        <f>H25</f>
        <v>-9227.1500000000015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10">
        <v>-52967.76</v>
      </c>
      <c r="E26" s="10">
        <v>184517.04</v>
      </c>
      <c r="F26" s="10">
        <v>175502.9</v>
      </c>
      <c r="G26" s="35">
        <f t="shared" si="0"/>
        <v>184517.04</v>
      </c>
      <c r="H26" s="10">
        <f>D26+F26-G26</f>
        <v>-61981.900000000023</v>
      </c>
      <c r="I26" s="10">
        <f>H26</f>
        <v>-61981.900000000023</v>
      </c>
    </row>
    <row r="27" spans="1:9" x14ac:dyDescent="0.25">
      <c r="A27" s="63" t="s">
        <v>51</v>
      </c>
      <c r="B27" s="39" t="s">
        <v>310</v>
      </c>
      <c r="C27" s="4">
        <v>1.65</v>
      </c>
      <c r="D27" s="39">
        <v>50471.94</v>
      </c>
      <c r="E27" s="1">
        <v>66192.759999999995</v>
      </c>
      <c r="F27" s="39">
        <f>F28+F29</f>
        <v>63522.71</v>
      </c>
      <c r="G27" s="1">
        <f>I60</f>
        <v>127542.54</v>
      </c>
      <c r="H27" s="41">
        <f>D27+F27-G27</f>
        <v>-13547.89</v>
      </c>
      <c r="I27" s="41">
        <f>H27</f>
        <v>-13547.89</v>
      </c>
    </row>
    <row r="28" spans="1:9" x14ac:dyDescent="0.25">
      <c r="A28" s="10"/>
      <c r="B28" s="8" t="s">
        <v>53</v>
      </c>
      <c r="C28" s="35"/>
      <c r="D28" s="10"/>
      <c r="E28" s="35"/>
      <c r="F28" s="10">
        <v>63501.71</v>
      </c>
      <c r="G28" s="35"/>
      <c r="H28" s="10"/>
      <c r="I28" s="10"/>
    </row>
    <row r="29" spans="1:9" x14ac:dyDescent="0.25">
      <c r="A29" s="11"/>
      <c r="B29" s="35" t="s">
        <v>708</v>
      </c>
      <c r="C29" s="13"/>
      <c r="D29" s="10"/>
      <c r="E29" s="35"/>
      <c r="F29" s="10">
        <v>21</v>
      </c>
      <c r="G29" s="35"/>
      <c r="H29" s="10"/>
      <c r="I29" s="10"/>
    </row>
    <row r="30" spans="1:9" x14ac:dyDescent="0.25">
      <c r="A30" s="11" t="s">
        <v>56</v>
      </c>
      <c r="B30" s="11" t="s">
        <v>458</v>
      </c>
      <c r="C30" s="13"/>
      <c r="D30" s="10">
        <v>20.61</v>
      </c>
      <c r="E30" s="35">
        <v>0</v>
      </c>
      <c r="F30" s="10">
        <v>-21</v>
      </c>
      <c r="G30" s="35">
        <f>G31</f>
        <v>0</v>
      </c>
      <c r="H30" s="10">
        <v>0</v>
      </c>
      <c r="I30" s="10"/>
    </row>
    <row r="31" spans="1:9" x14ac:dyDescent="0.25">
      <c r="A31" s="8"/>
      <c r="B31" s="8" t="s">
        <v>53</v>
      </c>
      <c r="C31" s="9"/>
      <c r="D31" s="8"/>
      <c r="E31" s="9">
        <v>0</v>
      </c>
      <c r="F31" s="8">
        <v>0.39</v>
      </c>
      <c r="G31" s="9">
        <v>0</v>
      </c>
      <c r="H31" s="8"/>
      <c r="I31" s="8"/>
    </row>
    <row r="32" spans="1:9" x14ac:dyDescent="0.25">
      <c r="A32" s="8"/>
      <c r="B32" s="35" t="s">
        <v>297</v>
      </c>
      <c r="C32" s="8"/>
      <c r="D32" s="9"/>
      <c r="E32" s="8"/>
      <c r="F32" s="35">
        <v>21</v>
      </c>
      <c r="G32" s="8"/>
      <c r="H32" s="9"/>
      <c r="I32" s="8"/>
    </row>
    <row r="33" spans="1:9" x14ac:dyDescent="0.25">
      <c r="A33" s="1" t="s">
        <v>59</v>
      </c>
      <c r="B33" s="1"/>
      <c r="C33" s="1"/>
      <c r="D33" s="45"/>
      <c r="E33" s="1"/>
      <c r="F33" s="1"/>
      <c r="G33" s="1"/>
      <c r="H33" s="2"/>
      <c r="I33" s="2"/>
    </row>
    <row r="34" spans="1:9" x14ac:dyDescent="0.25">
      <c r="A34" s="1"/>
      <c r="B34" s="1"/>
      <c r="C34" s="1"/>
      <c r="D34" s="45"/>
      <c r="E34" s="1"/>
      <c r="F34" s="1"/>
      <c r="G34" s="1"/>
      <c r="H34" s="2"/>
      <c r="I34" s="2"/>
    </row>
    <row r="35" spans="1:9" x14ac:dyDescent="0.25">
      <c r="A35" s="63" t="s">
        <v>355</v>
      </c>
      <c r="B35" s="46" t="s">
        <v>709</v>
      </c>
      <c r="C35" s="46" t="s">
        <v>710</v>
      </c>
      <c r="D35" s="5" t="s">
        <v>63</v>
      </c>
      <c r="E35" s="54" t="s">
        <v>711</v>
      </c>
      <c r="F35" s="5" t="s">
        <v>712</v>
      </c>
      <c r="G35" s="54"/>
      <c r="H35" s="46" t="s">
        <v>699</v>
      </c>
      <c r="I35" s="47"/>
    </row>
    <row r="36" spans="1:9" x14ac:dyDescent="0.25">
      <c r="A36" s="39"/>
      <c r="B36" s="49"/>
      <c r="C36" s="50" t="s">
        <v>655</v>
      </c>
      <c r="D36" s="17" t="s">
        <v>23</v>
      </c>
      <c r="E36" s="61" t="s">
        <v>312</v>
      </c>
      <c r="F36" s="17" t="s">
        <v>30</v>
      </c>
      <c r="G36" s="61"/>
      <c r="H36" s="50"/>
      <c r="I36" s="51"/>
    </row>
    <row r="37" spans="1:9" x14ac:dyDescent="0.25">
      <c r="A37" s="17"/>
      <c r="B37" s="17" t="s">
        <v>713</v>
      </c>
      <c r="C37" s="61">
        <v>15620.55</v>
      </c>
      <c r="D37" s="50">
        <v>6000</v>
      </c>
      <c r="E37" s="187">
        <f>D37*15%</f>
        <v>900</v>
      </c>
      <c r="F37" s="250">
        <f>C37+D37-E37</f>
        <v>20720.55</v>
      </c>
      <c r="G37" s="187" t="s">
        <v>72</v>
      </c>
      <c r="H37" s="162">
        <f>F37</f>
        <v>20720.55</v>
      </c>
      <c r="I37" s="51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1" t="s">
        <v>155</v>
      </c>
      <c r="B39" s="1"/>
      <c r="C39" s="1"/>
      <c r="D39" s="45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385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17" t="s">
        <v>89</v>
      </c>
      <c r="H42" s="43"/>
      <c r="I42" s="6" t="s">
        <v>325</v>
      </c>
    </row>
    <row r="43" spans="1:9" x14ac:dyDescent="0.25">
      <c r="A43" s="8">
        <v>1</v>
      </c>
      <c r="B43" s="8" t="s">
        <v>91</v>
      </c>
      <c r="C43" s="35" t="s">
        <v>92</v>
      </c>
      <c r="D43" s="8">
        <v>-218646.15</v>
      </c>
      <c r="E43" s="59">
        <v>586397.9</v>
      </c>
      <c r="F43" s="8">
        <v>552183.35</v>
      </c>
      <c r="G43" s="59">
        <f>E43</f>
        <v>586397.9</v>
      </c>
      <c r="H43" s="8">
        <f>D43+F43-G43</f>
        <v>-252860.70000000007</v>
      </c>
      <c r="I43" s="8">
        <f>H43</f>
        <v>-252860.70000000007</v>
      </c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8">
        <v>2</v>
      </c>
      <c r="B45" s="8" t="s">
        <v>99</v>
      </c>
      <c r="C45" s="35" t="s">
        <v>100</v>
      </c>
      <c r="D45" s="8">
        <v>-560656.05000000005</v>
      </c>
      <c r="E45" s="9">
        <v>897139.52</v>
      </c>
      <c r="F45" s="8">
        <v>813964.25</v>
      </c>
      <c r="G45" s="9">
        <f>E45</f>
        <v>897139.52</v>
      </c>
      <c r="H45" s="8">
        <f>D45+F45-G45</f>
        <v>-643831.32000000007</v>
      </c>
      <c r="I45" s="8">
        <f>H45</f>
        <v>-643831.32000000007</v>
      </c>
    </row>
    <row r="46" spans="1:9" x14ac:dyDescent="0.25">
      <c r="A46" s="1" t="s">
        <v>401</v>
      </c>
      <c r="B46" s="1"/>
      <c r="C46" s="1"/>
      <c r="D46" s="1"/>
      <c r="E46" s="1"/>
      <c r="F46" s="1"/>
      <c r="G46" s="1"/>
      <c r="H46" s="1"/>
      <c r="I46" s="2"/>
    </row>
    <row r="47" spans="1:9" x14ac:dyDescent="0.25">
      <c r="A47" s="4" t="s">
        <v>714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46" t="s">
        <v>12</v>
      </c>
      <c r="B48" s="46" t="s">
        <v>103</v>
      </c>
      <c r="C48" s="46" t="s">
        <v>104</v>
      </c>
      <c r="D48" s="54"/>
      <c r="E48" s="54"/>
      <c r="F48" s="47"/>
      <c r="G48" s="54" t="s">
        <v>199</v>
      </c>
      <c r="H48" s="5" t="s">
        <v>200</v>
      </c>
      <c r="I48" s="47" t="s">
        <v>107</v>
      </c>
    </row>
    <row r="49" spans="1:9" x14ac:dyDescent="0.25">
      <c r="A49" s="49" t="s">
        <v>108</v>
      </c>
      <c r="B49" s="49"/>
      <c r="C49" s="49"/>
      <c r="D49" s="43"/>
      <c r="E49" s="43"/>
      <c r="F49" s="56"/>
      <c r="G49" s="43"/>
      <c r="H49" s="6"/>
      <c r="I49" s="56" t="s">
        <v>109</v>
      </c>
    </row>
    <row r="50" spans="1:9" x14ac:dyDescent="0.25">
      <c r="A50" s="49"/>
      <c r="B50" s="49"/>
      <c r="C50" s="49"/>
      <c r="D50" s="43"/>
      <c r="E50" s="43"/>
      <c r="F50" s="56"/>
      <c r="G50" s="43"/>
      <c r="H50" s="6"/>
      <c r="I50" s="56"/>
    </row>
    <row r="51" spans="1:9" x14ac:dyDescent="0.25">
      <c r="A51" s="49"/>
      <c r="B51" s="50"/>
      <c r="C51" s="50"/>
      <c r="D51" s="61"/>
      <c r="E51" s="61"/>
      <c r="F51" s="51"/>
      <c r="G51" s="61"/>
      <c r="H51" s="17"/>
      <c r="I51" s="56"/>
    </row>
    <row r="52" spans="1:9" x14ac:dyDescent="0.25">
      <c r="A52" s="62"/>
      <c r="B52" s="55"/>
      <c r="C52" s="55" t="s">
        <v>110</v>
      </c>
      <c r="D52" s="4"/>
      <c r="E52" s="4"/>
      <c r="F52" s="56"/>
      <c r="G52" s="43"/>
      <c r="H52" s="6"/>
      <c r="I52" s="5"/>
    </row>
    <row r="53" spans="1:9" x14ac:dyDescent="0.25">
      <c r="A53" s="64" t="s">
        <v>111</v>
      </c>
      <c r="B53" s="49" t="s">
        <v>298</v>
      </c>
      <c r="C53" s="49" t="s">
        <v>299</v>
      </c>
      <c r="D53" s="43"/>
      <c r="E53" s="43"/>
      <c r="F53" s="56" t="s">
        <v>72</v>
      </c>
      <c r="G53" s="19" t="s">
        <v>715</v>
      </c>
      <c r="H53" s="6">
        <v>1</v>
      </c>
      <c r="I53" s="6">
        <v>2785.73</v>
      </c>
    </row>
    <row r="54" spans="1:9" x14ac:dyDescent="0.25">
      <c r="A54" s="64" t="s">
        <v>114</v>
      </c>
      <c r="B54" s="69">
        <v>43189</v>
      </c>
      <c r="C54" s="49" t="s">
        <v>716</v>
      </c>
      <c r="D54" s="43"/>
      <c r="E54" s="43"/>
      <c r="F54" s="56"/>
      <c r="G54" s="19" t="s">
        <v>169</v>
      </c>
      <c r="H54" s="6">
        <v>19</v>
      </c>
      <c r="I54" s="6">
        <v>23145.19</v>
      </c>
    </row>
    <row r="55" spans="1:9" x14ac:dyDescent="0.25">
      <c r="A55" s="64" t="s">
        <v>170</v>
      </c>
      <c r="B55" s="69">
        <v>43214</v>
      </c>
      <c r="C55" s="49" t="s">
        <v>717</v>
      </c>
      <c r="D55" s="43"/>
      <c r="E55" s="43"/>
      <c r="F55" s="56"/>
      <c r="G55" s="19" t="s">
        <v>205</v>
      </c>
      <c r="H55" s="6">
        <v>1</v>
      </c>
      <c r="I55" s="6">
        <v>1155.03</v>
      </c>
    </row>
    <row r="56" spans="1:9" x14ac:dyDescent="0.25">
      <c r="A56" s="64" t="s">
        <v>173</v>
      </c>
      <c r="B56" s="232">
        <v>43251</v>
      </c>
      <c r="C56" s="49" t="s">
        <v>718</v>
      </c>
      <c r="D56" s="43"/>
      <c r="E56" s="43"/>
      <c r="F56" s="56"/>
      <c r="G56" s="19" t="s">
        <v>205</v>
      </c>
      <c r="H56" s="6">
        <v>4</v>
      </c>
      <c r="I56" s="6">
        <v>22111.37</v>
      </c>
    </row>
    <row r="57" spans="1:9" x14ac:dyDescent="0.25">
      <c r="A57" s="64" t="s">
        <v>257</v>
      </c>
      <c r="B57" s="232">
        <v>43361</v>
      </c>
      <c r="C57" s="49" t="s">
        <v>719</v>
      </c>
      <c r="D57" s="43"/>
      <c r="E57" s="43"/>
      <c r="F57" s="56"/>
      <c r="G57" s="19" t="s">
        <v>205</v>
      </c>
      <c r="H57" s="6">
        <v>7</v>
      </c>
      <c r="I57" s="6">
        <v>46200</v>
      </c>
    </row>
    <row r="58" spans="1:9" x14ac:dyDescent="0.25">
      <c r="A58" s="64" t="s">
        <v>406</v>
      </c>
      <c r="B58" s="232">
        <v>43434</v>
      </c>
      <c r="C58" s="49" t="s">
        <v>720</v>
      </c>
      <c r="D58" s="43"/>
      <c r="E58" s="43"/>
      <c r="F58" s="56"/>
      <c r="G58" s="19" t="s">
        <v>169</v>
      </c>
      <c r="H58" s="6">
        <v>23</v>
      </c>
      <c r="I58" s="6">
        <v>29010.22</v>
      </c>
    </row>
    <row r="59" spans="1:9" x14ac:dyDescent="0.25">
      <c r="A59" s="64" t="s">
        <v>408</v>
      </c>
      <c r="B59" s="232">
        <v>43463</v>
      </c>
      <c r="C59" s="49" t="s">
        <v>721</v>
      </c>
      <c r="D59" s="43"/>
      <c r="E59" s="43"/>
      <c r="F59" s="56"/>
      <c r="G59" s="19" t="s">
        <v>116</v>
      </c>
      <c r="H59" s="6">
        <v>20</v>
      </c>
      <c r="I59" s="6">
        <v>3135</v>
      </c>
    </row>
    <row r="60" spans="1:9" x14ac:dyDescent="0.25">
      <c r="A60" s="66"/>
      <c r="B60" s="50"/>
      <c r="C60" s="14" t="s">
        <v>117</v>
      </c>
      <c r="D60" s="13"/>
      <c r="E60" s="13"/>
      <c r="F60" s="67"/>
      <c r="G60" s="161"/>
      <c r="H60" s="11"/>
      <c r="I60" s="11">
        <f>SUM(I52:I59)</f>
        <v>127542.54</v>
      </c>
    </row>
    <row r="61" spans="1:9" x14ac:dyDescent="0.25">
      <c r="A61" s="43"/>
      <c r="B61" s="43"/>
      <c r="C61" s="43"/>
      <c r="D61" s="43"/>
      <c r="E61" s="43"/>
      <c r="F61" s="43"/>
      <c r="G61" s="43"/>
      <c r="H61" s="43"/>
      <c r="I61" s="43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 t="s">
        <v>315</v>
      </c>
      <c r="B63" s="2"/>
      <c r="C63" s="2" t="s">
        <v>722</v>
      </c>
      <c r="D63" s="2"/>
      <c r="E63" s="2"/>
      <c r="F63" s="2"/>
      <c r="G63" s="2" t="s">
        <v>723</v>
      </c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</sheetData>
  <pageMargins left="0.7" right="0.7" top="0.75" bottom="0.75" header="0.3" footer="0.3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10" workbookViewId="0">
      <selection activeCell="J62" sqref="J62"/>
    </sheetView>
  </sheetViews>
  <sheetFormatPr defaultRowHeight="15" x14ac:dyDescent="0.25"/>
  <cols>
    <col min="1" max="1" width="5.5703125" customWidth="1"/>
    <col min="2" max="2" width="38.28515625" customWidth="1"/>
    <col min="3" max="3" width="13.140625" customWidth="1"/>
    <col min="5" max="5" width="11.85546875" customWidth="1"/>
    <col min="6" max="6" width="10.5703125" customWidth="1"/>
    <col min="8" max="8" width="12.140625" customWidth="1"/>
    <col min="9" max="9" width="19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2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2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724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725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726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727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728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729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10">
        <v>1</v>
      </c>
      <c r="B19" s="11" t="s">
        <v>35</v>
      </c>
      <c r="C19" s="13">
        <v>8.5500000000000007</v>
      </c>
      <c r="D19" s="16">
        <v>1853.08</v>
      </c>
      <c r="E19" s="13">
        <v>466845.53</v>
      </c>
      <c r="F19" s="11">
        <v>454912.83</v>
      </c>
      <c r="G19" s="13">
        <f>E19</f>
        <v>466845.53</v>
      </c>
      <c r="H19" s="16">
        <f>D19+F19-G19</f>
        <v>-10079.619999999995</v>
      </c>
      <c r="I19" s="16">
        <f>H19</f>
        <v>-10079.619999999995</v>
      </c>
    </row>
    <row r="20" spans="1:9" x14ac:dyDescent="0.25">
      <c r="A20" s="6" t="s">
        <v>36</v>
      </c>
      <c r="B20" s="17" t="s">
        <v>37</v>
      </c>
      <c r="C20" s="162">
        <v>3.08</v>
      </c>
      <c r="D20" s="21"/>
      <c r="E20" s="162">
        <f>E19*36%</f>
        <v>168064.39079999999</v>
      </c>
      <c r="F20" s="21">
        <f>F19*36%</f>
        <v>163768.6188</v>
      </c>
      <c r="G20" s="20">
        <f t="shared" ref="G20:G26" si="0">E20</f>
        <v>168064.39079999999</v>
      </c>
      <c r="H20" s="21"/>
      <c r="I20" s="21"/>
    </row>
    <row r="21" spans="1:9" x14ac:dyDescent="0.25">
      <c r="A21" s="22" t="s">
        <v>38</v>
      </c>
      <c r="B21" s="5" t="s">
        <v>39</v>
      </c>
      <c r="C21" s="24">
        <v>1.51</v>
      </c>
      <c r="D21" s="33"/>
      <c r="E21" s="24">
        <f>E19*17.7%</f>
        <v>82631.658809999994</v>
      </c>
      <c r="F21" s="33">
        <f>F19*17.7%</f>
        <v>80519.570909999995</v>
      </c>
      <c r="G21" s="25">
        <f t="shared" si="0"/>
        <v>82631.658809999994</v>
      </c>
      <c r="H21" s="21"/>
      <c r="I21" s="33"/>
    </row>
    <row r="22" spans="1:9" x14ac:dyDescent="0.25">
      <c r="A22" s="22" t="s">
        <v>40</v>
      </c>
      <c r="B22" s="5" t="s">
        <v>41</v>
      </c>
      <c r="C22" s="29">
        <v>1.36</v>
      </c>
      <c r="D22" s="30"/>
      <c r="E22" s="28">
        <f>E19*16%</f>
        <v>74695.284800000009</v>
      </c>
      <c r="F22" s="30">
        <f>F19*16%</f>
        <v>72786.052800000005</v>
      </c>
      <c r="G22" s="28">
        <f t="shared" si="0"/>
        <v>74695.284800000009</v>
      </c>
      <c r="H22" s="21"/>
      <c r="I22" s="30"/>
    </row>
    <row r="23" spans="1:9" x14ac:dyDescent="0.25">
      <c r="A23" s="22" t="s">
        <v>42</v>
      </c>
      <c r="B23" s="5" t="s">
        <v>43</v>
      </c>
      <c r="C23" s="24">
        <v>2.6</v>
      </c>
      <c r="D23" s="33"/>
      <c r="E23" s="24">
        <f>E19*30.3%</f>
        <v>141454.19559000002</v>
      </c>
      <c r="F23" s="33">
        <f>F19*30.3%</f>
        <v>137838.58749000001</v>
      </c>
      <c r="G23" s="25">
        <f t="shared" si="0"/>
        <v>141454.19559000002</v>
      </c>
      <c r="H23" s="21"/>
      <c r="I23" s="33"/>
    </row>
    <row r="24" spans="1:9" x14ac:dyDescent="0.25">
      <c r="A24" s="22" t="s">
        <v>44</v>
      </c>
      <c r="B24" s="5" t="s">
        <v>45</v>
      </c>
      <c r="C24" s="203">
        <v>1755.25</v>
      </c>
      <c r="D24" s="33">
        <v>1092.6300000000001</v>
      </c>
      <c r="E24" s="24">
        <v>12403.45</v>
      </c>
      <c r="F24" s="33">
        <v>12154.83</v>
      </c>
      <c r="G24" s="24">
        <f t="shared" si="0"/>
        <v>12403.45</v>
      </c>
      <c r="H24" s="21">
        <f>D24+F24-G24</f>
        <v>844.0099999999984</v>
      </c>
      <c r="I24" s="33"/>
    </row>
    <row r="25" spans="1:9" x14ac:dyDescent="0.25">
      <c r="A25" s="22" t="s">
        <v>46</v>
      </c>
      <c r="B25" s="5" t="s">
        <v>695</v>
      </c>
      <c r="C25" s="270" t="s">
        <v>48</v>
      </c>
      <c r="D25" s="5">
        <v>-4616.1499999999996</v>
      </c>
      <c r="E25" s="5">
        <v>36873.24</v>
      </c>
      <c r="F25" s="5">
        <v>36077.089999999997</v>
      </c>
      <c r="G25" s="54">
        <f>E25</f>
        <v>36873.24</v>
      </c>
      <c r="H25" s="8">
        <f>D25+F25-G25</f>
        <v>-5412.3000000000029</v>
      </c>
      <c r="I25" s="63">
        <f>H25</f>
        <v>-5412.3000000000029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10">
        <v>-22338.16</v>
      </c>
      <c r="E26" s="35">
        <v>251154.48</v>
      </c>
      <c r="F26" s="10">
        <v>246427.14</v>
      </c>
      <c r="G26" s="35">
        <f t="shared" si="0"/>
        <v>251154.48</v>
      </c>
      <c r="H26" s="10">
        <f>D26+F26-G26</f>
        <v>-27065.5</v>
      </c>
      <c r="I26" s="10">
        <f>H26</f>
        <v>-27065.5</v>
      </c>
    </row>
    <row r="27" spans="1:9" x14ac:dyDescent="0.25">
      <c r="A27" s="10" t="s">
        <v>51</v>
      </c>
      <c r="B27" s="11" t="s">
        <v>310</v>
      </c>
      <c r="C27" s="10">
        <v>1.65</v>
      </c>
      <c r="D27" s="11">
        <v>-131483.21</v>
      </c>
      <c r="E27" s="36">
        <v>116490.48</v>
      </c>
      <c r="F27" s="38">
        <f>F28+F29</f>
        <v>115683.93</v>
      </c>
      <c r="G27" s="35">
        <f>I58</f>
        <v>82651.819999999992</v>
      </c>
      <c r="H27" s="38">
        <f>D27+F27-G27</f>
        <v>-98451.099999999991</v>
      </c>
      <c r="I27" s="10">
        <f>H27</f>
        <v>-98451.099999999991</v>
      </c>
    </row>
    <row r="28" spans="1:9" x14ac:dyDescent="0.25">
      <c r="A28" s="39"/>
      <c r="B28" s="8" t="s">
        <v>354</v>
      </c>
      <c r="C28" s="35"/>
      <c r="D28" s="11"/>
      <c r="E28" s="1"/>
      <c r="F28" s="55">
        <v>114115.18</v>
      </c>
      <c r="G28" s="10"/>
      <c r="H28" s="194"/>
      <c r="I28" s="39"/>
    </row>
    <row r="29" spans="1:9" x14ac:dyDescent="0.25">
      <c r="A29" s="10"/>
      <c r="B29" s="8" t="s">
        <v>367</v>
      </c>
      <c r="C29" s="9"/>
      <c r="D29" s="11"/>
      <c r="E29" s="36"/>
      <c r="F29" s="36">
        <v>1568.75</v>
      </c>
      <c r="G29" s="10"/>
      <c r="H29" s="42"/>
      <c r="I29" s="10"/>
    </row>
    <row r="30" spans="1:9" x14ac:dyDescent="0.25">
      <c r="A30" s="10" t="s">
        <v>56</v>
      </c>
      <c r="B30" s="11" t="s">
        <v>730</v>
      </c>
      <c r="C30" s="11">
        <v>0</v>
      </c>
      <c r="D30" s="10">
        <v>1304.19</v>
      </c>
      <c r="E30" s="35">
        <v>0</v>
      </c>
      <c r="F30" s="36">
        <v>-1568.75</v>
      </c>
      <c r="G30" s="10">
        <v>0</v>
      </c>
      <c r="H30" s="42">
        <v>0</v>
      </c>
      <c r="I30" s="10"/>
    </row>
    <row r="31" spans="1:9" x14ac:dyDescent="0.25">
      <c r="A31" s="8"/>
      <c r="B31" s="8" t="s">
        <v>354</v>
      </c>
      <c r="C31" s="9"/>
      <c r="D31" s="10"/>
      <c r="E31" s="54">
        <v>0</v>
      </c>
      <c r="F31" s="46">
        <v>264.56</v>
      </c>
      <c r="G31" s="10">
        <f>H61</f>
        <v>0</v>
      </c>
      <c r="H31" s="42"/>
      <c r="I31" s="5"/>
    </row>
    <row r="32" spans="1:9" x14ac:dyDescent="0.25">
      <c r="A32" s="8"/>
      <c r="B32" s="8" t="s">
        <v>58</v>
      </c>
      <c r="C32" s="9"/>
      <c r="D32" s="10"/>
      <c r="E32" s="9"/>
      <c r="F32" s="36">
        <v>1568.75</v>
      </c>
      <c r="G32" s="10"/>
      <c r="H32" s="42"/>
      <c r="I32" s="8"/>
    </row>
    <row r="33" spans="1:9" x14ac:dyDescent="0.25">
      <c r="A33" s="4" t="s">
        <v>59</v>
      </c>
      <c r="B33" s="43"/>
      <c r="C33" s="43"/>
      <c r="D33" s="4"/>
      <c r="E33" s="43"/>
      <c r="F33" s="4"/>
      <c r="G33" s="4"/>
      <c r="H33" s="4"/>
      <c r="I33" s="43"/>
    </row>
    <row r="34" spans="1:9" x14ac:dyDescent="0.25">
      <c r="A34" s="63"/>
      <c r="B34" s="46"/>
      <c r="C34" s="46"/>
      <c r="D34" s="5"/>
      <c r="E34" s="5"/>
      <c r="F34" s="5"/>
      <c r="G34" s="54"/>
      <c r="H34" s="46" t="s">
        <v>699</v>
      </c>
      <c r="I34" s="47"/>
    </row>
    <row r="35" spans="1:9" x14ac:dyDescent="0.25">
      <c r="A35" s="6"/>
      <c r="B35" s="50" t="s">
        <v>713</v>
      </c>
      <c r="C35" s="50" t="s">
        <v>67</v>
      </c>
      <c r="D35" s="17" t="s">
        <v>731</v>
      </c>
      <c r="E35" s="17" t="s">
        <v>312</v>
      </c>
      <c r="F35" s="17" t="s">
        <v>732</v>
      </c>
      <c r="G35" s="61"/>
      <c r="H35" s="50"/>
      <c r="I35" s="51"/>
    </row>
    <row r="36" spans="1:9" x14ac:dyDescent="0.25">
      <c r="A36" s="17"/>
      <c r="B36" s="17"/>
      <c r="C36" s="21">
        <v>24278.55</v>
      </c>
      <c r="D36" s="51">
        <v>9600</v>
      </c>
      <c r="E36" s="260">
        <f>D36*15%</f>
        <v>1440</v>
      </c>
      <c r="F36" s="21">
        <f>C36+D36-E36</f>
        <v>32438.550000000003</v>
      </c>
      <c r="G36" s="18"/>
      <c r="H36" s="162">
        <f>F36-G36</f>
        <v>32438.550000000003</v>
      </c>
      <c r="I36" s="51"/>
    </row>
    <row r="37" spans="1:9" x14ac:dyDescent="0.25">
      <c r="A37" s="1" t="s">
        <v>155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78</v>
      </c>
      <c r="H38" s="5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17" t="s">
        <v>89</v>
      </c>
      <c r="H40" s="17"/>
      <c r="I40" s="6" t="s">
        <v>30</v>
      </c>
    </row>
    <row r="41" spans="1:9" x14ac:dyDescent="0.25">
      <c r="A41" s="8">
        <v>1</v>
      </c>
      <c r="B41" s="8" t="s">
        <v>91</v>
      </c>
      <c r="C41" s="35" t="s">
        <v>92</v>
      </c>
      <c r="D41" s="8">
        <v>-80469.22</v>
      </c>
      <c r="E41" s="59">
        <v>684044.63</v>
      </c>
      <c r="F41" s="8">
        <v>647700.66</v>
      </c>
      <c r="G41" s="59">
        <f>E41</f>
        <v>684044.63</v>
      </c>
      <c r="H41" s="6">
        <f>D41+F41-G41</f>
        <v>-116813.18999999994</v>
      </c>
      <c r="I41" s="8">
        <f>H41</f>
        <v>-116813.18999999994</v>
      </c>
    </row>
    <row r="42" spans="1:9" x14ac:dyDescent="0.25">
      <c r="A42" s="6" t="s">
        <v>72</v>
      </c>
      <c r="B42" s="8" t="s">
        <v>279</v>
      </c>
      <c r="C42" s="35" t="s">
        <v>94</v>
      </c>
      <c r="D42" s="6"/>
      <c r="E42" s="2"/>
      <c r="F42" s="6"/>
      <c r="G42" s="2"/>
      <c r="H42" s="5"/>
      <c r="I42" s="6"/>
    </row>
    <row r="43" spans="1:9" x14ac:dyDescent="0.25">
      <c r="A43" s="8">
        <v>2</v>
      </c>
      <c r="B43" s="8" t="s">
        <v>99</v>
      </c>
      <c r="C43" s="35" t="s">
        <v>100</v>
      </c>
      <c r="D43" s="8">
        <v>-264862.11</v>
      </c>
      <c r="E43" s="9">
        <v>1320851.6299999999</v>
      </c>
      <c r="F43" s="8">
        <v>1253935.52</v>
      </c>
      <c r="G43" s="9">
        <f>E43</f>
        <v>1320851.6299999999</v>
      </c>
      <c r="H43" s="8">
        <f>D43+F43-G43</f>
        <v>-331778.21999999986</v>
      </c>
      <c r="I43" s="8">
        <f>H43</f>
        <v>-331778.21999999986</v>
      </c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1" t="s">
        <v>733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734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5" t="s">
        <v>735</v>
      </c>
      <c r="B47" s="5" t="s">
        <v>736</v>
      </c>
      <c r="C47" s="46" t="s">
        <v>104</v>
      </c>
      <c r="D47" s="54"/>
      <c r="E47" s="54"/>
      <c r="F47" s="54"/>
      <c r="G47" s="5" t="s">
        <v>105</v>
      </c>
      <c r="H47" s="47" t="s">
        <v>165</v>
      </c>
      <c r="I47" s="47" t="s">
        <v>107</v>
      </c>
    </row>
    <row r="48" spans="1:9" x14ac:dyDescent="0.25">
      <c r="A48" s="6" t="s">
        <v>20</v>
      </c>
      <c r="B48" s="6"/>
      <c r="C48" s="49"/>
      <c r="D48" s="43"/>
      <c r="E48" s="43"/>
      <c r="F48" s="43"/>
      <c r="G48" s="6"/>
      <c r="H48" s="56" t="s">
        <v>85</v>
      </c>
      <c r="I48" s="56" t="s">
        <v>109</v>
      </c>
    </row>
    <row r="49" spans="1:9" x14ac:dyDescent="0.25">
      <c r="A49" s="6"/>
      <c r="B49" s="6"/>
      <c r="C49" s="49"/>
      <c r="D49" s="43"/>
      <c r="E49" s="43"/>
      <c r="F49" s="43"/>
      <c r="G49" s="6"/>
      <c r="H49" s="56"/>
      <c r="I49" s="56"/>
    </row>
    <row r="50" spans="1:9" x14ac:dyDescent="0.25">
      <c r="A50" s="6"/>
      <c r="B50" s="6"/>
      <c r="C50" s="50"/>
      <c r="D50" s="61"/>
      <c r="E50" s="61"/>
      <c r="F50" s="61"/>
      <c r="G50" s="17"/>
      <c r="H50" s="51"/>
      <c r="I50" s="56"/>
    </row>
    <row r="51" spans="1:9" x14ac:dyDescent="0.25">
      <c r="A51" s="63"/>
      <c r="B51" s="63"/>
      <c r="C51" s="55" t="s">
        <v>737</v>
      </c>
      <c r="D51" s="4"/>
      <c r="E51" s="4"/>
      <c r="F51" s="19"/>
      <c r="G51" s="26"/>
      <c r="H51" s="32"/>
      <c r="I51" s="47"/>
    </row>
    <row r="52" spans="1:9" x14ac:dyDescent="0.25">
      <c r="A52" s="64" t="s">
        <v>111</v>
      </c>
      <c r="B52" s="65">
        <v>43186</v>
      </c>
      <c r="C52" s="49" t="s">
        <v>112</v>
      </c>
      <c r="D52" s="43"/>
      <c r="E52" s="43"/>
      <c r="F52" s="19"/>
      <c r="G52" s="26" t="s">
        <v>113</v>
      </c>
      <c r="H52" s="32">
        <v>234</v>
      </c>
      <c r="I52" s="56">
        <v>46800</v>
      </c>
    </row>
    <row r="53" spans="1:9" x14ac:dyDescent="0.25">
      <c r="A53" s="64" t="s">
        <v>114</v>
      </c>
      <c r="B53" s="65">
        <v>43312</v>
      </c>
      <c r="C53" s="49" t="s">
        <v>738</v>
      </c>
      <c r="D53" s="43"/>
      <c r="E53" s="43"/>
      <c r="F53" s="19"/>
      <c r="G53" s="26" t="s">
        <v>172</v>
      </c>
      <c r="H53" s="32">
        <v>1</v>
      </c>
      <c r="I53" s="56">
        <v>1155.03</v>
      </c>
    </row>
    <row r="54" spans="1:9" x14ac:dyDescent="0.25">
      <c r="A54" s="64" t="s">
        <v>170</v>
      </c>
      <c r="B54" s="65">
        <v>43342</v>
      </c>
      <c r="C54" s="49" t="s">
        <v>739</v>
      </c>
      <c r="D54" s="43"/>
      <c r="E54" s="43"/>
      <c r="F54" s="19"/>
      <c r="G54" s="26" t="s">
        <v>205</v>
      </c>
      <c r="H54" s="32">
        <v>1</v>
      </c>
      <c r="I54" s="56">
        <v>16806</v>
      </c>
    </row>
    <row r="55" spans="1:9" x14ac:dyDescent="0.25">
      <c r="A55" s="64" t="s">
        <v>173</v>
      </c>
      <c r="B55" s="65">
        <v>43361</v>
      </c>
      <c r="C55" s="49" t="s">
        <v>740</v>
      </c>
      <c r="D55" s="43"/>
      <c r="E55" s="43"/>
      <c r="F55" s="19"/>
      <c r="G55" s="26" t="s">
        <v>205</v>
      </c>
      <c r="H55" s="32">
        <v>1</v>
      </c>
      <c r="I55" s="56">
        <v>6300</v>
      </c>
    </row>
    <row r="56" spans="1:9" x14ac:dyDescent="0.25">
      <c r="A56" s="64" t="s">
        <v>257</v>
      </c>
      <c r="B56" s="65">
        <v>43404</v>
      </c>
      <c r="C56" s="49" t="s">
        <v>741</v>
      </c>
      <c r="D56" s="43"/>
      <c r="E56" s="43"/>
      <c r="F56" s="19"/>
      <c r="G56" s="26" t="s">
        <v>169</v>
      </c>
      <c r="H56" s="32">
        <v>5.2</v>
      </c>
      <c r="I56" s="56">
        <v>6845.79</v>
      </c>
    </row>
    <row r="57" spans="1:9" x14ac:dyDescent="0.25">
      <c r="A57" s="64" t="s">
        <v>406</v>
      </c>
      <c r="B57" s="65">
        <v>43463</v>
      </c>
      <c r="C57" s="49" t="s">
        <v>742</v>
      </c>
      <c r="D57" s="43"/>
      <c r="E57" s="43"/>
      <c r="F57" s="19"/>
      <c r="G57" s="26" t="s">
        <v>205</v>
      </c>
      <c r="H57" s="32">
        <v>1</v>
      </c>
      <c r="I57" s="56">
        <v>4745</v>
      </c>
    </row>
    <row r="58" spans="1:9" x14ac:dyDescent="0.25">
      <c r="A58" s="66"/>
      <c r="B58" s="17"/>
      <c r="C58" s="14" t="s">
        <v>117</v>
      </c>
      <c r="D58" s="13"/>
      <c r="E58" s="13"/>
      <c r="F58" s="162"/>
      <c r="G58" s="21"/>
      <c r="H58" s="18"/>
      <c r="I58" s="67">
        <f>SUM(I51:I57)</f>
        <v>82651.819999999992</v>
      </c>
    </row>
    <row r="59" spans="1:9" x14ac:dyDescent="0.25">
      <c r="A59" s="68"/>
      <c r="B59" s="43"/>
      <c r="C59" s="4"/>
      <c r="D59" s="4"/>
      <c r="E59" s="4"/>
      <c r="F59" s="4"/>
      <c r="G59" s="4"/>
      <c r="H59" s="43"/>
      <c r="I59" s="43"/>
    </row>
    <row r="60" spans="1:9" x14ac:dyDescent="0.25">
      <c r="A60" s="271"/>
      <c r="B60" s="219"/>
      <c r="C60" s="4"/>
      <c r="D60" s="43"/>
      <c r="E60" s="43"/>
      <c r="F60" s="43"/>
      <c r="G60" s="19"/>
      <c r="H60" s="43"/>
      <c r="I60" s="43"/>
    </row>
    <row r="61" spans="1:9" x14ac:dyDescent="0.25">
      <c r="A61" s="43"/>
      <c r="B61" s="43"/>
      <c r="C61" s="4"/>
      <c r="D61" s="4"/>
      <c r="E61" s="4"/>
      <c r="F61" s="4"/>
      <c r="G61" s="165"/>
      <c r="H61" s="4"/>
      <c r="I61" s="4"/>
    </row>
    <row r="62" spans="1:9" x14ac:dyDescent="0.25">
      <c r="A62" s="2"/>
      <c r="B62" s="2"/>
      <c r="C62" s="2"/>
      <c r="D62" s="2"/>
      <c r="E62" s="2"/>
      <c r="F62" s="2"/>
      <c r="G62" s="2"/>
      <c r="H62" s="2"/>
    </row>
    <row r="63" spans="1:9" x14ac:dyDescent="0.25">
      <c r="A63" s="2" t="s">
        <v>302</v>
      </c>
      <c r="B63" s="2"/>
      <c r="C63" s="2" t="s">
        <v>743</v>
      </c>
      <c r="D63" s="2"/>
      <c r="E63" s="2"/>
      <c r="F63" s="2"/>
      <c r="G63" s="2"/>
      <c r="H63" s="2"/>
    </row>
    <row r="64" spans="1:9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</sheetData>
  <pageMargins left="0.7" right="0.7" top="0.75" bottom="0.75" header="0.3" footer="0.3"/>
  <pageSetup paperSize="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3" workbookViewId="0">
      <selection activeCell="A39" sqref="A39"/>
    </sheetView>
  </sheetViews>
  <sheetFormatPr defaultRowHeight="15" x14ac:dyDescent="0.25"/>
  <cols>
    <col min="1" max="1" width="5.42578125" customWidth="1"/>
    <col min="2" max="2" width="33.5703125" customWidth="1"/>
    <col min="3" max="3" width="12.140625" customWidth="1"/>
    <col min="5" max="5" width="10.85546875" customWidth="1"/>
    <col min="6" max="6" width="10.42578125" customWidth="1"/>
    <col min="7" max="7" width="10.28515625" customWidth="1"/>
    <col min="8" max="8" width="12" customWidth="1"/>
    <col min="9" max="9" width="20.2851562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744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745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746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269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747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9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5">
        <v>9</v>
      </c>
    </row>
    <row r="17" spans="1:9" x14ac:dyDescent="0.25">
      <c r="A17" s="53">
        <v>1</v>
      </c>
      <c r="B17" s="63" t="s">
        <v>186</v>
      </c>
      <c r="C17" s="159" t="s">
        <v>72</v>
      </c>
      <c r="D17" s="53"/>
      <c r="E17" s="160" t="s">
        <v>72</v>
      </c>
      <c r="F17" s="63" t="s">
        <v>72</v>
      </c>
      <c r="G17" s="53"/>
      <c r="H17" s="53" t="s">
        <v>72</v>
      </c>
      <c r="I17" s="160"/>
    </row>
    <row r="18" spans="1:9" x14ac:dyDescent="0.25">
      <c r="A18" s="14"/>
      <c r="B18" s="11" t="s">
        <v>187</v>
      </c>
      <c r="C18" s="13">
        <v>8.5500000000000007</v>
      </c>
      <c r="D18" s="16">
        <v>-54484.77</v>
      </c>
      <c r="E18" s="11">
        <v>466043.04</v>
      </c>
      <c r="F18" s="11">
        <v>459019.53</v>
      </c>
      <c r="G18" s="14">
        <f>E18</f>
        <v>466043.04</v>
      </c>
      <c r="H18" s="15">
        <f>D18+F18-G18</f>
        <v>-61508.27999999997</v>
      </c>
      <c r="I18" s="16">
        <f>H18</f>
        <v>-61508.27999999997</v>
      </c>
    </row>
    <row r="19" spans="1:9" x14ac:dyDescent="0.25">
      <c r="A19" s="6" t="s">
        <v>36</v>
      </c>
      <c r="B19" s="6" t="s">
        <v>217</v>
      </c>
      <c r="C19" s="272"/>
      <c r="D19" s="273"/>
      <c r="E19" s="274"/>
      <c r="F19" s="274"/>
      <c r="G19" s="272"/>
      <c r="H19" s="273"/>
      <c r="I19" s="26"/>
    </row>
    <row r="20" spans="1:9" x14ac:dyDescent="0.25">
      <c r="A20" s="17"/>
      <c r="B20" s="17" t="s">
        <v>218</v>
      </c>
      <c r="C20" s="275">
        <v>3.08</v>
      </c>
      <c r="D20" s="273"/>
      <c r="E20" s="276">
        <f>E18*36%</f>
        <v>167775.4944</v>
      </c>
      <c r="F20" s="276">
        <f>F18*36%</f>
        <v>165247.03080000001</v>
      </c>
      <c r="G20" s="272">
        <f t="shared" ref="G20:G25" si="0">E20</f>
        <v>167775.4944</v>
      </c>
      <c r="H20" s="273"/>
      <c r="I20" s="21"/>
    </row>
    <row r="21" spans="1:9" x14ac:dyDescent="0.25">
      <c r="A21" s="22" t="s">
        <v>38</v>
      </c>
      <c r="B21" s="5" t="s">
        <v>39</v>
      </c>
      <c r="C21" s="277">
        <v>1.51</v>
      </c>
      <c r="D21" s="278"/>
      <c r="E21" s="279">
        <f>E18*17.7%</f>
        <v>82489.618079999986</v>
      </c>
      <c r="F21" s="279">
        <f>F18*17.7%</f>
        <v>81246.456810000003</v>
      </c>
      <c r="G21" s="278">
        <f t="shared" si="0"/>
        <v>82489.618079999986</v>
      </c>
      <c r="H21" s="278"/>
      <c r="I21" s="30"/>
    </row>
    <row r="22" spans="1:9" x14ac:dyDescent="0.25">
      <c r="A22" s="22" t="s">
        <v>40</v>
      </c>
      <c r="B22" s="5" t="s">
        <v>41</v>
      </c>
      <c r="C22" s="277">
        <v>1.36</v>
      </c>
      <c r="D22" s="273"/>
      <c r="E22" s="274">
        <f>E18*16%</f>
        <v>74566.886400000003</v>
      </c>
      <c r="F22" s="274">
        <f>F18*16%</f>
        <v>73443.124800000005</v>
      </c>
      <c r="G22" s="272">
        <f t="shared" si="0"/>
        <v>74566.886400000003</v>
      </c>
      <c r="H22" s="273"/>
      <c r="I22" s="26"/>
    </row>
    <row r="23" spans="1:9" x14ac:dyDescent="0.25">
      <c r="A23" s="31" t="s">
        <v>42</v>
      </c>
      <c r="B23" s="8" t="s">
        <v>43</v>
      </c>
      <c r="C23" s="280">
        <v>2.6</v>
      </c>
      <c r="D23" s="278"/>
      <c r="E23" s="279">
        <f>E18*30.3%</f>
        <v>141211.04111999998</v>
      </c>
      <c r="F23" s="279">
        <f>F18*30.3%</f>
        <v>139082.91759</v>
      </c>
      <c r="G23" s="278">
        <f t="shared" si="0"/>
        <v>141211.04111999998</v>
      </c>
      <c r="H23" s="278"/>
      <c r="I23" s="30"/>
    </row>
    <row r="24" spans="1:9" x14ac:dyDescent="0.25">
      <c r="A24" s="31" t="s">
        <v>44</v>
      </c>
      <c r="B24" s="8" t="s">
        <v>45</v>
      </c>
      <c r="C24" s="208">
        <v>1755.25</v>
      </c>
      <c r="D24" s="278">
        <v>-2266.8200000000002</v>
      </c>
      <c r="E24" s="279">
        <v>12842.99</v>
      </c>
      <c r="F24" s="279">
        <v>12501.69</v>
      </c>
      <c r="G24" s="280">
        <f t="shared" si="0"/>
        <v>12842.99</v>
      </c>
      <c r="H24" s="278">
        <f>D24+F24-G24</f>
        <v>-2608.119999999999</v>
      </c>
      <c r="I24" s="38">
        <f>H24</f>
        <v>-2608.119999999999</v>
      </c>
    </row>
    <row r="25" spans="1:9" x14ac:dyDescent="0.25">
      <c r="A25" s="31" t="s">
        <v>46</v>
      </c>
      <c r="B25" s="8" t="s">
        <v>695</v>
      </c>
      <c r="C25" s="281" t="s">
        <v>48</v>
      </c>
      <c r="D25" s="33">
        <v>-7683.49</v>
      </c>
      <c r="E25" s="54">
        <v>36546.959999999999</v>
      </c>
      <c r="F25" s="46">
        <v>37017.040000000001</v>
      </c>
      <c r="G25" s="46">
        <f t="shared" si="0"/>
        <v>36546.959999999999</v>
      </c>
      <c r="H25" s="33">
        <f>D25+F25-G25</f>
        <v>-7213.4099999999962</v>
      </c>
      <c r="I25" s="246">
        <f>H25</f>
        <v>-7213.4099999999962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37">
        <v>-28281.63</v>
      </c>
      <c r="E26" s="10">
        <v>250734.96</v>
      </c>
      <c r="F26" s="10">
        <v>247830.38</v>
      </c>
      <c r="G26" s="35">
        <f>E26</f>
        <v>250734.96</v>
      </c>
      <c r="H26" s="37">
        <f>D26+F26-G26</f>
        <v>-31186.209999999992</v>
      </c>
      <c r="I26" s="38">
        <f>H26</f>
        <v>-31186.209999999992</v>
      </c>
    </row>
    <row r="27" spans="1:9" x14ac:dyDescent="0.25">
      <c r="A27" s="63" t="s">
        <v>51</v>
      </c>
      <c r="B27" s="11" t="s">
        <v>310</v>
      </c>
      <c r="C27" s="14">
        <v>1.65</v>
      </c>
      <c r="D27" s="15">
        <v>47594.46</v>
      </c>
      <c r="E27" s="39">
        <v>89940.6</v>
      </c>
      <c r="F27" s="39">
        <f>F28+F29</f>
        <v>90586.19</v>
      </c>
      <c r="G27" s="1">
        <f>I58</f>
        <v>60441.63</v>
      </c>
      <c r="H27" s="40">
        <f>D27+F27-G27</f>
        <v>77739.01999999999</v>
      </c>
      <c r="I27" s="16"/>
    </row>
    <row r="28" spans="1:9" x14ac:dyDescent="0.25">
      <c r="A28" s="63"/>
      <c r="B28" s="17" t="s">
        <v>53</v>
      </c>
      <c r="C28" s="13"/>
      <c r="D28" s="15"/>
      <c r="E28" s="10"/>
      <c r="F28" s="10">
        <v>90110.63</v>
      </c>
      <c r="G28" s="35"/>
      <c r="H28" s="38"/>
      <c r="I28" s="16"/>
    </row>
    <row r="29" spans="1:9" x14ac:dyDescent="0.25">
      <c r="A29" s="63"/>
      <c r="B29" s="8" t="s">
        <v>367</v>
      </c>
      <c r="C29" s="13"/>
      <c r="D29" s="15"/>
      <c r="E29" s="39"/>
      <c r="F29" s="11">
        <v>475.56</v>
      </c>
      <c r="G29" s="1"/>
      <c r="H29" s="15"/>
      <c r="I29" s="16"/>
    </row>
    <row r="30" spans="1:9" x14ac:dyDescent="0.25">
      <c r="A30" s="10" t="s">
        <v>56</v>
      </c>
      <c r="B30" s="10" t="s">
        <v>730</v>
      </c>
      <c r="C30" s="42"/>
      <c r="D30" s="37">
        <v>241.59</v>
      </c>
      <c r="E30" s="10">
        <f>E31</f>
        <v>0</v>
      </c>
      <c r="F30" s="10">
        <v>-475.56</v>
      </c>
      <c r="G30" s="35">
        <f>G31+G32</f>
        <v>0</v>
      </c>
      <c r="H30" s="37"/>
      <c r="I30" s="38"/>
    </row>
    <row r="31" spans="1:9" x14ac:dyDescent="0.25">
      <c r="A31" s="6"/>
      <c r="B31" s="17" t="s">
        <v>53</v>
      </c>
      <c r="C31" s="9"/>
      <c r="D31" s="30"/>
      <c r="E31" s="10">
        <v>0</v>
      </c>
      <c r="F31" s="10">
        <v>233.97</v>
      </c>
      <c r="G31" s="9">
        <f>I61</f>
        <v>0</v>
      </c>
      <c r="H31" s="30"/>
      <c r="I31" s="30"/>
    </row>
    <row r="32" spans="1:9" x14ac:dyDescent="0.25">
      <c r="A32" s="8"/>
      <c r="B32" s="8" t="s">
        <v>58</v>
      </c>
      <c r="C32" s="9"/>
      <c r="D32" s="29"/>
      <c r="E32" s="8">
        <v>0</v>
      </c>
      <c r="F32" s="8">
        <v>475.56</v>
      </c>
      <c r="G32" s="9">
        <v>0</v>
      </c>
      <c r="H32" s="29"/>
      <c r="I32" s="21"/>
    </row>
    <row r="33" spans="1:9" x14ac:dyDescent="0.25">
      <c r="A33" s="1" t="s">
        <v>59</v>
      </c>
      <c r="B33" s="43"/>
      <c r="C33" s="43"/>
      <c r="D33" s="19"/>
      <c r="E33" s="43"/>
      <c r="F33" s="43"/>
      <c r="G33" s="43"/>
      <c r="H33" s="19"/>
      <c r="I33" s="19"/>
    </row>
    <row r="34" spans="1:9" x14ac:dyDescent="0.25">
      <c r="A34" s="1"/>
      <c r="B34" s="2"/>
      <c r="C34" s="2"/>
      <c r="E34" s="2"/>
      <c r="F34" s="2"/>
      <c r="G34" s="43"/>
      <c r="H34" s="19"/>
      <c r="I34" s="43"/>
    </row>
    <row r="35" spans="1:9" x14ac:dyDescent="0.25">
      <c r="A35" s="5" t="s">
        <v>60</v>
      </c>
      <c r="B35" s="46" t="s">
        <v>709</v>
      </c>
      <c r="C35" s="5" t="s">
        <v>748</v>
      </c>
      <c r="D35" s="46" t="s">
        <v>749</v>
      </c>
      <c r="E35" s="5" t="s">
        <v>711</v>
      </c>
      <c r="F35" s="24" t="s">
        <v>710</v>
      </c>
      <c r="G35" s="5"/>
      <c r="H35" s="24" t="s">
        <v>699</v>
      </c>
      <c r="I35" s="47"/>
    </row>
    <row r="36" spans="1:9" x14ac:dyDescent="0.25">
      <c r="A36" s="6"/>
      <c r="B36" s="49"/>
      <c r="C36" s="17" t="s">
        <v>750</v>
      </c>
      <c r="D36" s="50" t="s">
        <v>23</v>
      </c>
      <c r="E36" s="282">
        <v>0.15</v>
      </c>
      <c r="F36" s="43" t="s">
        <v>30</v>
      </c>
      <c r="G36" s="6"/>
      <c r="H36" s="162"/>
      <c r="I36" s="51"/>
    </row>
    <row r="37" spans="1:9" x14ac:dyDescent="0.25">
      <c r="A37" s="17"/>
      <c r="B37" s="50" t="s">
        <v>713</v>
      </c>
      <c r="C37" s="17">
        <v>13082.55</v>
      </c>
      <c r="D37" s="17">
        <v>2400</v>
      </c>
      <c r="E37" s="20">
        <f>D37*15%</f>
        <v>360</v>
      </c>
      <c r="F37" s="29">
        <f>C37+(D37-E37)</f>
        <v>15122.55</v>
      </c>
      <c r="G37" s="27"/>
      <c r="H37" s="162">
        <f>F37-G37</f>
        <v>15122.55</v>
      </c>
      <c r="I37" s="51"/>
    </row>
    <row r="38" spans="1:9" x14ac:dyDescent="0.25">
      <c r="A38" s="43"/>
      <c r="B38" s="43"/>
      <c r="C38" s="43"/>
      <c r="D38" s="43"/>
      <c r="E38" s="19"/>
      <c r="F38" s="19"/>
      <c r="G38" s="19"/>
      <c r="H38" s="19"/>
      <c r="I38" s="43"/>
    </row>
    <row r="39" spans="1:9" x14ac:dyDescent="0.25">
      <c r="A39" s="4" t="s">
        <v>70</v>
      </c>
    </row>
    <row r="40" spans="1:9" x14ac:dyDescent="0.25">
      <c r="A40" s="1" t="s">
        <v>71</v>
      </c>
      <c r="B40" s="4"/>
      <c r="C40" s="4"/>
      <c r="D40" s="52"/>
      <c r="E40" s="4"/>
      <c r="F40" s="4"/>
      <c r="G40" s="4"/>
      <c r="H40" s="4"/>
      <c r="I40" s="4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46" t="s">
        <v>78</v>
      </c>
      <c r="H41" s="33" t="s">
        <v>15</v>
      </c>
      <c r="I41" s="47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49" t="s">
        <v>85</v>
      </c>
      <c r="H42" s="26" t="s">
        <v>25</v>
      </c>
      <c r="I42" s="5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49" t="s">
        <v>89</v>
      </c>
      <c r="H43" s="26" t="s">
        <v>30</v>
      </c>
      <c r="I43" s="56" t="s">
        <v>221</v>
      </c>
    </row>
    <row r="44" spans="1:9" x14ac:dyDescent="0.25">
      <c r="A44" s="8">
        <v>1</v>
      </c>
      <c r="B44" s="8" t="s">
        <v>91</v>
      </c>
      <c r="C44" s="35" t="s">
        <v>92</v>
      </c>
      <c r="D44" s="30">
        <v>-147614.70000000001</v>
      </c>
      <c r="E44" s="59">
        <v>666151.93999999994</v>
      </c>
      <c r="F44" s="7">
        <v>645319.53</v>
      </c>
      <c r="G44" s="283">
        <f>E44</f>
        <v>666151.93999999994</v>
      </c>
      <c r="H44" s="30">
        <f>D44+F44-G44</f>
        <v>-168447.10999999993</v>
      </c>
      <c r="I44" s="27">
        <f>H44</f>
        <v>-168447.10999999993</v>
      </c>
    </row>
    <row r="45" spans="1:9" x14ac:dyDescent="0.25">
      <c r="A45" s="8"/>
      <c r="B45" s="8" t="s">
        <v>93</v>
      </c>
      <c r="C45" s="35" t="s">
        <v>94</v>
      </c>
      <c r="D45" s="30"/>
      <c r="E45" s="59"/>
      <c r="F45" s="7"/>
      <c r="G45" s="284"/>
      <c r="H45" s="21"/>
      <c r="I45" s="27"/>
    </row>
    <row r="46" spans="1:9" x14ac:dyDescent="0.25">
      <c r="A46" s="8">
        <v>3</v>
      </c>
      <c r="B46" s="8" t="s">
        <v>99</v>
      </c>
      <c r="C46" s="35" t="s">
        <v>100</v>
      </c>
      <c r="D46" s="30">
        <v>-500804.65</v>
      </c>
      <c r="E46" s="9">
        <v>1448123.99</v>
      </c>
      <c r="F46" s="7">
        <v>1398594.17</v>
      </c>
      <c r="G46" s="50">
        <f>E46</f>
        <v>1448123.99</v>
      </c>
      <c r="H46" s="21">
        <f>D46+F46-G46</f>
        <v>-550334.47000000009</v>
      </c>
      <c r="I46" s="27">
        <f>H46</f>
        <v>-550334.47000000009</v>
      </c>
    </row>
    <row r="47" spans="1:9" x14ac:dyDescent="0.25">
      <c r="A47" s="1" t="s">
        <v>751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752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12</v>
      </c>
      <c r="B49" s="5" t="s">
        <v>103</v>
      </c>
      <c r="C49" s="46" t="s">
        <v>104</v>
      </c>
      <c r="D49" s="54"/>
      <c r="E49" s="54"/>
      <c r="F49" s="54"/>
      <c r="G49" s="5" t="s">
        <v>199</v>
      </c>
      <c r="H49" s="47" t="s">
        <v>200</v>
      </c>
      <c r="I49" s="5" t="s">
        <v>107</v>
      </c>
    </row>
    <row r="50" spans="1:9" x14ac:dyDescent="0.25">
      <c r="A50" s="6" t="s">
        <v>108</v>
      </c>
      <c r="B50" s="6"/>
      <c r="C50" s="49"/>
      <c r="D50" s="43"/>
      <c r="E50" s="43"/>
      <c r="F50" s="43"/>
      <c r="G50" s="6" t="s">
        <v>201</v>
      </c>
      <c r="H50" s="56"/>
      <c r="I50" s="6" t="s">
        <v>109</v>
      </c>
    </row>
    <row r="51" spans="1:9" x14ac:dyDescent="0.25">
      <c r="A51" s="6"/>
      <c r="B51" s="17"/>
      <c r="C51" s="50"/>
      <c r="D51" s="61"/>
      <c r="E51" s="61"/>
      <c r="F51" s="61"/>
      <c r="G51" s="6"/>
      <c r="H51" s="56"/>
      <c r="I51" s="6"/>
    </row>
    <row r="52" spans="1:9" x14ac:dyDescent="0.25">
      <c r="A52" s="62"/>
      <c r="B52" s="63"/>
      <c r="C52" s="53" t="s">
        <v>110</v>
      </c>
      <c r="D52" s="159"/>
      <c r="E52" s="159"/>
      <c r="F52" s="54"/>
      <c r="G52" s="5"/>
      <c r="H52" s="47"/>
      <c r="I52" s="5"/>
    </row>
    <row r="53" spans="1:9" x14ac:dyDescent="0.25">
      <c r="A53" s="64"/>
      <c r="B53" s="6"/>
      <c r="C53" s="49"/>
      <c r="D53" s="43"/>
      <c r="E53" s="43"/>
      <c r="F53" s="43"/>
      <c r="G53" s="6"/>
      <c r="H53" s="56"/>
      <c r="I53" s="6" t="s">
        <v>72</v>
      </c>
    </row>
    <row r="54" spans="1:9" x14ac:dyDescent="0.25">
      <c r="A54" s="64" t="s">
        <v>111</v>
      </c>
      <c r="B54" s="65">
        <v>43220</v>
      </c>
      <c r="C54" s="49" t="s">
        <v>753</v>
      </c>
      <c r="D54" s="43"/>
      <c r="E54" s="43"/>
      <c r="F54" s="43"/>
      <c r="G54" s="26" t="s">
        <v>169</v>
      </c>
      <c r="H54" s="56">
        <v>27</v>
      </c>
      <c r="I54" s="6">
        <v>32841.629999999997</v>
      </c>
    </row>
    <row r="55" spans="1:9" x14ac:dyDescent="0.25">
      <c r="A55" s="64" t="s">
        <v>114</v>
      </c>
      <c r="B55" s="65">
        <v>43186</v>
      </c>
      <c r="C55" s="49" t="s">
        <v>112</v>
      </c>
      <c r="D55" s="43"/>
      <c r="E55" s="43"/>
      <c r="F55" s="43"/>
      <c r="G55" s="26" t="s">
        <v>203</v>
      </c>
      <c r="H55" s="56">
        <v>114</v>
      </c>
      <c r="I55" s="6">
        <v>22800</v>
      </c>
    </row>
    <row r="56" spans="1:9" x14ac:dyDescent="0.25">
      <c r="A56" s="64" t="s">
        <v>170</v>
      </c>
      <c r="B56" s="65">
        <v>43334</v>
      </c>
      <c r="C56" s="49" t="s">
        <v>754</v>
      </c>
      <c r="D56" s="43"/>
      <c r="E56" s="43"/>
      <c r="F56" s="43"/>
      <c r="G56" s="26" t="s">
        <v>262</v>
      </c>
      <c r="H56" s="56">
        <v>6</v>
      </c>
      <c r="I56" s="6">
        <v>4800</v>
      </c>
    </row>
    <row r="57" spans="1:9" x14ac:dyDescent="0.25">
      <c r="A57" s="64" t="s">
        <v>173</v>
      </c>
      <c r="B57" s="65"/>
      <c r="C57" s="49"/>
      <c r="D57" s="43"/>
      <c r="E57" s="43"/>
      <c r="F57" s="43"/>
      <c r="G57" s="26"/>
      <c r="H57" s="56"/>
      <c r="I57" s="6"/>
    </row>
    <row r="58" spans="1:9" x14ac:dyDescent="0.25">
      <c r="A58" s="66"/>
      <c r="B58" s="17"/>
      <c r="C58" s="14" t="s">
        <v>117</v>
      </c>
      <c r="D58" s="13"/>
      <c r="E58" s="13"/>
      <c r="F58" s="13"/>
      <c r="G58" s="16"/>
      <c r="H58" s="67"/>
      <c r="I58" s="11">
        <f>SUM(I54:I57)</f>
        <v>60441.63</v>
      </c>
    </row>
    <row r="59" spans="1:9" x14ac:dyDescent="0.25">
      <c r="A59" s="68"/>
      <c r="B59" s="43"/>
      <c r="C59" s="4"/>
      <c r="D59" s="4"/>
      <c r="E59" s="4"/>
      <c r="F59" s="4"/>
      <c r="G59" s="165"/>
      <c r="H59" s="4"/>
      <c r="I59" s="4"/>
    </row>
    <row r="60" spans="1:9" x14ac:dyDescent="0.25">
      <c r="A60" s="68"/>
      <c r="B60" s="43"/>
      <c r="C60" s="4"/>
      <c r="D60" s="4"/>
      <c r="E60" s="4"/>
      <c r="F60" s="4"/>
      <c r="G60" s="165"/>
      <c r="H60" s="4"/>
      <c r="I60" s="4"/>
    </row>
    <row r="61" spans="1:9" x14ac:dyDescent="0.25">
      <c r="A61" s="68"/>
      <c r="B61" s="43"/>
      <c r="C61" s="43"/>
      <c r="D61" s="43"/>
      <c r="E61" s="43"/>
      <c r="F61" s="43"/>
      <c r="G61" s="165"/>
      <c r="H61" s="4"/>
      <c r="I61" s="4"/>
    </row>
    <row r="62" spans="1:9" x14ac:dyDescent="0.25">
      <c r="A62" s="2" t="s">
        <v>755</v>
      </c>
      <c r="B62" s="2"/>
      <c r="C62" s="2"/>
      <c r="D62" s="2" t="s">
        <v>119</v>
      </c>
      <c r="E62" s="2"/>
      <c r="F62" s="2" t="s">
        <v>120</v>
      </c>
      <c r="H62" s="2" t="s">
        <v>121</v>
      </c>
      <c r="I62" s="2" t="s">
        <v>122</v>
      </c>
    </row>
    <row r="63" spans="1:9" x14ac:dyDescent="0.25">
      <c r="A63" s="2"/>
      <c r="B63" s="2"/>
    </row>
  </sheetData>
  <pageMargins left="0.7" right="0.7" top="0.75" bottom="0.75" header="0.3" footer="0.3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9" workbookViewId="0">
      <selection activeCell="D30" sqref="D30"/>
    </sheetView>
  </sheetViews>
  <sheetFormatPr defaultRowHeight="15" x14ac:dyDescent="0.25"/>
  <cols>
    <col min="1" max="1" width="5.140625" customWidth="1"/>
    <col min="2" max="2" width="30.28515625" customWidth="1"/>
    <col min="3" max="3" width="13.140625" customWidth="1"/>
    <col min="6" max="6" width="19.85546875" customWidth="1"/>
    <col min="7" max="7" width="9.7109375" customWidth="1"/>
    <col min="8" max="8" width="12" customWidth="1"/>
    <col min="9" max="9" width="21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2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756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757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758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759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131</v>
      </c>
      <c r="H14" s="6" t="s">
        <v>25</v>
      </c>
      <c r="I14" s="6" t="s">
        <v>229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/>
      <c r="H15" s="6" t="s">
        <v>30</v>
      </c>
      <c r="I15" s="6" t="s">
        <v>31</v>
      </c>
    </row>
    <row r="16" spans="1:9" x14ac:dyDescent="0.25">
      <c r="A16" s="6"/>
      <c r="B16" s="6"/>
      <c r="C16" s="6" t="s">
        <v>308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8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35</v>
      </c>
      <c r="C18" s="13">
        <v>8.9600000000000009</v>
      </c>
      <c r="D18" s="16">
        <v>-18459.759999999998</v>
      </c>
      <c r="E18" s="11">
        <v>188848.08</v>
      </c>
      <c r="F18" s="67">
        <v>183950.73</v>
      </c>
      <c r="G18" s="13">
        <f t="shared" ref="G18:G24" si="0">E18</f>
        <v>188848.08</v>
      </c>
      <c r="H18" s="16">
        <f>D18+F18-G18</f>
        <v>-23357.109999999986</v>
      </c>
      <c r="I18" s="16">
        <f>H18</f>
        <v>-23357.109999999986</v>
      </c>
    </row>
    <row r="19" spans="1:9" x14ac:dyDescent="0.25">
      <c r="A19" s="6" t="s">
        <v>36</v>
      </c>
      <c r="B19" s="17" t="s">
        <v>37</v>
      </c>
      <c r="C19" s="61">
        <v>3.08</v>
      </c>
      <c r="D19" s="21"/>
      <c r="E19" s="162">
        <f>E18*34.4%</f>
        <v>64963.739519999988</v>
      </c>
      <c r="F19" s="21">
        <f>F18*34.4%</f>
        <v>63279.051119999996</v>
      </c>
      <c r="G19" s="162">
        <f t="shared" si="0"/>
        <v>64963.739519999988</v>
      </c>
      <c r="H19" s="21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33"/>
      <c r="E20" s="24">
        <f>E18*16.4%</f>
        <v>30971.085119999992</v>
      </c>
      <c r="F20" s="33">
        <f>F18*16.4%</f>
        <v>30167.919719999998</v>
      </c>
      <c r="G20" s="24">
        <f t="shared" si="0"/>
        <v>30971.085119999992</v>
      </c>
      <c r="H20" s="33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3"/>
      <c r="E21" s="28">
        <f>E18*20.2%</f>
        <v>38147.312159999994</v>
      </c>
      <c r="F21" s="30">
        <f>F18*20.2%</f>
        <v>37158.047460000002</v>
      </c>
      <c r="G21" s="208">
        <f t="shared" si="0"/>
        <v>38147.312159999994</v>
      </c>
      <c r="H21" s="30"/>
      <c r="I21" s="33"/>
    </row>
    <row r="22" spans="1:9" x14ac:dyDescent="0.25">
      <c r="A22" s="22" t="s">
        <v>42</v>
      </c>
      <c r="B22" s="5" t="s">
        <v>43</v>
      </c>
      <c r="C22" s="54">
        <v>2.6</v>
      </c>
      <c r="D22" s="33"/>
      <c r="E22" s="19">
        <f>E18*29%</f>
        <v>54765.943199999994</v>
      </c>
      <c r="F22" s="26">
        <f>F18*29%</f>
        <v>53345.7117</v>
      </c>
      <c r="G22" s="19">
        <f t="shared" si="0"/>
        <v>54765.943199999994</v>
      </c>
      <c r="H22" s="26"/>
      <c r="I22" s="33"/>
    </row>
    <row r="23" spans="1:9" x14ac:dyDescent="0.25">
      <c r="A23" s="22" t="s">
        <v>44</v>
      </c>
      <c r="B23" s="5" t="s">
        <v>47</v>
      </c>
      <c r="C23" s="54" t="s">
        <v>48</v>
      </c>
      <c r="D23" s="33">
        <v>-1653.59</v>
      </c>
      <c r="E23" s="8">
        <v>15380.28</v>
      </c>
      <c r="F23" s="9">
        <v>15455.85</v>
      </c>
      <c r="G23" s="8">
        <f>E23</f>
        <v>15380.28</v>
      </c>
      <c r="H23" s="28">
        <f>D23+F23-E23</f>
        <v>-1578.0200000000004</v>
      </c>
      <c r="I23" s="8">
        <f>H23</f>
        <v>-1578.0200000000004</v>
      </c>
    </row>
    <row r="24" spans="1:9" x14ac:dyDescent="0.25">
      <c r="A24" s="10" t="s">
        <v>49</v>
      </c>
      <c r="B24" s="10" t="s">
        <v>50</v>
      </c>
      <c r="C24" s="35">
        <v>4.5999999999999996</v>
      </c>
      <c r="D24" s="38">
        <v>-8278.5</v>
      </c>
      <c r="E24" s="35">
        <v>96953.279999999999</v>
      </c>
      <c r="F24" s="10">
        <v>97626.54</v>
      </c>
      <c r="G24" s="35">
        <f t="shared" si="0"/>
        <v>96953.279999999999</v>
      </c>
      <c r="H24" s="38">
        <f>+D24+F24-G24</f>
        <v>-7605.2400000000052</v>
      </c>
      <c r="I24" s="38">
        <f>H24</f>
        <v>-7605.2400000000052</v>
      </c>
    </row>
    <row r="25" spans="1:9" x14ac:dyDescent="0.25">
      <c r="A25" s="10" t="s">
        <v>51</v>
      </c>
      <c r="B25" s="10" t="s">
        <v>310</v>
      </c>
      <c r="C25" s="10">
        <v>1.82</v>
      </c>
      <c r="D25" s="10">
        <v>30789.98</v>
      </c>
      <c r="E25" s="10">
        <v>38359.68</v>
      </c>
      <c r="F25" s="10">
        <f>F26+F27+F28</f>
        <v>62839.41</v>
      </c>
      <c r="G25" s="10">
        <f>I60</f>
        <v>65829.899999999994</v>
      </c>
      <c r="H25" s="38">
        <f>D25+F25-G25</f>
        <v>27799.490000000005</v>
      </c>
      <c r="I25" s="285"/>
    </row>
    <row r="26" spans="1:9" x14ac:dyDescent="0.25">
      <c r="A26" s="8"/>
      <c r="B26" s="8" t="s">
        <v>53</v>
      </c>
      <c r="C26" s="8"/>
      <c r="D26" s="30"/>
      <c r="E26" s="10"/>
      <c r="F26" s="10">
        <v>38926.910000000003</v>
      </c>
      <c r="G26" s="10"/>
      <c r="H26" s="30"/>
      <c r="I26" s="8"/>
    </row>
    <row r="27" spans="1:9" x14ac:dyDescent="0.25">
      <c r="A27" s="10"/>
      <c r="B27" s="8" t="s">
        <v>54</v>
      </c>
      <c r="C27" s="10"/>
      <c r="D27" s="10"/>
      <c r="E27" s="8">
        <v>0</v>
      </c>
      <c r="F27" s="10">
        <v>668.64</v>
      </c>
      <c r="G27" s="209"/>
      <c r="H27" s="10"/>
      <c r="I27" s="10"/>
    </row>
    <row r="28" spans="1:9" x14ac:dyDescent="0.25">
      <c r="A28" s="10"/>
      <c r="B28" s="17" t="s">
        <v>367</v>
      </c>
      <c r="C28" s="11"/>
      <c r="D28" s="39"/>
      <c r="E28" s="43"/>
      <c r="F28" s="39">
        <v>23243.86</v>
      </c>
      <c r="H28" s="39"/>
      <c r="I28" s="11"/>
    </row>
    <row r="29" spans="1:9" x14ac:dyDescent="0.25">
      <c r="A29" s="10" t="s">
        <v>56</v>
      </c>
      <c r="B29" s="11" t="s">
        <v>730</v>
      </c>
      <c r="C29" s="11"/>
      <c r="D29" s="10">
        <v>23207.67</v>
      </c>
      <c r="E29" s="35">
        <v>0</v>
      </c>
      <c r="F29" s="10">
        <v>-23243.86</v>
      </c>
      <c r="G29" s="10">
        <f>I67</f>
        <v>0</v>
      </c>
      <c r="H29" s="10">
        <v>0</v>
      </c>
      <c r="I29" s="16"/>
    </row>
    <row r="30" spans="1:9" x14ac:dyDescent="0.25">
      <c r="A30" s="8"/>
      <c r="B30" s="8" t="s">
        <v>53</v>
      </c>
      <c r="C30" s="9"/>
      <c r="D30" s="8"/>
      <c r="E30" s="10">
        <v>0</v>
      </c>
      <c r="F30" s="10">
        <v>36.19</v>
      </c>
      <c r="G30" s="10">
        <v>0</v>
      </c>
      <c r="H30" s="8"/>
      <c r="I30" s="8"/>
    </row>
    <row r="31" spans="1:9" x14ac:dyDescent="0.25">
      <c r="A31" s="7"/>
      <c r="B31" s="8" t="s">
        <v>58</v>
      </c>
      <c r="C31" s="8"/>
      <c r="D31" s="9"/>
      <c r="E31" s="10"/>
      <c r="F31" s="35">
        <f>D29+F30</f>
        <v>23243.859999999997</v>
      </c>
      <c r="G31" s="10"/>
      <c r="H31" s="8"/>
      <c r="I31" s="48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15620.55</v>
      </c>
      <c r="D36" s="8">
        <v>6000</v>
      </c>
      <c r="E36" s="162">
        <f>D36*15%</f>
        <v>900</v>
      </c>
      <c r="F36" s="21">
        <f>C36+(D36-E36)</f>
        <v>20720.55</v>
      </c>
      <c r="G36" s="21"/>
      <c r="H36" s="162">
        <f>F36</f>
        <v>20720.55</v>
      </c>
      <c r="I36" s="51"/>
    </row>
    <row r="37" spans="1:9" x14ac:dyDescent="0.25">
      <c r="A37" s="43"/>
      <c r="B37" s="43"/>
      <c r="C37" s="19"/>
      <c r="D37" s="43"/>
      <c r="E37" s="43"/>
      <c r="F37" s="19"/>
      <c r="G37" s="43"/>
      <c r="H37" s="19"/>
      <c r="I37" s="43"/>
    </row>
    <row r="38" spans="1:9" x14ac:dyDescent="0.25">
      <c r="A38" s="4" t="s">
        <v>70</v>
      </c>
      <c r="B38" s="43"/>
      <c r="C38" s="43"/>
      <c r="D38" s="43"/>
      <c r="E38" s="43"/>
      <c r="F38" s="19"/>
      <c r="G38" s="43"/>
      <c r="H38" s="19"/>
      <c r="I38" s="43"/>
    </row>
    <row r="39" spans="1:9" x14ac:dyDescent="0.25">
      <c r="A39" s="1" t="s">
        <v>71</v>
      </c>
      <c r="B39" s="4"/>
      <c r="C39" s="4"/>
      <c r="D39" s="52"/>
      <c r="E39" s="4"/>
      <c r="F39" s="4"/>
      <c r="G39" s="4"/>
      <c r="H39" s="4"/>
      <c r="I39" s="43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/>
      <c r="I42" s="6" t="s">
        <v>221</v>
      </c>
    </row>
    <row r="43" spans="1:9" x14ac:dyDescent="0.25">
      <c r="A43" s="8"/>
      <c r="B43" s="7"/>
      <c r="C43" s="8"/>
      <c r="D43" s="8"/>
      <c r="E43" s="8"/>
      <c r="F43" s="9"/>
      <c r="G43" s="8"/>
      <c r="H43" s="9"/>
      <c r="I43" s="8"/>
    </row>
    <row r="44" spans="1:9" x14ac:dyDescent="0.25">
      <c r="A44" s="6">
        <v>1</v>
      </c>
      <c r="B44" s="6" t="s">
        <v>91</v>
      </c>
      <c r="C44" s="4" t="s">
        <v>92</v>
      </c>
      <c r="D44" s="6">
        <v>-13547.01</v>
      </c>
      <c r="E44" s="252">
        <v>131690.70000000001</v>
      </c>
      <c r="F44" s="6">
        <v>131135.35999999999</v>
      </c>
      <c r="G44" s="43">
        <f>E44</f>
        <v>131690.70000000001</v>
      </c>
      <c r="H44" s="6">
        <f>F44-G44+D44</f>
        <v>-14102.350000000026</v>
      </c>
      <c r="I44" s="6">
        <f>H44</f>
        <v>-14102.350000000026</v>
      </c>
    </row>
    <row r="45" spans="1:9" x14ac:dyDescent="0.25">
      <c r="A45" s="8"/>
      <c r="B45" s="8" t="s">
        <v>93</v>
      </c>
      <c r="C45" s="35" t="s">
        <v>94</v>
      </c>
      <c r="D45" s="8"/>
      <c r="E45" s="196"/>
      <c r="F45" s="8"/>
      <c r="G45" s="9"/>
      <c r="H45" s="8"/>
      <c r="I45" s="8"/>
    </row>
    <row r="46" spans="1:9" x14ac:dyDescent="0.25">
      <c r="A46" s="6">
        <v>2</v>
      </c>
      <c r="B46" s="6" t="s">
        <v>95</v>
      </c>
      <c r="C46" s="1" t="s">
        <v>96</v>
      </c>
      <c r="D46" s="6">
        <v>-53392.22</v>
      </c>
      <c r="E46" s="6">
        <v>208305.91</v>
      </c>
      <c r="F46" s="6">
        <v>211053.42</v>
      </c>
      <c r="G46" s="17">
        <f>E46</f>
        <v>208305.91</v>
      </c>
      <c r="H46" s="6">
        <f>F46-G46+D46</f>
        <v>-50644.709999999992</v>
      </c>
      <c r="I46" s="6">
        <f>H46</f>
        <v>-50644.709999999992</v>
      </c>
    </row>
    <row r="47" spans="1:9" x14ac:dyDescent="0.25">
      <c r="A47" s="8"/>
      <c r="B47" s="8" t="s">
        <v>97</v>
      </c>
      <c r="C47" s="35"/>
      <c r="D47" s="8"/>
      <c r="E47" s="8"/>
      <c r="F47" s="8"/>
      <c r="G47" s="43"/>
      <c r="H47" s="8"/>
      <c r="I47" s="8"/>
    </row>
    <row r="48" spans="1:9" x14ac:dyDescent="0.25">
      <c r="A48" s="8"/>
      <c r="B48" s="8" t="s">
        <v>313</v>
      </c>
      <c r="C48" s="35" t="s">
        <v>94</v>
      </c>
      <c r="D48" s="8"/>
      <c r="E48" s="8"/>
      <c r="F48" s="8"/>
      <c r="G48" s="8"/>
      <c r="H48" s="8"/>
      <c r="I48" s="8"/>
    </row>
    <row r="49" spans="1:9" x14ac:dyDescent="0.25">
      <c r="A49" s="8">
        <v>3</v>
      </c>
      <c r="B49" s="8" t="s">
        <v>99</v>
      </c>
      <c r="C49" s="35" t="s">
        <v>100</v>
      </c>
      <c r="D49" s="8">
        <v>-157216.46</v>
      </c>
      <c r="E49" s="8">
        <v>634908.65</v>
      </c>
      <c r="F49" s="8">
        <v>630839.79</v>
      </c>
      <c r="G49" s="8">
        <f>E49</f>
        <v>634908.65</v>
      </c>
      <c r="H49" s="8">
        <f>F49-G49+D49</f>
        <v>-161285.31999999998</v>
      </c>
      <c r="I49" s="8">
        <f>H49</f>
        <v>-161285.31999999998</v>
      </c>
    </row>
    <row r="50" spans="1:9" x14ac:dyDescent="0.25">
      <c r="A50" s="1" t="s">
        <v>326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" t="s">
        <v>327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3" t="s">
        <v>12</v>
      </c>
      <c r="B52" s="5" t="s">
        <v>103</v>
      </c>
      <c r="C52" s="54" t="s">
        <v>760</v>
      </c>
      <c r="D52" s="54"/>
      <c r="E52" s="54"/>
      <c r="F52" s="54"/>
      <c r="G52" s="5" t="s">
        <v>105</v>
      </c>
      <c r="H52" s="5" t="s">
        <v>106</v>
      </c>
      <c r="I52" s="47" t="s">
        <v>107</v>
      </c>
    </row>
    <row r="53" spans="1:9" x14ac:dyDescent="0.25">
      <c r="A53" s="14" t="s">
        <v>20</v>
      </c>
      <c r="B53" s="17"/>
      <c r="C53" s="61"/>
      <c r="D53" s="61"/>
      <c r="E53" s="61"/>
      <c r="F53" s="61"/>
      <c r="G53" s="17"/>
      <c r="H53" s="17"/>
      <c r="I53" s="51" t="s">
        <v>761</v>
      </c>
    </row>
    <row r="54" spans="1:9" x14ac:dyDescent="0.25">
      <c r="A54" s="228"/>
      <c r="B54" s="39"/>
      <c r="C54" s="55" t="s">
        <v>110</v>
      </c>
      <c r="D54" s="4"/>
      <c r="E54" s="4"/>
      <c r="F54" s="43"/>
      <c r="G54" s="6"/>
      <c r="H54" s="6"/>
      <c r="I54" s="6"/>
    </row>
    <row r="55" spans="1:9" x14ac:dyDescent="0.25">
      <c r="A55" s="64"/>
      <c r="B55" s="6"/>
      <c r="C55" s="49"/>
      <c r="D55" s="43"/>
      <c r="E55" s="43"/>
      <c r="F55" s="43"/>
      <c r="G55" s="6" t="s">
        <v>72</v>
      </c>
      <c r="H55" s="6"/>
      <c r="I55" s="6"/>
    </row>
    <row r="56" spans="1:9" x14ac:dyDescent="0.25">
      <c r="A56" s="64" t="s">
        <v>111</v>
      </c>
      <c r="B56" s="65">
        <v>43131</v>
      </c>
      <c r="C56" s="49" t="s">
        <v>762</v>
      </c>
      <c r="D56" s="43"/>
      <c r="E56" s="43"/>
      <c r="F56" s="43"/>
      <c r="G56" s="26" t="s">
        <v>205</v>
      </c>
      <c r="H56" s="6">
        <v>1</v>
      </c>
      <c r="I56" s="6">
        <v>2506.11</v>
      </c>
    </row>
    <row r="57" spans="1:9" x14ac:dyDescent="0.25">
      <c r="A57" s="64" t="s">
        <v>114</v>
      </c>
      <c r="B57" s="65">
        <v>43360</v>
      </c>
      <c r="C57" s="49" t="s">
        <v>763</v>
      </c>
      <c r="D57" s="43"/>
      <c r="E57" s="43"/>
      <c r="F57" s="43"/>
      <c r="G57" s="26" t="s">
        <v>255</v>
      </c>
      <c r="H57" s="6">
        <v>2</v>
      </c>
      <c r="I57" s="6">
        <v>2800</v>
      </c>
    </row>
    <row r="58" spans="1:9" x14ac:dyDescent="0.25">
      <c r="A58" s="64" t="s">
        <v>170</v>
      </c>
      <c r="B58" s="65">
        <v>43369</v>
      </c>
      <c r="C58" s="49" t="s">
        <v>764</v>
      </c>
      <c r="D58" s="43"/>
      <c r="E58" s="43"/>
      <c r="F58" s="43"/>
      <c r="G58" s="26" t="s">
        <v>169</v>
      </c>
      <c r="H58" s="6">
        <v>18</v>
      </c>
      <c r="I58" s="6">
        <v>58061.79</v>
      </c>
    </row>
    <row r="59" spans="1:9" x14ac:dyDescent="0.25">
      <c r="A59" s="64" t="s">
        <v>173</v>
      </c>
      <c r="B59" s="65">
        <v>43447</v>
      </c>
      <c r="C59" s="49" t="s">
        <v>765</v>
      </c>
      <c r="D59" s="43"/>
      <c r="E59" s="43"/>
      <c r="F59" s="43"/>
      <c r="G59" s="26" t="s">
        <v>205</v>
      </c>
      <c r="H59" s="6">
        <v>1</v>
      </c>
      <c r="I59" s="6">
        <v>2462</v>
      </c>
    </row>
    <row r="60" spans="1:9" x14ac:dyDescent="0.25">
      <c r="A60" s="66"/>
      <c r="B60" s="17"/>
      <c r="C60" s="14" t="s">
        <v>117</v>
      </c>
      <c r="D60" s="13"/>
      <c r="E60" s="13"/>
      <c r="F60" s="13"/>
      <c r="G60" s="16"/>
      <c r="H60" s="11"/>
      <c r="I60" s="11">
        <f>SUM(I55:I59)</f>
        <v>65829.899999999994</v>
      </c>
    </row>
    <row r="61" spans="1:9" x14ac:dyDescent="0.25">
      <c r="A61" s="43"/>
      <c r="B61" s="43"/>
      <c r="C61" s="43"/>
      <c r="D61" s="43"/>
      <c r="E61" s="43"/>
      <c r="F61" s="43"/>
      <c r="G61" s="19"/>
      <c r="H61" s="43"/>
      <c r="I61" s="43"/>
    </row>
    <row r="62" spans="1:9" x14ac:dyDescent="0.25">
      <c r="A62" s="68"/>
      <c r="B62" s="43"/>
      <c r="C62" s="4"/>
      <c r="D62" s="4"/>
      <c r="E62" s="4"/>
      <c r="F62" s="4"/>
      <c r="G62" s="165"/>
      <c r="H62" s="4"/>
      <c r="I62" s="4"/>
    </row>
    <row r="63" spans="1:9" x14ac:dyDescent="0.25">
      <c r="A63" s="2" t="s">
        <v>206</v>
      </c>
      <c r="B63" s="2"/>
      <c r="C63" s="2"/>
      <c r="D63" s="2"/>
      <c r="E63" s="2" t="s">
        <v>119</v>
      </c>
      <c r="F63" s="2"/>
      <c r="G63" s="2" t="s">
        <v>766</v>
      </c>
      <c r="H63" s="2" t="s">
        <v>767</v>
      </c>
      <c r="I63" s="2" t="s">
        <v>291</v>
      </c>
    </row>
    <row r="64" spans="1:9" x14ac:dyDescent="0.25">
      <c r="C64" s="2" t="s">
        <v>72</v>
      </c>
      <c r="D64" s="2"/>
      <c r="E64" s="2"/>
      <c r="F64" s="2"/>
      <c r="G64" s="2"/>
      <c r="H64" s="2"/>
      <c r="I64" s="2"/>
    </row>
  </sheetData>
  <pageMargins left="0.7" right="0.7" top="0.75" bottom="0.75" header="0.3" footer="0.3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22" workbookViewId="0">
      <selection activeCell="B31" sqref="B31"/>
    </sheetView>
  </sheetViews>
  <sheetFormatPr defaultRowHeight="15" x14ac:dyDescent="0.25"/>
  <cols>
    <col min="1" max="1" width="4.5703125" customWidth="1"/>
    <col min="2" max="2" width="34.85546875" customWidth="1"/>
    <col min="3" max="3" width="12.42578125" customWidth="1"/>
    <col min="4" max="4" width="10.28515625" customWidth="1"/>
    <col min="7" max="7" width="11.5703125" customWidth="1"/>
    <col min="8" max="8" width="12.42578125" customWidth="1"/>
    <col min="9" max="9" width="20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2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368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768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769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770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269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130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517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518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519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54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53">
        <v>1</v>
      </c>
      <c r="B17" s="63" t="s">
        <v>186</v>
      </c>
      <c r="C17" s="159"/>
      <c r="D17" s="63"/>
      <c r="E17" s="160" t="s">
        <v>72</v>
      </c>
      <c r="F17" s="195" t="s">
        <v>72</v>
      </c>
      <c r="G17" s="159"/>
      <c r="H17" s="63" t="s">
        <v>72</v>
      </c>
      <c r="I17" s="160"/>
    </row>
    <row r="18" spans="1:9" x14ac:dyDescent="0.25">
      <c r="A18" s="14"/>
      <c r="B18" s="11" t="s">
        <v>277</v>
      </c>
      <c r="C18" s="13">
        <v>8.9600000000000009</v>
      </c>
      <c r="D18" s="16">
        <v>9996.0400000000009</v>
      </c>
      <c r="E18" s="11">
        <v>330096.71999999997</v>
      </c>
      <c r="F18" s="67">
        <v>321758.21999999997</v>
      </c>
      <c r="G18" s="13">
        <f>E18</f>
        <v>330096.71999999997</v>
      </c>
      <c r="H18" s="16">
        <f>D18+F18-G18</f>
        <v>1657.539999999979</v>
      </c>
      <c r="I18" s="16"/>
    </row>
    <row r="19" spans="1:9" x14ac:dyDescent="0.25">
      <c r="A19" s="6" t="s">
        <v>36</v>
      </c>
      <c r="B19" s="6" t="s">
        <v>217</v>
      </c>
      <c r="C19" s="43"/>
      <c r="D19" s="26" t="s">
        <v>72</v>
      </c>
      <c r="E19" s="43"/>
      <c r="F19" s="26"/>
      <c r="G19" s="43"/>
      <c r="H19" s="26" t="s">
        <v>72</v>
      </c>
      <c r="I19" s="26" t="s">
        <v>72</v>
      </c>
    </row>
    <row r="20" spans="1:9" x14ac:dyDescent="0.25">
      <c r="A20" s="17"/>
      <c r="B20" s="17" t="s">
        <v>218</v>
      </c>
      <c r="C20" s="61">
        <v>3.08</v>
      </c>
      <c r="D20" s="21"/>
      <c r="E20" s="162">
        <f>E18*34.4%</f>
        <v>113553.27167999998</v>
      </c>
      <c r="F20" s="21">
        <f>F18*34.4%</f>
        <v>110684.82767999999</v>
      </c>
      <c r="G20" s="162">
        <f t="shared" ref="G20:G25" si="0">E20</f>
        <v>113553.27167999998</v>
      </c>
      <c r="H20" s="21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24">
        <f>E18*16.4%</f>
        <v>54135.862079999992</v>
      </c>
      <c r="F21" s="33">
        <f>F18*16.4%</f>
        <v>52768.348079999989</v>
      </c>
      <c r="G21" s="24">
        <f t="shared" si="0"/>
        <v>54135.862079999992</v>
      </c>
      <c r="H21" s="33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3"/>
      <c r="E22" s="24">
        <f>E18*20.2%</f>
        <v>66679.537439999986</v>
      </c>
      <c r="F22" s="33">
        <f>F18*20.2%</f>
        <v>64995.160439999992</v>
      </c>
      <c r="G22" s="207">
        <f t="shared" si="0"/>
        <v>66679.537439999986</v>
      </c>
      <c r="H22" s="30"/>
      <c r="I22" s="33"/>
    </row>
    <row r="23" spans="1:9" x14ac:dyDescent="0.25">
      <c r="A23" s="22" t="s">
        <v>42</v>
      </c>
      <c r="B23" s="5" t="s">
        <v>43</v>
      </c>
      <c r="C23" s="54">
        <v>2.6</v>
      </c>
      <c r="D23" s="33"/>
      <c r="E23" s="24">
        <f>E18*29%</f>
        <v>95728.04879999999</v>
      </c>
      <c r="F23" s="33">
        <f>F18*29%</f>
        <v>93309.883799999981</v>
      </c>
      <c r="G23" s="24">
        <f t="shared" si="0"/>
        <v>95728.04879999999</v>
      </c>
      <c r="H23" s="26"/>
      <c r="I23" s="33"/>
    </row>
    <row r="24" spans="1:9" x14ac:dyDescent="0.25">
      <c r="A24" s="22" t="s">
        <v>44</v>
      </c>
      <c r="B24" s="5" t="s">
        <v>47</v>
      </c>
      <c r="C24" s="159" t="s">
        <v>48</v>
      </c>
      <c r="D24" s="33">
        <v>-6955.42</v>
      </c>
      <c r="E24" s="8">
        <v>40186.92</v>
      </c>
      <c r="F24" s="9">
        <v>38806.46</v>
      </c>
      <c r="G24" s="8">
        <f t="shared" si="0"/>
        <v>40186.92</v>
      </c>
      <c r="H24" s="28">
        <f>D24+F24-E24</f>
        <v>-8335.8799999999974</v>
      </c>
      <c r="I24" s="10">
        <f>H24</f>
        <v>-8335.8799999999974</v>
      </c>
    </row>
    <row r="25" spans="1:9" x14ac:dyDescent="0.25">
      <c r="A25" s="10" t="s">
        <v>49</v>
      </c>
      <c r="B25" s="10" t="s">
        <v>50</v>
      </c>
      <c r="C25" s="35">
        <v>4.5999999999999996</v>
      </c>
      <c r="D25" s="38">
        <v>-15070.62</v>
      </c>
      <c r="E25" s="35">
        <v>169469.52</v>
      </c>
      <c r="F25" s="10">
        <v>165687.72</v>
      </c>
      <c r="G25" s="35">
        <f t="shared" si="0"/>
        <v>169469.52</v>
      </c>
      <c r="H25" s="38">
        <f>+D25+F25-G25</f>
        <v>-18852.419999999984</v>
      </c>
      <c r="I25" s="38">
        <f>H25</f>
        <v>-18852.419999999984</v>
      </c>
    </row>
    <row r="26" spans="1:9" x14ac:dyDescent="0.25">
      <c r="A26" s="63" t="s">
        <v>51</v>
      </c>
      <c r="B26" s="63" t="s">
        <v>219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39"/>
      <c r="B27" s="11" t="s">
        <v>231</v>
      </c>
      <c r="C27" s="11">
        <v>1.82</v>
      </c>
      <c r="D27" s="11">
        <v>121007.16</v>
      </c>
      <c r="E27" s="11">
        <v>67051.199999999997</v>
      </c>
      <c r="F27" s="11">
        <v>66820.19</v>
      </c>
      <c r="G27" s="11">
        <f>I56</f>
        <v>49140.979999999996</v>
      </c>
      <c r="H27" s="11">
        <f>D27+F27-G27</f>
        <v>138686.37</v>
      </c>
      <c r="I27" s="17"/>
    </row>
    <row r="28" spans="1:9" x14ac:dyDescent="0.25">
      <c r="A28" s="10" t="s">
        <v>56</v>
      </c>
      <c r="B28" s="10" t="s">
        <v>57</v>
      </c>
      <c r="C28" s="10">
        <v>0</v>
      </c>
      <c r="D28" s="10">
        <v>98059.38</v>
      </c>
      <c r="E28" s="10">
        <v>0</v>
      </c>
      <c r="F28" s="10">
        <f>F29</f>
        <v>0</v>
      </c>
      <c r="G28" s="35">
        <f>G29</f>
        <v>0</v>
      </c>
      <c r="H28" s="10">
        <f>D28+F28-G28</f>
        <v>98059.38</v>
      </c>
      <c r="I28" s="8"/>
    </row>
    <row r="29" spans="1:9" x14ac:dyDescent="0.25">
      <c r="A29" s="8"/>
      <c r="B29" s="8" t="s">
        <v>53</v>
      </c>
      <c r="C29" s="9">
        <v>0</v>
      </c>
      <c r="D29" s="8"/>
      <c r="E29" s="8">
        <v>0</v>
      </c>
      <c r="F29" s="8">
        <v>0</v>
      </c>
      <c r="G29" s="9">
        <v>0</v>
      </c>
      <c r="H29" s="8"/>
      <c r="I29" s="8"/>
    </row>
    <row r="30" spans="1:9" x14ac:dyDescent="0.25">
      <c r="A30" s="1" t="s">
        <v>59</v>
      </c>
      <c r="B30" s="2"/>
      <c r="C30" s="2"/>
      <c r="D30" s="210"/>
      <c r="E30" s="200"/>
      <c r="F30" s="200"/>
      <c r="G30" s="200"/>
      <c r="H30" s="2"/>
      <c r="I30" s="2"/>
    </row>
    <row r="31" spans="1:9" x14ac:dyDescent="0.25">
      <c r="A31" s="63" t="s">
        <v>60</v>
      </c>
      <c r="B31" s="54" t="s">
        <v>61</v>
      </c>
      <c r="C31" s="5" t="s">
        <v>65</v>
      </c>
      <c r="D31" s="47" t="s">
        <v>63</v>
      </c>
      <c r="E31" s="54" t="s">
        <v>64</v>
      </c>
      <c r="F31" s="5" t="s">
        <v>65</v>
      </c>
      <c r="G31" s="5"/>
      <c r="H31" s="54" t="s">
        <v>195</v>
      </c>
      <c r="I31" s="47"/>
    </row>
    <row r="32" spans="1:9" x14ac:dyDescent="0.25">
      <c r="A32" s="6"/>
      <c r="B32" s="43"/>
      <c r="C32" s="17" t="s">
        <v>67</v>
      </c>
      <c r="D32" s="51" t="s">
        <v>23</v>
      </c>
      <c r="E32" s="61" t="s">
        <v>312</v>
      </c>
      <c r="F32" s="17" t="s">
        <v>30</v>
      </c>
      <c r="G32" s="17"/>
      <c r="H32" s="61"/>
      <c r="I32" s="51"/>
    </row>
    <row r="33" spans="1:9" x14ac:dyDescent="0.25">
      <c r="A33" s="11"/>
      <c r="B33" s="61" t="s">
        <v>69</v>
      </c>
      <c r="C33" s="30">
        <v>15620.55</v>
      </c>
      <c r="D33" s="8">
        <v>6000</v>
      </c>
      <c r="E33" s="162">
        <f>D33*15%</f>
        <v>900</v>
      </c>
      <c r="F33" s="21">
        <f>C33+(D33-E33)</f>
        <v>20720.55</v>
      </c>
      <c r="G33" s="21"/>
      <c r="H33" s="162">
        <f>F33</f>
        <v>20720.55</v>
      </c>
      <c r="I33" s="51"/>
    </row>
    <row r="34" spans="1:9" x14ac:dyDescent="0.25">
      <c r="A34" s="4" t="s">
        <v>70</v>
      </c>
      <c r="B34" s="43"/>
      <c r="C34" s="43"/>
      <c r="D34" s="43"/>
      <c r="E34" s="43"/>
      <c r="F34" s="19"/>
      <c r="G34" s="43"/>
      <c r="H34" s="19"/>
      <c r="I34" s="43"/>
    </row>
    <row r="35" spans="1:9" x14ac:dyDescent="0.25">
      <c r="A35" s="1" t="s">
        <v>71</v>
      </c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5" t="s">
        <v>72</v>
      </c>
      <c r="B36" s="53" t="s">
        <v>73</v>
      </c>
      <c r="C36" s="5" t="s">
        <v>74</v>
      </c>
      <c r="D36" s="46" t="s">
        <v>75</v>
      </c>
      <c r="E36" s="5" t="s">
        <v>76</v>
      </c>
      <c r="F36" s="54" t="s">
        <v>77</v>
      </c>
      <c r="G36" s="5" t="s">
        <v>78</v>
      </c>
      <c r="H36" s="54" t="s">
        <v>79</v>
      </c>
      <c r="I36" s="5" t="s">
        <v>19</v>
      </c>
    </row>
    <row r="37" spans="1:9" x14ac:dyDescent="0.25">
      <c r="A37" s="6"/>
      <c r="B37" s="55" t="s">
        <v>80</v>
      </c>
      <c r="C37" s="6" t="s">
        <v>81</v>
      </c>
      <c r="D37" s="49" t="s">
        <v>82</v>
      </c>
      <c r="E37" s="6" t="s">
        <v>83</v>
      </c>
      <c r="F37" s="43" t="s">
        <v>84</v>
      </c>
      <c r="G37" s="6" t="s">
        <v>85</v>
      </c>
      <c r="H37" s="43" t="s">
        <v>86</v>
      </c>
      <c r="I37" s="6" t="s">
        <v>87</v>
      </c>
    </row>
    <row r="38" spans="1:9" x14ac:dyDescent="0.25">
      <c r="A38" s="6"/>
      <c r="B38" s="49"/>
      <c r="C38" s="6"/>
      <c r="D38" s="49"/>
      <c r="E38" s="6"/>
      <c r="F38" s="43" t="s">
        <v>88</v>
      </c>
      <c r="G38" s="6" t="s">
        <v>89</v>
      </c>
      <c r="H38" s="43"/>
      <c r="I38" s="6" t="s">
        <v>221</v>
      </c>
    </row>
    <row r="39" spans="1:9" x14ac:dyDescent="0.25">
      <c r="A39" s="8"/>
      <c r="B39" s="7"/>
      <c r="C39" s="9"/>
      <c r="D39" s="7"/>
      <c r="E39" s="8"/>
      <c r="F39" s="9"/>
      <c r="G39" s="8"/>
      <c r="H39" s="9"/>
      <c r="I39" s="8">
        <f>H39</f>
        <v>0</v>
      </c>
    </row>
    <row r="40" spans="1:9" x14ac:dyDescent="0.25">
      <c r="A40" s="6">
        <v>1</v>
      </c>
      <c r="B40" s="6" t="s">
        <v>91</v>
      </c>
      <c r="C40" s="4" t="s">
        <v>92</v>
      </c>
      <c r="D40" s="49">
        <v>-81382.710000000006</v>
      </c>
      <c r="E40" s="252">
        <v>432028.58</v>
      </c>
      <c r="F40" s="6">
        <v>411683.61</v>
      </c>
      <c r="G40" s="43">
        <f>E40</f>
        <v>432028.58</v>
      </c>
      <c r="H40" s="49">
        <f>D40+F40-G40</f>
        <v>-101727.68000000005</v>
      </c>
      <c r="I40" s="6">
        <f>H40</f>
        <v>-101727.68000000005</v>
      </c>
    </row>
    <row r="41" spans="1:9" x14ac:dyDescent="0.25">
      <c r="A41" s="8"/>
      <c r="B41" s="8" t="s">
        <v>93</v>
      </c>
      <c r="C41" s="35" t="s">
        <v>94</v>
      </c>
      <c r="D41" s="7"/>
      <c r="E41" s="196"/>
      <c r="F41" s="8"/>
      <c r="G41" s="9"/>
      <c r="H41" s="7"/>
      <c r="I41" s="8"/>
    </row>
    <row r="42" spans="1:9" x14ac:dyDescent="0.25">
      <c r="A42" s="6">
        <v>2</v>
      </c>
      <c r="B42" s="6" t="s">
        <v>95</v>
      </c>
      <c r="C42" s="1" t="s">
        <v>96</v>
      </c>
      <c r="D42" s="49">
        <v>-225623.08</v>
      </c>
      <c r="E42" s="17">
        <v>616739.24</v>
      </c>
      <c r="F42" s="6">
        <v>599333.92000000004</v>
      </c>
      <c r="G42" s="17">
        <f>E42</f>
        <v>616739.24</v>
      </c>
      <c r="H42" s="49">
        <f>D42+F42-G42</f>
        <v>-243028.39999999991</v>
      </c>
      <c r="I42" s="6">
        <f>H42</f>
        <v>-243028.39999999991</v>
      </c>
    </row>
    <row r="43" spans="1:9" x14ac:dyDescent="0.25">
      <c r="A43" s="8"/>
      <c r="B43" s="8" t="s">
        <v>97</v>
      </c>
      <c r="C43" s="35"/>
      <c r="D43" s="46"/>
      <c r="E43" s="286"/>
      <c r="F43" s="8"/>
      <c r="G43" s="43"/>
      <c r="H43" s="46"/>
      <c r="I43" s="5" t="s">
        <v>72</v>
      </c>
    </row>
    <row r="44" spans="1:9" x14ac:dyDescent="0.25">
      <c r="A44" s="8"/>
      <c r="B44" s="8" t="s">
        <v>313</v>
      </c>
      <c r="C44" s="35" t="s">
        <v>94</v>
      </c>
      <c r="D44" s="46"/>
      <c r="E44" s="286"/>
      <c r="F44" s="8"/>
      <c r="G44" s="8"/>
      <c r="H44" s="46"/>
      <c r="I44" s="5"/>
    </row>
    <row r="45" spans="1:9" x14ac:dyDescent="0.25">
      <c r="A45" s="8">
        <v>3</v>
      </c>
      <c r="B45" s="8" t="s">
        <v>99</v>
      </c>
      <c r="C45" s="35" t="s">
        <v>100</v>
      </c>
      <c r="D45" s="8">
        <v>-487483.63</v>
      </c>
      <c r="E45" s="9">
        <v>1109789.55</v>
      </c>
      <c r="F45" s="8">
        <v>1079878.3400000001</v>
      </c>
      <c r="G45" s="8">
        <f>E45</f>
        <v>1109789.55</v>
      </c>
      <c r="H45" s="8">
        <f>D45+F45-G45</f>
        <v>-517394.83999999997</v>
      </c>
      <c r="I45" s="8">
        <f>H45</f>
        <v>-517394.83999999997</v>
      </c>
    </row>
    <row r="46" spans="1:9" x14ac:dyDescent="0.25">
      <c r="A46" s="1" t="s">
        <v>326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" t="s">
        <v>327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6" t="s">
        <v>12</v>
      </c>
      <c r="B48" s="5" t="s">
        <v>103</v>
      </c>
      <c r="C48" s="46" t="s">
        <v>104</v>
      </c>
      <c r="D48" s="54"/>
      <c r="E48" s="54"/>
      <c r="F48" s="47"/>
      <c r="G48" s="5" t="s">
        <v>105</v>
      </c>
      <c r="H48" s="47" t="s">
        <v>106</v>
      </c>
      <c r="I48" s="5" t="s">
        <v>107</v>
      </c>
    </row>
    <row r="49" spans="1:9" x14ac:dyDescent="0.25">
      <c r="A49" s="49" t="s">
        <v>108</v>
      </c>
      <c r="B49" s="6"/>
      <c r="C49" s="49"/>
      <c r="D49" s="43"/>
      <c r="E49" s="43"/>
      <c r="F49" s="56"/>
      <c r="G49" s="6"/>
      <c r="H49" s="56"/>
      <c r="I49" s="6" t="s">
        <v>109</v>
      </c>
    </row>
    <row r="50" spans="1:9" x14ac:dyDescent="0.25">
      <c r="A50" s="50"/>
      <c r="B50" s="17"/>
      <c r="C50" s="50"/>
      <c r="D50" s="61"/>
      <c r="E50" s="61"/>
      <c r="F50" s="51"/>
      <c r="G50" s="17"/>
      <c r="H50" s="51"/>
      <c r="I50" s="17"/>
    </row>
    <row r="51" spans="1:9" x14ac:dyDescent="0.25">
      <c r="A51" s="62"/>
      <c r="B51" s="39"/>
      <c r="C51" s="55"/>
      <c r="D51" s="4"/>
      <c r="E51" s="4"/>
      <c r="F51" s="56"/>
      <c r="G51" s="6"/>
      <c r="H51" s="56"/>
      <c r="I51" s="5"/>
    </row>
    <row r="52" spans="1:9" x14ac:dyDescent="0.25">
      <c r="A52" s="64" t="s">
        <v>111</v>
      </c>
      <c r="B52" s="65">
        <v>43186</v>
      </c>
      <c r="C52" s="49" t="s">
        <v>640</v>
      </c>
      <c r="D52" s="43"/>
      <c r="E52" s="43"/>
      <c r="F52" s="56"/>
      <c r="G52" s="26" t="s">
        <v>113</v>
      </c>
      <c r="H52" s="56">
        <v>105</v>
      </c>
      <c r="I52" s="6">
        <v>21000</v>
      </c>
    </row>
    <row r="53" spans="1:9" x14ac:dyDescent="0.25">
      <c r="A53" s="64" t="s">
        <v>114</v>
      </c>
      <c r="B53" s="65">
        <v>43251</v>
      </c>
      <c r="C53" s="49" t="s">
        <v>771</v>
      </c>
      <c r="D53" s="43"/>
      <c r="E53" s="43"/>
      <c r="F53" s="56"/>
      <c r="G53" s="26" t="s">
        <v>205</v>
      </c>
      <c r="H53" s="56">
        <v>1</v>
      </c>
      <c r="I53" s="6">
        <v>5540.98</v>
      </c>
    </row>
    <row r="54" spans="1:9" x14ac:dyDescent="0.25">
      <c r="A54" s="64" t="s">
        <v>170</v>
      </c>
      <c r="B54" s="65">
        <v>43367</v>
      </c>
      <c r="C54" s="49" t="s">
        <v>772</v>
      </c>
      <c r="D54" s="43"/>
      <c r="E54" s="43"/>
      <c r="F54" s="56"/>
      <c r="G54" s="26" t="s">
        <v>205</v>
      </c>
      <c r="H54" s="56">
        <v>2</v>
      </c>
      <c r="I54" s="6">
        <v>1600</v>
      </c>
    </row>
    <row r="55" spans="1:9" x14ac:dyDescent="0.25">
      <c r="A55" s="64" t="s">
        <v>173</v>
      </c>
      <c r="B55" s="65">
        <v>43404</v>
      </c>
      <c r="C55" s="49" t="s">
        <v>640</v>
      </c>
      <c r="D55" s="43"/>
      <c r="E55" s="43"/>
      <c r="F55" s="56"/>
      <c r="G55" s="26" t="s">
        <v>116</v>
      </c>
      <c r="H55" s="56">
        <v>105</v>
      </c>
      <c r="I55" s="6">
        <v>21000</v>
      </c>
    </row>
    <row r="56" spans="1:9" x14ac:dyDescent="0.25">
      <c r="A56" s="64"/>
      <c r="B56" s="6"/>
      <c r="C56" s="55" t="s">
        <v>117</v>
      </c>
      <c r="D56" s="4"/>
      <c r="E56" s="4"/>
      <c r="F56" s="194"/>
      <c r="G56" s="41"/>
      <c r="H56" s="194"/>
      <c r="I56" s="39">
        <f>SUM(I51:I55)</f>
        <v>49140.979999999996</v>
      </c>
    </row>
    <row r="57" spans="1:9" x14ac:dyDescent="0.25">
      <c r="A57" s="5"/>
      <c r="B57" s="5"/>
      <c r="C57" s="46"/>
      <c r="D57" s="54"/>
      <c r="E57" s="54"/>
      <c r="F57" s="47"/>
      <c r="G57" s="33"/>
      <c r="H57" s="47"/>
      <c r="I57" s="5"/>
    </row>
    <row r="58" spans="1:9" x14ac:dyDescent="0.25">
      <c r="A58" s="5"/>
      <c r="B58" s="63" t="s">
        <v>258</v>
      </c>
      <c r="C58" s="53" t="s">
        <v>259</v>
      </c>
      <c r="D58" s="54"/>
      <c r="E58" s="54"/>
      <c r="F58" s="47" t="s">
        <v>260</v>
      </c>
      <c r="G58" s="5"/>
      <c r="H58" s="47"/>
      <c r="I58" s="47"/>
    </row>
    <row r="59" spans="1:9" x14ac:dyDescent="0.25">
      <c r="A59" s="66"/>
      <c r="B59" s="238"/>
      <c r="C59" s="287" t="s">
        <v>117</v>
      </c>
      <c r="D59" s="288"/>
      <c r="E59" s="288"/>
      <c r="F59" s="289"/>
      <c r="G59" s="16">
        <v>0</v>
      </c>
      <c r="H59" s="67"/>
      <c r="I59" s="11">
        <v>0</v>
      </c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 t="s">
        <v>206</v>
      </c>
      <c r="B61" s="2"/>
      <c r="C61" s="2"/>
      <c r="D61" s="2" t="s">
        <v>119</v>
      </c>
      <c r="E61" s="2"/>
      <c r="F61" s="2" t="s">
        <v>766</v>
      </c>
      <c r="H61" s="2" t="s">
        <v>773</v>
      </c>
      <c r="I61" s="2" t="s">
        <v>291</v>
      </c>
    </row>
    <row r="62" spans="1:9" x14ac:dyDescent="0.25">
      <c r="C62" s="2" t="s">
        <v>72</v>
      </c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4" workbookViewId="0">
      <selection activeCell="A32" sqref="A32"/>
    </sheetView>
  </sheetViews>
  <sheetFormatPr defaultRowHeight="15" x14ac:dyDescent="0.25"/>
  <cols>
    <col min="1" max="1" width="5.42578125" customWidth="1"/>
    <col min="2" max="2" width="32.28515625" customWidth="1"/>
    <col min="3" max="3" width="12.85546875" customWidth="1"/>
    <col min="4" max="4" width="11" customWidth="1"/>
    <col min="8" max="8" width="12.140625" customWidth="1"/>
    <col min="9" max="9" width="21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774</v>
      </c>
      <c r="B6" s="2"/>
      <c r="C6" s="2"/>
      <c r="D6" s="2"/>
      <c r="E6" s="2"/>
      <c r="F6" s="1"/>
      <c r="G6" s="2"/>
      <c r="H6" s="2"/>
      <c r="I6" s="2"/>
    </row>
    <row r="7" spans="1:9" x14ac:dyDescent="0.25">
      <c r="A7" s="2" t="s">
        <v>775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776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8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1">
        <v>1</v>
      </c>
      <c r="B18" s="67" t="s">
        <v>323</v>
      </c>
      <c r="C18" s="11">
        <v>8.9600000000000009</v>
      </c>
      <c r="D18" s="16">
        <v>16339.28</v>
      </c>
      <c r="E18" s="13">
        <v>288648</v>
      </c>
      <c r="F18" s="14">
        <v>275049.45</v>
      </c>
      <c r="G18" s="16">
        <f t="shared" ref="G18:G24" si="0">E18</f>
        <v>288648</v>
      </c>
      <c r="H18" s="12">
        <f>D18+F18-G18</f>
        <v>2740.7300000000396</v>
      </c>
      <c r="I18" s="16"/>
    </row>
    <row r="19" spans="1:9" x14ac:dyDescent="0.25">
      <c r="A19" s="6" t="s">
        <v>36</v>
      </c>
      <c r="B19" s="17" t="s">
        <v>37</v>
      </c>
      <c r="C19" s="17">
        <v>3.08</v>
      </c>
      <c r="D19" s="21"/>
      <c r="E19" s="19">
        <f>E18*34.4%</f>
        <v>99294.911999999997</v>
      </c>
      <c r="F19" s="20">
        <f>F18*34.4%</f>
        <v>94617.010800000004</v>
      </c>
      <c r="G19" s="21">
        <f t="shared" si="0"/>
        <v>99294.911999999997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1.47</v>
      </c>
      <c r="D20" s="33"/>
      <c r="E20" s="24">
        <f>E18*16.4%</f>
        <v>47338.271999999997</v>
      </c>
      <c r="F20" s="25">
        <f>F18*16.4/100</f>
        <v>45108.109799999998</v>
      </c>
      <c r="G20" s="26">
        <f t="shared" si="0"/>
        <v>47338.271999999997</v>
      </c>
      <c r="H20" s="23"/>
      <c r="I20" s="33"/>
    </row>
    <row r="21" spans="1:9" x14ac:dyDescent="0.25">
      <c r="A21" s="22" t="s">
        <v>40</v>
      </c>
      <c r="B21" s="5" t="s">
        <v>41</v>
      </c>
      <c r="C21" s="5">
        <v>1.81</v>
      </c>
      <c r="D21" s="33"/>
      <c r="E21" s="30">
        <f>E18*20.2/100</f>
        <v>58306.895999999993</v>
      </c>
      <c r="F21" s="25">
        <f>F18*20.2/100</f>
        <v>55559.988899999997</v>
      </c>
      <c r="G21" s="30">
        <f t="shared" si="0"/>
        <v>58306.895999999993</v>
      </c>
      <c r="H21" s="30"/>
      <c r="I21" s="33"/>
    </row>
    <row r="22" spans="1:9" x14ac:dyDescent="0.25">
      <c r="A22" s="31" t="s">
        <v>42</v>
      </c>
      <c r="B22" s="8" t="s">
        <v>43</v>
      </c>
      <c r="C22" s="5">
        <v>2.6</v>
      </c>
      <c r="D22" s="33"/>
      <c r="E22" s="29">
        <f>E18*29%</f>
        <v>83707.92</v>
      </c>
      <c r="F22" s="29">
        <f>F18*29%</f>
        <v>79764.340499999991</v>
      </c>
      <c r="G22" s="30">
        <f t="shared" si="0"/>
        <v>83707.92</v>
      </c>
      <c r="H22" s="30"/>
      <c r="I22" s="30"/>
    </row>
    <row r="23" spans="1:9" x14ac:dyDescent="0.25">
      <c r="A23" s="66" t="s">
        <v>44</v>
      </c>
      <c r="B23" s="17" t="s">
        <v>47</v>
      </c>
      <c r="C23" s="63" t="s">
        <v>48</v>
      </c>
      <c r="D23" s="33">
        <v>-2881.62</v>
      </c>
      <c r="E23" s="17">
        <v>24760.2</v>
      </c>
      <c r="F23" s="61">
        <v>23684.66</v>
      </c>
      <c r="G23" s="17">
        <f>E23</f>
        <v>24760.2</v>
      </c>
      <c r="H23" s="38">
        <f>D23+F23-E23</f>
        <v>-3957.16</v>
      </c>
      <c r="I23" s="67">
        <f>H23</f>
        <v>-3957.16</v>
      </c>
    </row>
    <row r="24" spans="1:9" x14ac:dyDescent="0.25">
      <c r="A24" s="11" t="s">
        <v>49</v>
      </c>
      <c r="B24" s="11" t="s">
        <v>50</v>
      </c>
      <c r="C24" s="10">
        <v>4.5999999999999996</v>
      </c>
      <c r="D24" s="38">
        <v>-13707.78</v>
      </c>
      <c r="E24" s="35">
        <v>148189.92000000001</v>
      </c>
      <c r="F24" s="36">
        <v>142197.37</v>
      </c>
      <c r="G24" s="38">
        <f t="shared" si="0"/>
        <v>148189.92000000001</v>
      </c>
      <c r="H24" s="290">
        <f>D24+F24-G24</f>
        <v>-19700.330000000016</v>
      </c>
      <c r="I24" s="38">
        <f>H24</f>
        <v>-19700.330000000016</v>
      </c>
    </row>
    <row r="25" spans="1:9" x14ac:dyDescent="0.25">
      <c r="A25" s="63" t="s">
        <v>51</v>
      </c>
      <c r="B25" s="11" t="s">
        <v>310</v>
      </c>
      <c r="C25" s="11">
        <v>1.82</v>
      </c>
      <c r="D25" s="15">
        <v>99055.51</v>
      </c>
      <c r="E25" s="11">
        <v>58631.64</v>
      </c>
      <c r="F25" s="11">
        <f>F26+F27</f>
        <v>80610.63</v>
      </c>
      <c r="G25" s="11">
        <f>G26</f>
        <v>136577.68</v>
      </c>
      <c r="H25" s="15">
        <f>D25+F25-G25</f>
        <v>43088.460000000021</v>
      </c>
      <c r="I25" s="16"/>
    </row>
    <row r="26" spans="1:9" x14ac:dyDescent="0.25">
      <c r="A26" s="63"/>
      <c r="B26" s="17" t="s">
        <v>53</v>
      </c>
      <c r="C26" s="13"/>
      <c r="D26" s="15"/>
      <c r="E26" s="10"/>
      <c r="F26" s="11">
        <v>56155</v>
      </c>
      <c r="G26" s="14">
        <f>I61</f>
        <v>136577.68</v>
      </c>
      <c r="H26" s="15"/>
      <c r="I26" s="16"/>
    </row>
    <row r="27" spans="1:9" x14ac:dyDescent="0.25">
      <c r="A27" s="63"/>
      <c r="B27" s="8" t="s">
        <v>58</v>
      </c>
      <c r="C27" s="13"/>
      <c r="D27" s="15"/>
      <c r="E27" s="10"/>
      <c r="F27" s="11">
        <v>24455.63</v>
      </c>
      <c r="G27" s="14"/>
      <c r="H27" s="15"/>
      <c r="I27" s="16"/>
    </row>
    <row r="28" spans="1:9" x14ac:dyDescent="0.25">
      <c r="A28" s="10" t="s">
        <v>56</v>
      </c>
      <c r="B28" s="10" t="s">
        <v>144</v>
      </c>
      <c r="C28" s="35"/>
      <c r="D28" s="38"/>
      <c r="E28" s="193"/>
      <c r="F28" s="38"/>
      <c r="G28" s="36"/>
      <c r="H28" s="38"/>
      <c r="I28" s="38"/>
    </row>
    <row r="29" spans="1:9" x14ac:dyDescent="0.25">
      <c r="A29" s="11"/>
      <c r="B29" s="11" t="s">
        <v>777</v>
      </c>
      <c r="C29" s="67">
        <v>0</v>
      </c>
      <c r="D29" s="16">
        <v>24455.63</v>
      </c>
      <c r="E29" s="13">
        <v>0</v>
      </c>
      <c r="F29" s="11">
        <f>-F30</f>
        <v>-24455.63</v>
      </c>
      <c r="G29" s="14">
        <v>0</v>
      </c>
      <c r="H29" s="16">
        <f>D29+F29-G29</f>
        <v>0</v>
      </c>
      <c r="I29" s="16"/>
    </row>
    <row r="30" spans="1:9" x14ac:dyDescent="0.25">
      <c r="A30" s="8"/>
      <c r="B30" s="8" t="s">
        <v>58</v>
      </c>
      <c r="C30" s="9" t="s">
        <v>72</v>
      </c>
      <c r="D30" s="21" t="s">
        <v>72</v>
      </c>
      <c r="E30" s="9">
        <v>0</v>
      </c>
      <c r="F30" s="8">
        <v>24455.63</v>
      </c>
      <c r="G30" s="7">
        <v>0</v>
      </c>
      <c r="H30" s="21"/>
      <c r="I30" s="30"/>
    </row>
    <row r="31" spans="1:9" x14ac:dyDescent="0.25">
      <c r="A31" s="43"/>
      <c r="B31" s="43"/>
      <c r="C31" s="43"/>
      <c r="D31" s="19"/>
      <c r="E31" s="43"/>
      <c r="F31" s="43"/>
      <c r="G31" s="43"/>
      <c r="H31" s="19"/>
      <c r="I31" s="19"/>
    </row>
    <row r="32" spans="1:9" x14ac:dyDescent="0.25">
      <c r="A32" s="43"/>
      <c r="B32" s="43"/>
      <c r="C32" s="43"/>
      <c r="D32" s="19"/>
      <c r="E32" s="43"/>
      <c r="F32" s="43"/>
      <c r="G32" s="43"/>
      <c r="H32" s="19"/>
      <c r="I32" s="19"/>
    </row>
    <row r="33" spans="1:9" x14ac:dyDescent="0.25">
      <c r="A33" s="1" t="s">
        <v>59</v>
      </c>
      <c r="B33" s="1"/>
      <c r="C33" s="1"/>
      <c r="D33" s="45"/>
      <c r="E33" s="1"/>
      <c r="F33" s="2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356</v>
      </c>
      <c r="D34" s="47" t="s">
        <v>778</v>
      </c>
      <c r="E34" s="54" t="s">
        <v>64</v>
      </c>
      <c r="F34" s="5" t="s">
        <v>62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21">
        <v>19816.52</v>
      </c>
      <c r="D36" s="51">
        <v>6000</v>
      </c>
      <c r="E36" s="162">
        <f>D36*15%</f>
        <v>900</v>
      </c>
      <c r="F36" s="21">
        <f>C36+(D36-E36)</f>
        <v>24916.52</v>
      </c>
      <c r="G36" s="21"/>
      <c r="H36" s="162">
        <f>F36</f>
        <v>24916.52</v>
      </c>
      <c r="I36" s="51"/>
    </row>
    <row r="37" spans="1:9" x14ac:dyDescent="0.25">
      <c r="A37" s="4" t="s">
        <v>70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1" t="s">
        <v>71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72</v>
      </c>
      <c r="B39" s="53" t="s">
        <v>73</v>
      </c>
      <c r="C39" s="46" t="s">
        <v>74</v>
      </c>
      <c r="D39" s="5" t="s">
        <v>75</v>
      </c>
      <c r="E39" s="47" t="s">
        <v>76</v>
      </c>
      <c r="F39" s="54" t="s">
        <v>77</v>
      </c>
      <c r="G39" s="5" t="s">
        <v>78</v>
      </c>
      <c r="H39" s="5" t="s">
        <v>79</v>
      </c>
      <c r="I39" s="5" t="s">
        <v>19</v>
      </c>
    </row>
    <row r="40" spans="1:9" x14ac:dyDescent="0.25">
      <c r="A40" s="43"/>
      <c r="B40" s="4" t="s">
        <v>80</v>
      </c>
      <c r="C40" s="49" t="s">
        <v>81</v>
      </c>
      <c r="D40" s="6" t="s">
        <v>82</v>
      </c>
      <c r="E40" s="56" t="s">
        <v>83</v>
      </c>
      <c r="F40" s="43" t="s">
        <v>84</v>
      </c>
      <c r="G40" s="6" t="s">
        <v>85</v>
      </c>
      <c r="H40" s="6" t="s">
        <v>86</v>
      </c>
      <c r="I40" s="6" t="s">
        <v>87</v>
      </c>
    </row>
    <row r="41" spans="1:9" x14ac:dyDescent="0.25">
      <c r="A41" s="17"/>
      <c r="B41" s="50"/>
      <c r="C41" s="50"/>
      <c r="D41" s="17"/>
      <c r="E41" s="51"/>
      <c r="F41" s="61" t="s">
        <v>88</v>
      </c>
      <c r="G41" s="17" t="s">
        <v>89</v>
      </c>
      <c r="H41" s="17"/>
      <c r="I41" s="17" t="s">
        <v>221</v>
      </c>
    </row>
    <row r="42" spans="1:9" x14ac:dyDescent="0.25">
      <c r="A42" s="8">
        <v>1</v>
      </c>
      <c r="B42" s="8" t="s">
        <v>91</v>
      </c>
      <c r="C42" s="36" t="s">
        <v>92</v>
      </c>
      <c r="D42" s="8">
        <v>-17040.77</v>
      </c>
      <c r="E42" s="196">
        <v>230345.52</v>
      </c>
      <c r="F42" s="7">
        <v>225512.26</v>
      </c>
      <c r="G42" s="8">
        <f>E42</f>
        <v>230345.52</v>
      </c>
      <c r="H42" s="8">
        <f>D42+F42-G42</f>
        <v>-21874.02999999997</v>
      </c>
      <c r="I42" s="47">
        <f>H42</f>
        <v>-21874.02999999997</v>
      </c>
    </row>
    <row r="43" spans="1:9" x14ac:dyDescent="0.25">
      <c r="A43" s="8"/>
      <c r="B43" s="8" t="s">
        <v>93</v>
      </c>
      <c r="C43" s="35" t="s">
        <v>94</v>
      </c>
      <c r="D43" s="17"/>
      <c r="E43" s="59"/>
      <c r="F43" s="7"/>
      <c r="G43" s="17"/>
      <c r="H43" s="17"/>
      <c r="I43" s="47"/>
    </row>
    <row r="44" spans="1:9" x14ac:dyDescent="0.25">
      <c r="A44" s="8">
        <v>2</v>
      </c>
      <c r="B44" s="8" t="s">
        <v>779</v>
      </c>
      <c r="C44" s="35" t="s">
        <v>96</v>
      </c>
      <c r="D44" s="17">
        <v>-107575.85</v>
      </c>
      <c r="E44" s="59">
        <v>385686.37</v>
      </c>
      <c r="F44" s="7">
        <v>399657.02</v>
      </c>
      <c r="G44" s="17">
        <f>E44</f>
        <v>385686.37</v>
      </c>
      <c r="H44" s="17">
        <f>D44+F44-G44</f>
        <v>-93605.199999999953</v>
      </c>
      <c r="I44" s="8">
        <f>H44</f>
        <v>-93605.199999999953</v>
      </c>
    </row>
    <row r="45" spans="1:9" x14ac:dyDescent="0.25">
      <c r="A45" s="8"/>
      <c r="B45" s="8" t="s">
        <v>313</v>
      </c>
      <c r="C45" s="35" t="s">
        <v>94</v>
      </c>
      <c r="D45" s="17"/>
      <c r="E45" s="59"/>
      <c r="F45" s="7"/>
      <c r="G45" s="17"/>
      <c r="H45" s="17"/>
      <c r="I45" s="48"/>
    </row>
    <row r="46" spans="1:9" x14ac:dyDescent="0.25">
      <c r="A46" s="8">
        <v>3</v>
      </c>
      <c r="B46" s="8" t="s">
        <v>99</v>
      </c>
      <c r="C46" s="35" t="s">
        <v>100</v>
      </c>
      <c r="D46" s="17">
        <v>-249609.12</v>
      </c>
      <c r="E46" s="9">
        <v>970436.98</v>
      </c>
      <c r="F46" s="7">
        <v>932111.35999999999</v>
      </c>
      <c r="G46" s="17">
        <f>E46</f>
        <v>970436.98</v>
      </c>
      <c r="H46" s="17">
        <f>D46+F46-G46</f>
        <v>-287934.74</v>
      </c>
      <c r="I46" s="48">
        <f xml:space="preserve"> H46</f>
        <v>-287934.74</v>
      </c>
    </row>
    <row r="47" spans="1:9" x14ac:dyDescent="0.25">
      <c r="A47" s="43"/>
      <c r="B47" s="43"/>
      <c r="C47" s="43"/>
      <c r="D47" s="43"/>
      <c r="E47" s="43" t="s">
        <v>72</v>
      </c>
      <c r="F47" s="43"/>
      <c r="G47" s="43"/>
      <c r="H47" s="43"/>
      <c r="I47" s="43"/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5" t="s">
        <v>165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/>
      <c r="H51" s="6" t="s">
        <v>85</v>
      </c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17"/>
      <c r="H52" s="17"/>
      <c r="I52" s="6"/>
    </row>
    <row r="53" spans="1:9" x14ac:dyDescent="0.25">
      <c r="A53" s="62"/>
      <c r="B53" s="53"/>
      <c r="C53" s="55"/>
      <c r="D53" s="4"/>
      <c r="E53" s="4"/>
      <c r="F53" s="43"/>
      <c r="G53" s="6"/>
      <c r="H53" s="49"/>
      <c r="I53" s="5"/>
    </row>
    <row r="54" spans="1:9" x14ac:dyDescent="0.25">
      <c r="A54" s="64" t="s">
        <v>111</v>
      </c>
      <c r="B54" s="232">
        <v>43186</v>
      </c>
      <c r="C54" s="262" t="s">
        <v>112</v>
      </c>
      <c r="D54" s="43"/>
      <c r="E54" s="43"/>
      <c r="F54" s="43" t="s">
        <v>72</v>
      </c>
      <c r="G54" s="26" t="s">
        <v>203</v>
      </c>
      <c r="H54" s="49">
        <v>57</v>
      </c>
      <c r="I54" s="6">
        <v>11400</v>
      </c>
    </row>
    <row r="55" spans="1:9" x14ac:dyDescent="0.25">
      <c r="A55" s="64" t="s">
        <v>114</v>
      </c>
      <c r="B55" s="232">
        <v>43235</v>
      </c>
      <c r="C55" s="262" t="s">
        <v>780</v>
      </c>
      <c r="D55" s="43"/>
      <c r="E55" s="43"/>
      <c r="F55" s="43"/>
      <c r="G55" s="26" t="s">
        <v>205</v>
      </c>
      <c r="H55" s="49">
        <v>1</v>
      </c>
      <c r="I55" s="6">
        <v>3465.09</v>
      </c>
    </row>
    <row r="56" spans="1:9" x14ac:dyDescent="0.25">
      <c r="A56" s="64" t="s">
        <v>170</v>
      </c>
      <c r="B56" s="232">
        <v>43251</v>
      </c>
      <c r="C56" s="232" t="s">
        <v>558</v>
      </c>
      <c r="D56" s="69"/>
      <c r="E56" s="69"/>
      <c r="F56" s="43"/>
      <c r="G56" s="26" t="s">
        <v>205</v>
      </c>
      <c r="H56" s="49">
        <v>1</v>
      </c>
      <c r="I56" s="6">
        <v>3117.4</v>
      </c>
    </row>
    <row r="57" spans="1:9" x14ac:dyDescent="0.25">
      <c r="A57" s="64" t="s">
        <v>173</v>
      </c>
      <c r="B57" s="232">
        <v>43251</v>
      </c>
      <c r="C57" s="49" t="s">
        <v>781</v>
      </c>
      <c r="D57" s="43"/>
      <c r="E57" s="43"/>
      <c r="F57" s="43"/>
      <c r="G57" s="26" t="s">
        <v>116</v>
      </c>
      <c r="H57" s="49">
        <v>3.5</v>
      </c>
      <c r="I57" s="6">
        <v>3627.68</v>
      </c>
    </row>
    <row r="58" spans="1:9" x14ac:dyDescent="0.25">
      <c r="A58" s="64" t="s">
        <v>257</v>
      </c>
      <c r="B58" s="232">
        <v>43276</v>
      </c>
      <c r="C58" s="49" t="s">
        <v>254</v>
      </c>
      <c r="D58" s="43"/>
      <c r="E58" s="43"/>
      <c r="F58" s="43"/>
      <c r="G58" s="26" t="s">
        <v>255</v>
      </c>
      <c r="H58" s="49">
        <v>2</v>
      </c>
      <c r="I58" s="6">
        <v>2600</v>
      </c>
    </row>
    <row r="59" spans="1:9" x14ac:dyDescent="0.25">
      <c r="A59" s="64" t="s">
        <v>406</v>
      </c>
      <c r="B59" s="232">
        <v>43312</v>
      </c>
      <c r="C59" s="49" t="s">
        <v>782</v>
      </c>
      <c r="D59" s="43"/>
      <c r="E59" s="43"/>
      <c r="F59" s="43"/>
      <c r="G59" s="26" t="s">
        <v>169</v>
      </c>
      <c r="H59" s="49">
        <v>275</v>
      </c>
      <c r="I59" s="6">
        <v>100767.51</v>
      </c>
    </row>
    <row r="60" spans="1:9" x14ac:dyDescent="0.25">
      <c r="A60" s="64" t="s">
        <v>408</v>
      </c>
      <c r="B60" s="232">
        <v>43404</v>
      </c>
      <c r="C60" s="262" t="s">
        <v>112</v>
      </c>
      <c r="D60" s="43"/>
      <c r="E60" s="43"/>
      <c r="F60" s="43"/>
      <c r="G60" s="26" t="s">
        <v>116</v>
      </c>
      <c r="H60" s="49">
        <v>58</v>
      </c>
      <c r="I60" s="6">
        <v>11600</v>
      </c>
    </row>
    <row r="61" spans="1:9" x14ac:dyDescent="0.25">
      <c r="A61" s="66"/>
      <c r="B61" s="50"/>
      <c r="C61" s="14" t="s">
        <v>117</v>
      </c>
      <c r="D61" s="13"/>
      <c r="E61" s="13"/>
      <c r="F61" s="13"/>
      <c r="G61" s="16"/>
      <c r="H61" s="14"/>
      <c r="I61" s="11">
        <f>SUM(I53:I60)</f>
        <v>136577.68</v>
      </c>
    </row>
    <row r="62" spans="1:9" x14ac:dyDescent="0.25">
      <c r="A62" s="43"/>
      <c r="B62" s="43"/>
      <c r="C62" s="43"/>
      <c r="D62" s="43"/>
      <c r="E62" s="43"/>
      <c r="F62" s="43"/>
      <c r="G62" s="43"/>
      <c r="H62" s="43"/>
      <c r="I62" s="166"/>
    </row>
    <row r="63" spans="1:9" x14ac:dyDescent="0.25">
      <c r="A63" s="2" t="s">
        <v>479</v>
      </c>
      <c r="B63" s="2"/>
      <c r="C63" s="2" t="s">
        <v>119</v>
      </c>
      <c r="D63" s="2"/>
      <c r="E63" s="2" t="s">
        <v>120</v>
      </c>
      <c r="F63" s="2"/>
      <c r="G63" s="2" t="s">
        <v>121</v>
      </c>
      <c r="I63" s="2" t="s">
        <v>122</v>
      </c>
    </row>
    <row r="64" spans="1:9" x14ac:dyDescent="0.25">
      <c r="A64" s="2"/>
      <c r="B64" s="2"/>
    </row>
  </sheetData>
  <pageMargins left="0.7" right="0.7" top="0.75" bottom="0.75" header="0.3" footer="0.3"/>
  <pageSetup paperSize="9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0" workbookViewId="0">
      <selection activeCell="I53" sqref="I53:I59"/>
    </sheetView>
  </sheetViews>
  <sheetFormatPr defaultRowHeight="15" x14ac:dyDescent="0.25"/>
  <cols>
    <col min="1" max="1" width="5.140625" customWidth="1"/>
    <col min="2" max="2" width="31.140625" customWidth="1"/>
    <col min="3" max="3" width="14.28515625" customWidth="1"/>
    <col min="5" max="5" width="11.85546875" customWidth="1"/>
    <col min="6" max="6" width="12.42578125" customWidth="1"/>
    <col min="8" max="8" width="11.140625" customWidth="1"/>
    <col min="9" max="9" width="18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783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784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785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786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787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54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5">
        <v>9</v>
      </c>
    </row>
    <row r="18" spans="1:9" x14ac:dyDescent="0.25">
      <c r="A18" s="14">
        <v>1</v>
      </c>
      <c r="B18" s="14" t="s">
        <v>323</v>
      </c>
      <c r="C18" s="10">
        <v>8.9600000000000009</v>
      </c>
      <c r="D18" s="38">
        <v>24141.87</v>
      </c>
      <c r="E18" s="11">
        <v>710879.16</v>
      </c>
      <c r="F18" s="11">
        <v>682826.7</v>
      </c>
      <c r="G18" s="13">
        <f>E18</f>
        <v>710879.16</v>
      </c>
      <c r="H18" s="15">
        <f>D18+F18-G18</f>
        <v>-3910.5900000000838</v>
      </c>
      <c r="I18" s="38">
        <f>H18</f>
        <v>-3910.5900000000838</v>
      </c>
    </row>
    <row r="19" spans="1:9" x14ac:dyDescent="0.25">
      <c r="A19" s="66" t="s">
        <v>138</v>
      </c>
      <c r="B19" s="17" t="s">
        <v>37</v>
      </c>
      <c r="C19" s="61">
        <v>3.08</v>
      </c>
      <c r="D19" s="21"/>
      <c r="E19" s="162">
        <f>E18*34.4%</f>
        <v>244542.43104</v>
      </c>
      <c r="F19" s="21">
        <f>F18*34.4%</f>
        <v>234892.38479999997</v>
      </c>
      <c r="G19" s="162">
        <f>E19</f>
        <v>244542.43104</v>
      </c>
      <c r="H19" s="187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33"/>
      <c r="E20" s="24">
        <f>E18*16.4%</f>
        <v>116584.18223999999</v>
      </c>
      <c r="F20" s="33">
        <f>F18*16.4/100</f>
        <v>111983.57879999999</v>
      </c>
      <c r="G20" s="24">
        <f t="shared" ref="G20:G26" si="0">E20</f>
        <v>116584.18223999999</v>
      </c>
      <c r="H20" s="205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3"/>
      <c r="E21" s="24">
        <f>E18*20.2%</f>
        <v>143597.59031999999</v>
      </c>
      <c r="F21" s="33">
        <f>F18*20.2/100</f>
        <v>137930.99339999998</v>
      </c>
      <c r="G21" s="24">
        <f t="shared" si="0"/>
        <v>143597.59031999999</v>
      </c>
      <c r="H21" s="205"/>
      <c r="I21" s="33"/>
    </row>
    <row r="22" spans="1:9" x14ac:dyDescent="0.25">
      <c r="A22" s="31" t="s">
        <v>42</v>
      </c>
      <c r="B22" s="8" t="s">
        <v>43</v>
      </c>
      <c r="C22" s="9">
        <v>2.6</v>
      </c>
      <c r="D22" s="30"/>
      <c r="E22" s="28">
        <f>E18*29%</f>
        <v>206154.9564</v>
      </c>
      <c r="F22" s="30">
        <f>F18*29%</f>
        <v>198019.74299999996</v>
      </c>
      <c r="G22" s="28">
        <f t="shared" si="0"/>
        <v>206154.9564</v>
      </c>
      <c r="H22" s="206"/>
      <c r="I22" s="30"/>
    </row>
    <row r="23" spans="1:9" x14ac:dyDescent="0.25">
      <c r="A23" s="66" t="s">
        <v>44</v>
      </c>
      <c r="B23" s="17" t="s">
        <v>190</v>
      </c>
      <c r="C23" s="61">
        <v>1755.25</v>
      </c>
      <c r="D23" s="21">
        <v>1281.8800000000001</v>
      </c>
      <c r="E23" s="28">
        <v>12285.69</v>
      </c>
      <c r="F23" s="30">
        <v>11804.88</v>
      </c>
      <c r="G23" s="27">
        <f>E23</f>
        <v>12285.69</v>
      </c>
      <c r="H23" s="206">
        <f>D23+F23-E23</f>
        <v>801.06999999999789</v>
      </c>
      <c r="I23" s="21"/>
    </row>
    <row r="24" spans="1:9" x14ac:dyDescent="0.25">
      <c r="A24" s="66" t="s">
        <v>46</v>
      </c>
      <c r="B24" s="17" t="s">
        <v>47</v>
      </c>
      <c r="C24" s="61" t="s">
        <v>48</v>
      </c>
      <c r="D24" s="21">
        <v>-35296.03</v>
      </c>
      <c r="E24" s="8">
        <v>288080.52</v>
      </c>
      <c r="F24" s="9">
        <v>276240.15000000002</v>
      </c>
      <c r="G24" s="8">
        <f>E24</f>
        <v>288080.52</v>
      </c>
      <c r="H24" s="30">
        <f>D24+F24-E24</f>
        <v>-47136.399999999994</v>
      </c>
      <c r="I24" s="10">
        <f>H24</f>
        <v>-47136.399999999994</v>
      </c>
    </row>
    <row r="25" spans="1:9" x14ac:dyDescent="0.25">
      <c r="A25" s="11" t="s">
        <v>49</v>
      </c>
      <c r="B25" s="11" t="s">
        <v>140</v>
      </c>
      <c r="C25" s="13">
        <v>3.43</v>
      </c>
      <c r="D25" s="38">
        <v>-37984.559999999998</v>
      </c>
      <c r="E25" s="13">
        <v>271184.24</v>
      </c>
      <c r="F25" s="11">
        <v>260961.74</v>
      </c>
      <c r="G25" s="13">
        <f t="shared" si="0"/>
        <v>271184.24</v>
      </c>
      <c r="H25" s="41">
        <f>D25+F25-G25</f>
        <v>-48207.06</v>
      </c>
      <c r="I25" s="38">
        <f>H25</f>
        <v>-48207.06</v>
      </c>
    </row>
    <row r="26" spans="1:9" x14ac:dyDescent="0.25">
      <c r="A26" s="10" t="s">
        <v>51</v>
      </c>
      <c r="B26" s="10" t="s">
        <v>50</v>
      </c>
      <c r="C26" s="35">
        <v>4.5999999999999996</v>
      </c>
      <c r="D26" s="16">
        <v>-27226.55</v>
      </c>
      <c r="E26" s="35">
        <v>364960.32</v>
      </c>
      <c r="F26" s="10">
        <v>353817.07</v>
      </c>
      <c r="G26" s="35">
        <f t="shared" si="0"/>
        <v>364960.32</v>
      </c>
      <c r="H26" s="38">
        <f>D26+F26-G26</f>
        <v>-38369.799999999988</v>
      </c>
      <c r="I26" s="16">
        <f>H26</f>
        <v>-38369.799999999988</v>
      </c>
    </row>
    <row r="27" spans="1:9" x14ac:dyDescent="0.25">
      <c r="A27" s="10" t="s">
        <v>56</v>
      </c>
      <c r="B27" s="10" t="s">
        <v>191</v>
      </c>
      <c r="C27" s="193">
        <v>1</v>
      </c>
      <c r="D27" s="16">
        <v>120.19</v>
      </c>
      <c r="E27" s="35">
        <v>0</v>
      </c>
      <c r="F27" s="10">
        <v>170.6</v>
      </c>
      <c r="G27" s="35">
        <f>E27</f>
        <v>0</v>
      </c>
      <c r="H27" s="38">
        <f>D27+F27</f>
        <v>290.78999999999996</v>
      </c>
      <c r="I27" s="16"/>
    </row>
    <row r="28" spans="1:9" x14ac:dyDescent="0.25">
      <c r="A28" s="63" t="s">
        <v>60</v>
      </c>
      <c r="B28" s="63" t="s">
        <v>192</v>
      </c>
      <c r="C28" s="55">
        <v>1.82</v>
      </c>
      <c r="D28" s="160">
        <v>138021.9</v>
      </c>
      <c r="E28" s="36">
        <v>144397.20000000001</v>
      </c>
      <c r="F28" s="10">
        <f>F29+F30</f>
        <v>143722.96</v>
      </c>
      <c r="G28" s="194">
        <f>G29</f>
        <v>42420.240000000005</v>
      </c>
      <c r="H28" s="41">
        <f>D28+F28-G28</f>
        <v>239324.62</v>
      </c>
      <c r="I28" s="160"/>
    </row>
    <row r="29" spans="1:9" x14ac:dyDescent="0.25">
      <c r="A29" s="10"/>
      <c r="B29" s="8" t="s">
        <v>53</v>
      </c>
      <c r="C29" s="291"/>
      <c r="D29" s="209"/>
      <c r="E29" s="4">
        <v>0</v>
      </c>
      <c r="F29" s="39">
        <v>141477.96</v>
      </c>
      <c r="G29" s="9">
        <f>I59</f>
        <v>42420.240000000005</v>
      </c>
      <c r="H29" s="209"/>
      <c r="I29" s="38"/>
    </row>
    <row r="30" spans="1:9" x14ac:dyDescent="0.25">
      <c r="A30" s="10"/>
      <c r="B30" s="8" t="s">
        <v>54</v>
      </c>
      <c r="C30" s="35"/>
      <c r="D30" s="10"/>
      <c r="E30" s="35">
        <v>0</v>
      </c>
      <c r="F30" s="10">
        <v>2245</v>
      </c>
      <c r="G30" s="35"/>
      <c r="H30" s="10"/>
      <c r="I30" s="38"/>
    </row>
    <row r="31" spans="1:9" x14ac:dyDescent="0.25">
      <c r="A31" s="8" t="s">
        <v>355</v>
      </c>
      <c r="B31" s="10" t="s">
        <v>788</v>
      </c>
      <c r="C31" s="35">
        <v>0</v>
      </c>
      <c r="D31" s="10">
        <v>22396.07</v>
      </c>
      <c r="E31" s="35">
        <v>0</v>
      </c>
      <c r="F31" s="38">
        <f>F32</f>
        <v>0</v>
      </c>
      <c r="G31" s="35">
        <v>0</v>
      </c>
      <c r="H31" s="10">
        <f>D31+F31-G31</f>
        <v>22396.07</v>
      </c>
      <c r="I31" s="38"/>
    </row>
    <row r="32" spans="1:9" x14ac:dyDescent="0.25">
      <c r="A32" s="8"/>
      <c r="B32" s="8" t="s">
        <v>53</v>
      </c>
      <c r="C32" s="9">
        <v>0</v>
      </c>
      <c r="D32" s="8" t="s">
        <v>72</v>
      </c>
      <c r="E32" s="9">
        <v>0</v>
      </c>
      <c r="F32" s="8">
        <v>0</v>
      </c>
      <c r="G32" s="9">
        <v>0</v>
      </c>
      <c r="H32" s="8"/>
      <c r="I32" s="30"/>
    </row>
    <row r="33" spans="1:9" x14ac:dyDescent="0.25">
      <c r="A33" s="1" t="s">
        <v>59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63" t="s">
        <v>193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21">
        <v>15557.55</v>
      </c>
      <c r="D36" s="51">
        <v>6000</v>
      </c>
      <c r="E36" s="162">
        <f xml:space="preserve"> D36*15%</f>
        <v>900</v>
      </c>
      <c r="F36" s="21">
        <f>C36+(D36-E36)</f>
        <v>20657.55</v>
      </c>
      <c r="G36" s="21"/>
      <c r="H36" s="162">
        <f xml:space="preserve"> F36-G36</f>
        <v>20657.55</v>
      </c>
      <c r="I36" s="51"/>
    </row>
    <row r="37" spans="1:9" x14ac:dyDescent="0.25">
      <c r="A37" s="4" t="s">
        <v>70</v>
      </c>
      <c r="B37" s="49"/>
      <c r="C37" s="43"/>
      <c r="D37" s="43"/>
      <c r="E37" s="56"/>
      <c r="F37" s="43"/>
      <c r="G37" s="56"/>
      <c r="H37" s="43"/>
      <c r="I37" s="194"/>
    </row>
    <row r="38" spans="1:9" x14ac:dyDescent="0.25">
      <c r="A38" s="1" t="s">
        <v>71</v>
      </c>
      <c r="B38" s="49"/>
      <c r="C38" s="43"/>
      <c r="D38" s="43"/>
      <c r="E38" s="56"/>
      <c r="F38" s="43"/>
      <c r="G38" s="56"/>
      <c r="H38" s="43"/>
      <c r="I38" s="194"/>
    </row>
    <row r="39" spans="1:9" x14ac:dyDescent="0.25">
      <c r="A39" s="5" t="s">
        <v>72</v>
      </c>
      <c r="B39" s="53" t="s">
        <v>73</v>
      </c>
      <c r="C39" s="5" t="s">
        <v>74</v>
      </c>
      <c r="D39" s="46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9" t="s">
        <v>82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55"/>
      <c r="C41" s="6"/>
      <c r="D41" s="49"/>
      <c r="E41" s="6"/>
      <c r="F41" s="43" t="s">
        <v>88</v>
      </c>
      <c r="G41" s="6" t="s">
        <v>89</v>
      </c>
      <c r="H41" s="43"/>
      <c r="I41" s="6" t="s">
        <v>221</v>
      </c>
    </row>
    <row r="42" spans="1:9" x14ac:dyDescent="0.25">
      <c r="A42" s="8"/>
      <c r="B42" s="7"/>
      <c r="C42" s="8"/>
      <c r="D42" s="7"/>
      <c r="E42" s="8"/>
      <c r="F42" s="9"/>
      <c r="G42" s="9"/>
      <c r="H42" s="8"/>
      <c r="I42" s="8"/>
    </row>
    <row r="43" spans="1:9" x14ac:dyDescent="0.25">
      <c r="A43" s="6">
        <v>1</v>
      </c>
      <c r="B43" s="6" t="s">
        <v>789</v>
      </c>
      <c r="C43" s="4" t="s">
        <v>92</v>
      </c>
      <c r="D43" s="6">
        <v>-77866.759999999995</v>
      </c>
      <c r="E43" s="252">
        <v>579470.17000000004</v>
      </c>
      <c r="F43" s="6">
        <v>547703.5</v>
      </c>
      <c r="G43" s="217">
        <f>E43</f>
        <v>579470.17000000004</v>
      </c>
      <c r="H43" s="6">
        <f>F43-E43+D43</f>
        <v>-109633.43000000004</v>
      </c>
      <c r="I43" s="6">
        <f>H43</f>
        <v>-109633.43000000004</v>
      </c>
    </row>
    <row r="44" spans="1:9" x14ac:dyDescent="0.25">
      <c r="A44" s="8"/>
      <c r="B44" s="8" t="s">
        <v>487</v>
      </c>
      <c r="C44" s="35" t="s">
        <v>94</v>
      </c>
      <c r="D44" s="8"/>
      <c r="E44" s="196"/>
      <c r="F44" s="8"/>
      <c r="G44" s="59"/>
      <c r="H44" s="8"/>
      <c r="I44" s="8"/>
    </row>
    <row r="45" spans="1:9" x14ac:dyDescent="0.25">
      <c r="A45" s="6">
        <v>2</v>
      </c>
      <c r="B45" s="6" t="s">
        <v>160</v>
      </c>
      <c r="C45" s="1" t="s">
        <v>96</v>
      </c>
      <c r="D45" s="17">
        <v>-274867.59000000003</v>
      </c>
      <c r="E45" s="6">
        <v>970149.81</v>
      </c>
      <c r="F45" s="6">
        <v>951939.45</v>
      </c>
      <c r="G45" s="2">
        <f>E45</f>
        <v>970149.81</v>
      </c>
      <c r="H45" s="6">
        <f>D45+F45-G45</f>
        <v>-293077.95000000019</v>
      </c>
      <c r="I45" s="17">
        <f>H45</f>
        <v>-293077.95000000019</v>
      </c>
    </row>
    <row r="46" spans="1:9" x14ac:dyDescent="0.25">
      <c r="A46" s="8"/>
      <c r="B46" s="8" t="s">
        <v>487</v>
      </c>
      <c r="C46" s="35" t="s">
        <v>94</v>
      </c>
      <c r="D46" s="6" t="s">
        <v>72</v>
      </c>
      <c r="E46" s="8"/>
      <c r="F46" s="8"/>
      <c r="G46" s="9"/>
      <c r="H46" s="8"/>
      <c r="I46" s="6" t="s">
        <v>72</v>
      </c>
    </row>
    <row r="47" spans="1:9" x14ac:dyDescent="0.25">
      <c r="A47" s="8">
        <v>3</v>
      </c>
      <c r="B47" s="8" t="s">
        <v>99</v>
      </c>
      <c r="C47" s="35" t="s">
        <v>100</v>
      </c>
      <c r="D47" s="8">
        <v>-681688.3</v>
      </c>
      <c r="E47" s="8">
        <v>1856452.75</v>
      </c>
      <c r="F47" s="8">
        <v>1724432.17</v>
      </c>
      <c r="G47" s="9">
        <f>E47</f>
        <v>1856452.75</v>
      </c>
      <c r="H47" s="8">
        <f>D47+F47-G47</f>
        <v>-813708.88000000012</v>
      </c>
      <c r="I47" s="8">
        <f>H47</f>
        <v>-813708.88000000012</v>
      </c>
    </row>
    <row r="48" spans="1:9" x14ac:dyDescent="0.25">
      <c r="A48" s="1" t="s">
        <v>790</v>
      </c>
      <c r="B48" s="2"/>
      <c r="D48" s="2"/>
      <c r="E48" s="2"/>
      <c r="F48" s="2"/>
      <c r="G48" s="2"/>
      <c r="H48" s="2"/>
      <c r="I48" s="2"/>
    </row>
    <row r="49" spans="1:9" x14ac:dyDescent="0.25">
      <c r="A49" s="4" t="s">
        <v>791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47"/>
      <c r="G50" s="5" t="s">
        <v>105</v>
      </c>
      <c r="H50" s="47" t="s">
        <v>165</v>
      </c>
      <c r="I50" s="47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56"/>
      <c r="G51" s="6"/>
      <c r="H51" s="56" t="s">
        <v>85</v>
      </c>
      <c r="I51" s="56" t="s">
        <v>109</v>
      </c>
    </row>
    <row r="52" spans="1:9" x14ac:dyDescent="0.25">
      <c r="A52" s="49"/>
      <c r="B52" s="17"/>
      <c r="C52" s="50"/>
      <c r="D52" s="61"/>
      <c r="E52" s="61"/>
      <c r="F52" s="51"/>
      <c r="G52" s="6"/>
      <c r="H52" s="56"/>
      <c r="I52" s="56"/>
    </row>
    <row r="53" spans="1:9" x14ac:dyDescent="0.25">
      <c r="A53" s="62" t="s">
        <v>72</v>
      </c>
      <c r="B53" s="63"/>
      <c r="C53" s="53" t="s">
        <v>737</v>
      </c>
      <c r="D53" s="159"/>
      <c r="E53" s="159"/>
      <c r="F53" s="47"/>
      <c r="G53" s="5"/>
      <c r="H53" s="47"/>
      <c r="I53" s="47"/>
    </row>
    <row r="54" spans="1:9" x14ac:dyDescent="0.25">
      <c r="A54" s="64" t="s">
        <v>111</v>
      </c>
      <c r="B54" s="65">
        <v>43159</v>
      </c>
      <c r="C54" s="49" t="s">
        <v>659</v>
      </c>
      <c r="D54" s="43"/>
      <c r="E54" s="43"/>
      <c r="F54" s="56"/>
      <c r="G54" s="26" t="s">
        <v>172</v>
      </c>
      <c r="H54" s="56">
        <v>1</v>
      </c>
      <c r="I54" s="56">
        <v>3721.16</v>
      </c>
    </row>
    <row r="55" spans="1:9" x14ac:dyDescent="0.25">
      <c r="A55" s="64" t="s">
        <v>114</v>
      </c>
      <c r="B55" s="65">
        <v>43186</v>
      </c>
      <c r="C55" s="49" t="s">
        <v>112</v>
      </c>
      <c r="D55" s="43"/>
      <c r="E55" s="43"/>
      <c r="F55" s="56"/>
      <c r="G55" s="26" t="s">
        <v>559</v>
      </c>
      <c r="H55" s="56">
        <v>115</v>
      </c>
      <c r="I55" s="56">
        <v>23000</v>
      </c>
    </row>
    <row r="56" spans="1:9" x14ac:dyDescent="0.25">
      <c r="A56" s="64" t="s">
        <v>170</v>
      </c>
      <c r="B56" s="65">
        <v>43235</v>
      </c>
      <c r="C56" s="49" t="s">
        <v>792</v>
      </c>
      <c r="D56" s="43"/>
      <c r="E56" s="43"/>
      <c r="F56" s="56"/>
      <c r="G56" s="26" t="s">
        <v>255</v>
      </c>
      <c r="H56" s="56">
        <v>3</v>
      </c>
      <c r="I56" s="56">
        <v>6000</v>
      </c>
    </row>
    <row r="57" spans="1:9" x14ac:dyDescent="0.25">
      <c r="A57" s="64" t="s">
        <v>173</v>
      </c>
      <c r="B57" s="65">
        <v>43243</v>
      </c>
      <c r="C57" s="49" t="s">
        <v>792</v>
      </c>
      <c r="D57" s="43"/>
      <c r="E57" s="43"/>
      <c r="F57" s="56"/>
      <c r="G57" s="26" t="s">
        <v>255</v>
      </c>
      <c r="H57" s="56">
        <v>2</v>
      </c>
      <c r="I57" s="56">
        <v>4000</v>
      </c>
    </row>
    <row r="58" spans="1:9" x14ac:dyDescent="0.25">
      <c r="A58" s="64" t="s">
        <v>257</v>
      </c>
      <c r="B58" s="65">
        <v>43395</v>
      </c>
      <c r="C58" s="49" t="s">
        <v>793</v>
      </c>
      <c r="D58" s="43"/>
      <c r="E58" s="43"/>
      <c r="F58" s="56"/>
      <c r="G58" s="26" t="s">
        <v>205</v>
      </c>
      <c r="H58" s="56">
        <v>1</v>
      </c>
      <c r="I58" s="56">
        <v>5699.08</v>
      </c>
    </row>
    <row r="59" spans="1:9" x14ac:dyDescent="0.25">
      <c r="A59" s="66"/>
      <c r="B59" s="17"/>
      <c r="C59" s="14" t="s">
        <v>117</v>
      </c>
      <c r="D59" s="13"/>
      <c r="E59" s="13"/>
      <c r="F59" s="67"/>
      <c r="G59" s="16"/>
      <c r="H59" s="67"/>
      <c r="I59" s="67">
        <f>SUM(I53:I58)</f>
        <v>42420.240000000005</v>
      </c>
    </row>
    <row r="60" spans="1:9" x14ac:dyDescent="0.25">
      <c r="A60" s="2" t="s">
        <v>794</v>
      </c>
      <c r="B60" s="2"/>
      <c r="C60" s="2"/>
      <c r="D60" s="2" t="s">
        <v>795</v>
      </c>
      <c r="E60" s="2"/>
      <c r="F60" s="2"/>
      <c r="G60" s="210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43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A53" sqref="A53"/>
    </sheetView>
  </sheetViews>
  <sheetFormatPr defaultRowHeight="15" x14ac:dyDescent="0.25"/>
  <cols>
    <col min="1" max="1" width="4.85546875" style="71" customWidth="1"/>
    <col min="2" max="2" width="34.28515625" style="71" customWidth="1"/>
    <col min="3" max="3" width="12.28515625" style="71" customWidth="1"/>
    <col min="4" max="4" width="10.7109375" style="71" customWidth="1"/>
    <col min="5" max="5" width="10.42578125" style="71" customWidth="1"/>
    <col min="6" max="6" width="11.42578125" style="71" customWidth="1"/>
    <col min="7" max="7" width="9.140625" style="71"/>
    <col min="8" max="8" width="12" style="71" customWidth="1"/>
    <col min="9" max="9" width="17.42578125" style="71" customWidth="1"/>
    <col min="10" max="16384" width="9.140625" style="71"/>
  </cols>
  <sheetData>
    <row r="1" spans="1:9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72" t="s">
        <v>1</v>
      </c>
      <c r="B2" s="72"/>
      <c r="C2" s="72"/>
      <c r="D2" s="72"/>
      <c r="E2" s="72"/>
      <c r="F2" s="72"/>
      <c r="G2" s="72"/>
      <c r="H2" s="72"/>
      <c r="I2" s="167"/>
    </row>
    <row r="3" spans="1:9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 t="s">
        <v>4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2" t="s">
        <v>225</v>
      </c>
      <c r="B6" s="72"/>
      <c r="C6" s="72"/>
      <c r="D6" s="72"/>
      <c r="E6" s="73"/>
      <c r="F6" s="73"/>
      <c r="G6" s="73"/>
      <c r="H6" s="73"/>
      <c r="I6" s="73"/>
    </row>
    <row r="7" spans="1:9" x14ac:dyDescent="0.25">
      <c r="A7" s="73" t="s">
        <v>226</v>
      </c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3" t="s">
        <v>227</v>
      </c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3" t="s">
        <v>228</v>
      </c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2" t="s">
        <v>9</v>
      </c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2" t="s">
        <v>10</v>
      </c>
      <c r="B11" s="73"/>
      <c r="C11" s="73"/>
      <c r="D11" s="73"/>
      <c r="E11" s="73"/>
      <c r="F11" s="73"/>
      <c r="G11" s="73"/>
      <c r="H11" s="73"/>
      <c r="I11" s="73"/>
    </row>
    <row r="12" spans="1:9" x14ac:dyDescent="0.25">
      <c r="A12" s="74" t="s">
        <v>11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75" t="s">
        <v>12</v>
      </c>
      <c r="B13" s="75" t="s">
        <v>13</v>
      </c>
      <c r="C13" s="75" t="s">
        <v>14</v>
      </c>
      <c r="D13" s="75" t="s">
        <v>15</v>
      </c>
      <c r="E13" s="75" t="s">
        <v>16</v>
      </c>
      <c r="F13" s="75" t="s">
        <v>17</v>
      </c>
      <c r="G13" s="75" t="s">
        <v>18</v>
      </c>
      <c r="H13" s="75" t="s">
        <v>15</v>
      </c>
      <c r="I13" s="75" t="s">
        <v>19</v>
      </c>
    </row>
    <row r="14" spans="1:9" x14ac:dyDescent="0.25">
      <c r="A14" s="76" t="s">
        <v>20</v>
      </c>
      <c r="B14" s="76"/>
      <c r="C14" s="76" t="s">
        <v>214</v>
      </c>
      <c r="D14" s="76" t="s">
        <v>22</v>
      </c>
      <c r="E14" s="76" t="s">
        <v>23</v>
      </c>
      <c r="F14" s="76" t="s">
        <v>23</v>
      </c>
      <c r="G14" s="76" t="s">
        <v>24</v>
      </c>
      <c r="H14" s="76" t="s">
        <v>25</v>
      </c>
      <c r="I14" s="76" t="s">
        <v>229</v>
      </c>
    </row>
    <row r="15" spans="1:9" x14ac:dyDescent="0.25">
      <c r="A15" s="76"/>
      <c r="B15" s="76"/>
      <c r="C15" s="76" t="s">
        <v>27</v>
      </c>
      <c r="D15" s="76" t="s">
        <v>230</v>
      </c>
      <c r="E15" s="76"/>
      <c r="F15" s="76"/>
      <c r="G15" s="76" t="s">
        <v>29</v>
      </c>
      <c r="H15" s="76" t="s">
        <v>30</v>
      </c>
      <c r="I15" s="76" t="s">
        <v>31</v>
      </c>
    </row>
    <row r="16" spans="1:9" x14ac:dyDescent="0.25">
      <c r="A16" s="76"/>
      <c r="B16" s="76"/>
      <c r="C16" s="76" t="s">
        <v>32</v>
      </c>
      <c r="D16" s="76" t="s">
        <v>33</v>
      </c>
      <c r="E16" s="76" t="s">
        <v>33</v>
      </c>
      <c r="F16" s="76" t="s">
        <v>33</v>
      </c>
      <c r="G16" s="76" t="s">
        <v>33</v>
      </c>
      <c r="H16" s="76" t="s">
        <v>33</v>
      </c>
      <c r="I16" s="76" t="s">
        <v>154</v>
      </c>
    </row>
    <row r="17" spans="1:9" x14ac:dyDescent="0.25">
      <c r="A17" s="77">
        <v>1</v>
      </c>
      <c r="B17" s="78">
        <v>2</v>
      </c>
      <c r="C17" s="97">
        <v>3</v>
      </c>
      <c r="D17" s="78">
        <v>4</v>
      </c>
      <c r="E17" s="97">
        <v>5</v>
      </c>
      <c r="F17" s="78">
        <v>6</v>
      </c>
      <c r="G17" s="97">
        <v>7</v>
      </c>
      <c r="H17" s="78">
        <v>8</v>
      </c>
      <c r="I17" s="75">
        <v>9</v>
      </c>
    </row>
    <row r="18" spans="1:9" x14ac:dyDescent="0.25">
      <c r="A18" s="129">
        <v>1</v>
      </c>
      <c r="B18" s="114" t="s">
        <v>186</v>
      </c>
      <c r="C18" s="139" t="s">
        <v>72</v>
      </c>
      <c r="D18" s="129"/>
      <c r="E18" s="140" t="s">
        <v>72</v>
      </c>
      <c r="F18" s="114" t="s">
        <v>72</v>
      </c>
      <c r="G18" s="129"/>
      <c r="H18" s="129" t="s">
        <v>72</v>
      </c>
      <c r="I18" s="140" t="s">
        <v>72</v>
      </c>
    </row>
    <row r="19" spans="1:9" x14ac:dyDescent="0.25">
      <c r="A19" s="105"/>
      <c r="B19" s="103" t="s">
        <v>187</v>
      </c>
      <c r="C19" s="111">
        <v>8.5500000000000007</v>
      </c>
      <c r="D19" s="110">
        <v>-7947.7</v>
      </c>
      <c r="E19" s="99">
        <v>86246.16</v>
      </c>
      <c r="F19" s="99">
        <v>85066.81</v>
      </c>
      <c r="G19" s="110">
        <f t="shared" ref="G19:G25" si="0">E19</f>
        <v>86246.16</v>
      </c>
      <c r="H19" s="110">
        <f>D19+F19-G19</f>
        <v>-9127.0500000000029</v>
      </c>
      <c r="I19" s="99">
        <f>H19</f>
        <v>-9127.0500000000029</v>
      </c>
    </row>
    <row r="20" spans="1:9" x14ac:dyDescent="0.25">
      <c r="A20" s="168" t="s">
        <v>138</v>
      </c>
      <c r="B20" s="107" t="s">
        <v>37</v>
      </c>
      <c r="C20" s="137">
        <v>3.08</v>
      </c>
      <c r="D20" s="150"/>
      <c r="E20" s="169">
        <f>E19*36%</f>
        <v>31048.617600000001</v>
      </c>
      <c r="F20" s="169">
        <f>F19*36%</f>
        <v>30624.051599999999</v>
      </c>
      <c r="G20" s="137">
        <f t="shared" si="0"/>
        <v>31048.617600000001</v>
      </c>
      <c r="H20" s="131"/>
      <c r="I20" s="147"/>
    </row>
    <row r="21" spans="1:9" x14ac:dyDescent="0.25">
      <c r="A21" s="170" t="s">
        <v>38</v>
      </c>
      <c r="B21" s="114" t="s">
        <v>39</v>
      </c>
      <c r="C21" s="141">
        <v>1.51</v>
      </c>
      <c r="D21" s="142"/>
      <c r="E21" s="140">
        <f>E19*0.177</f>
        <v>15265.570320000001</v>
      </c>
      <c r="F21" s="140">
        <f>F19*17.7%</f>
        <v>15056.825369999999</v>
      </c>
      <c r="G21" s="142">
        <f t="shared" si="0"/>
        <v>15265.570320000001</v>
      </c>
      <c r="H21" s="93"/>
      <c r="I21" s="92"/>
    </row>
    <row r="22" spans="1:9" x14ac:dyDescent="0.25">
      <c r="A22" s="170" t="s">
        <v>40</v>
      </c>
      <c r="B22" s="114" t="s">
        <v>41</v>
      </c>
      <c r="C22" s="141">
        <v>1.36</v>
      </c>
      <c r="D22" s="142"/>
      <c r="E22" s="140">
        <f xml:space="preserve"> E19*16%</f>
        <v>13799.385600000001</v>
      </c>
      <c r="F22" s="140">
        <f>F19*16%</f>
        <v>13610.6896</v>
      </c>
      <c r="G22" s="141">
        <f t="shared" si="0"/>
        <v>13799.385600000001</v>
      </c>
      <c r="H22" s="93"/>
      <c r="I22" s="92"/>
    </row>
    <row r="23" spans="1:9" x14ac:dyDescent="0.25">
      <c r="A23" s="170" t="s">
        <v>42</v>
      </c>
      <c r="B23" s="114" t="s">
        <v>43</v>
      </c>
      <c r="C23" s="141">
        <v>2.6</v>
      </c>
      <c r="D23" s="142"/>
      <c r="E23" s="140">
        <f>E19*30.3%</f>
        <v>26132.586480000002</v>
      </c>
      <c r="F23" s="140">
        <f>F19*30.3%</f>
        <v>25775.243429999999</v>
      </c>
      <c r="G23" s="142">
        <f t="shared" si="0"/>
        <v>26132.586480000002</v>
      </c>
      <c r="H23" s="93"/>
      <c r="I23" s="87"/>
    </row>
    <row r="24" spans="1:9" x14ac:dyDescent="0.25">
      <c r="A24" s="91" t="s">
        <v>44</v>
      </c>
      <c r="B24" s="75" t="s">
        <v>47</v>
      </c>
      <c r="C24" s="141" t="s">
        <v>48</v>
      </c>
      <c r="D24" s="93">
        <v>-679.43</v>
      </c>
      <c r="E24" s="78">
        <v>5982.36</v>
      </c>
      <c r="F24" s="75">
        <v>6044.86</v>
      </c>
      <c r="G24" s="79">
        <f t="shared" si="0"/>
        <v>5982.36</v>
      </c>
      <c r="H24" s="92">
        <f>D24-E24+F24</f>
        <v>-616.93000000000029</v>
      </c>
      <c r="I24" s="78">
        <f>H24</f>
        <v>-616.93000000000029</v>
      </c>
    </row>
    <row r="25" spans="1:9" x14ac:dyDescent="0.25">
      <c r="A25" s="81" t="s">
        <v>49</v>
      </c>
      <c r="B25" s="81" t="s">
        <v>50</v>
      </c>
      <c r="C25" s="81">
        <v>4.5999999999999996</v>
      </c>
      <c r="D25" s="80">
        <v>-3189.11</v>
      </c>
      <c r="E25" s="81">
        <v>46401.120000000003</v>
      </c>
      <c r="F25" s="81">
        <v>46250.04</v>
      </c>
      <c r="G25" s="104">
        <f t="shared" si="0"/>
        <v>46401.120000000003</v>
      </c>
      <c r="H25" s="80">
        <f>D25+F25-G25</f>
        <v>-3340.1900000000023</v>
      </c>
      <c r="I25" s="169">
        <f>H25</f>
        <v>-3340.1900000000023</v>
      </c>
    </row>
    <row r="26" spans="1:9" x14ac:dyDescent="0.25">
      <c r="A26" s="114" t="s">
        <v>51</v>
      </c>
      <c r="B26" s="114" t="s">
        <v>219</v>
      </c>
      <c r="C26" s="114"/>
      <c r="D26" s="142"/>
      <c r="E26" s="140"/>
      <c r="F26" s="140"/>
      <c r="G26" s="140"/>
      <c r="H26" s="142"/>
      <c r="I26" s="140"/>
    </row>
    <row r="27" spans="1:9" x14ac:dyDescent="0.25">
      <c r="A27" s="103"/>
      <c r="B27" s="103" t="s">
        <v>231</v>
      </c>
      <c r="C27" s="103">
        <v>1.65</v>
      </c>
      <c r="D27" s="105">
        <v>15489.79</v>
      </c>
      <c r="E27" s="103">
        <v>16644.48</v>
      </c>
      <c r="F27" s="103">
        <f>F28+F29</f>
        <v>17583.13</v>
      </c>
      <c r="G27" s="103">
        <f>I52</f>
        <v>52599</v>
      </c>
      <c r="H27" s="105">
        <f>D27+F27-G27</f>
        <v>-19526.080000000002</v>
      </c>
      <c r="I27" s="99">
        <f>H27</f>
        <v>-19526.080000000002</v>
      </c>
    </row>
    <row r="28" spans="1:9" x14ac:dyDescent="0.25">
      <c r="A28" s="103"/>
      <c r="B28" s="78" t="s">
        <v>232</v>
      </c>
      <c r="C28" s="101"/>
      <c r="D28" s="105"/>
      <c r="E28" s="103"/>
      <c r="F28" s="103">
        <v>16607.89</v>
      </c>
      <c r="G28" s="103"/>
      <c r="H28" s="105"/>
      <c r="I28" s="99"/>
    </row>
    <row r="29" spans="1:9" x14ac:dyDescent="0.25">
      <c r="A29" s="81"/>
      <c r="B29" s="78" t="s">
        <v>233</v>
      </c>
      <c r="C29" s="101"/>
      <c r="D29" s="105"/>
      <c r="E29" s="103"/>
      <c r="F29" s="103">
        <v>975.24</v>
      </c>
      <c r="G29" s="103"/>
      <c r="H29" s="105"/>
      <c r="I29" s="99"/>
    </row>
    <row r="30" spans="1:9" x14ac:dyDescent="0.25">
      <c r="A30" s="72" t="s">
        <v>59</v>
      </c>
      <c r="B30" s="73"/>
      <c r="C30" s="73"/>
      <c r="E30" s="73"/>
      <c r="F30" s="73"/>
      <c r="G30" s="73"/>
      <c r="H30" s="73"/>
      <c r="I30" s="73"/>
    </row>
    <row r="31" spans="1:9" x14ac:dyDescent="0.25">
      <c r="A31" s="72"/>
      <c r="B31" s="73"/>
      <c r="C31" s="73"/>
      <c r="E31" s="73"/>
      <c r="F31" s="73"/>
      <c r="G31" s="73"/>
      <c r="H31" s="73"/>
      <c r="I31" s="73"/>
    </row>
    <row r="32" spans="1:9" x14ac:dyDescent="0.25">
      <c r="A32" s="74" t="s">
        <v>70</v>
      </c>
    </row>
    <row r="33" spans="1:9" x14ac:dyDescent="0.25">
      <c r="A33" s="72" t="s">
        <v>71</v>
      </c>
      <c r="B33" s="74"/>
      <c r="C33" s="74"/>
      <c r="D33" s="152"/>
      <c r="E33" s="74"/>
      <c r="F33" s="74"/>
      <c r="G33" s="74"/>
      <c r="H33" s="74"/>
      <c r="I33" s="74"/>
    </row>
    <row r="34" spans="1:9" x14ac:dyDescent="0.25">
      <c r="A34" s="75" t="s">
        <v>72</v>
      </c>
      <c r="B34" s="139" t="s">
        <v>73</v>
      </c>
      <c r="C34" s="75" t="s">
        <v>74</v>
      </c>
      <c r="D34" s="79" t="s">
        <v>75</v>
      </c>
      <c r="E34" s="75" t="s">
        <v>76</v>
      </c>
      <c r="F34" s="79" t="s">
        <v>77</v>
      </c>
      <c r="G34" s="115" t="s">
        <v>78</v>
      </c>
      <c r="H34" s="92" t="s">
        <v>15</v>
      </c>
      <c r="I34" s="116" t="s">
        <v>19</v>
      </c>
    </row>
    <row r="35" spans="1:9" x14ac:dyDescent="0.25">
      <c r="A35" s="76"/>
      <c r="B35" s="74" t="s">
        <v>80</v>
      </c>
      <c r="C35" s="76" t="s">
        <v>81</v>
      </c>
      <c r="D35" s="117" t="s">
        <v>82</v>
      </c>
      <c r="E35" s="76" t="s">
        <v>83</v>
      </c>
      <c r="F35" s="117" t="s">
        <v>84</v>
      </c>
      <c r="G35" s="118" t="s">
        <v>85</v>
      </c>
      <c r="H35" s="147" t="s">
        <v>25</v>
      </c>
      <c r="I35" s="119" t="s">
        <v>87</v>
      </c>
    </row>
    <row r="36" spans="1:9" x14ac:dyDescent="0.25">
      <c r="A36" s="76"/>
      <c r="B36" s="117"/>
      <c r="C36" s="76"/>
      <c r="D36" s="117"/>
      <c r="E36" s="76"/>
      <c r="F36" s="117" t="s">
        <v>88</v>
      </c>
      <c r="G36" s="118" t="s">
        <v>89</v>
      </c>
      <c r="H36" s="147" t="s">
        <v>30</v>
      </c>
      <c r="I36" s="119" t="s">
        <v>221</v>
      </c>
    </row>
    <row r="37" spans="1:9" x14ac:dyDescent="0.25">
      <c r="A37" s="85"/>
      <c r="B37" s="86"/>
      <c r="C37" s="85"/>
      <c r="D37" s="86"/>
      <c r="E37" s="85"/>
      <c r="F37" s="86"/>
      <c r="G37" s="120"/>
      <c r="H37" s="88"/>
      <c r="I37" s="122"/>
    </row>
    <row r="38" spans="1:9" x14ac:dyDescent="0.25">
      <c r="A38" s="75"/>
      <c r="B38" s="75"/>
      <c r="C38" s="139"/>
      <c r="D38" s="75"/>
      <c r="E38" s="79"/>
      <c r="F38" s="75"/>
      <c r="G38" s="79"/>
      <c r="H38" s="75"/>
      <c r="I38" s="116"/>
    </row>
    <row r="39" spans="1:9" x14ac:dyDescent="0.25">
      <c r="A39" s="78">
        <v>1</v>
      </c>
      <c r="B39" s="78" t="s">
        <v>91</v>
      </c>
      <c r="C39" s="104" t="s">
        <v>92</v>
      </c>
      <c r="D39" s="78">
        <v>-10140.73</v>
      </c>
      <c r="E39" s="155">
        <v>91552.77</v>
      </c>
      <c r="F39" s="78">
        <v>89670.88</v>
      </c>
      <c r="G39" s="155">
        <f>E39</f>
        <v>91552.77</v>
      </c>
      <c r="H39" s="78">
        <f>D39+F39-G39</f>
        <v>-12022.619999999995</v>
      </c>
      <c r="I39" s="78">
        <f>H39</f>
        <v>-12022.619999999995</v>
      </c>
    </row>
    <row r="40" spans="1:9" x14ac:dyDescent="0.25">
      <c r="A40" s="78"/>
      <c r="B40" s="97" t="s">
        <v>93</v>
      </c>
      <c r="C40" s="80" t="s">
        <v>94</v>
      </c>
      <c r="D40" s="77"/>
      <c r="E40" s="78"/>
      <c r="F40" s="97"/>
      <c r="G40" s="78"/>
      <c r="H40" s="123"/>
      <c r="I40" s="123"/>
    </row>
    <row r="41" spans="1:9" x14ac:dyDescent="0.25">
      <c r="A41" s="73"/>
      <c r="B41" s="73" t="s">
        <v>72</v>
      </c>
      <c r="C41" s="73"/>
      <c r="D41" s="73"/>
      <c r="E41" s="73"/>
      <c r="F41" s="73" t="s">
        <v>72</v>
      </c>
      <c r="G41" s="73"/>
      <c r="H41" s="73"/>
      <c r="I41" s="73"/>
    </row>
    <row r="42" spans="1:9" x14ac:dyDescent="0.25">
      <c r="A42" s="72" t="s">
        <v>222</v>
      </c>
      <c r="B42" s="73"/>
      <c r="C42" s="73"/>
      <c r="D42" s="73"/>
      <c r="E42" s="73"/>
      <c r="F42" s="73"/>
      <c r="G42" s="73"/>
      <c r="H42" s="73"/>
      <c r="I42" s="73"/>
    </row>
    <row r="43" spans="1:9" x14ac:dyDescent="0.25">
      <c r="A43" s="74" t="s">
        <v>223</v>
      </c>
      <c r="B43" s="73"/>
      <c r="C43" s="73"/>
      <c r="D43" s="73"/>
      <c r="E43" s="73"/>
      <c r="F43" s="73"/>
      <c r="G43" s="73"/>
      <c r="H43" s="73"/>
      <c r="I43" s="73"/>
    </row>
    <row r="44" spans="1:9" x14ac:dyDescent="0.25">
      <c r="A44" s="115" t="s">
        <v>12</v>
      </c>
      <c r="B44" s="75" t="s">
        <v>103</v>
      </c>
      <c r="C44" s="115" t="s">
        <v>104</v>
      </c>
      <c r="D44" s="79"/>
      <c r="E44" s="79"/>
      <c r="F44" s="79"/>
      <c r="G44" s="75" t="s">
        <v>234</v>
      </c>
      <c r="H44" s="116" t="s">
        <v>165</v>
      </c>
      <c r="I44" s="116" t="s">
        <v>107</v>
      </c>
    </row>
    <row r="45" spans="1:9" x14ac:dyDescent="0.25">
      <c r="A45" s="118" t="s">
        <v>108</v>
      </c>
      <c r="B45" s="76"/>
      <c r="C45" s="118"/>
      <c r="D45" s="117"/>
      <c r="E45" s="117"/>
      <c r="F45" s="117"/>
      <c r="G45" s="76"/>
      <c r="H45" s="119" t="s">
        <v>85</v>
      </c>
      <c r="I45" s="119" t="s">
        <v>109</v>
      </c>
    </row>
    <row r="46" spans="1:9" x14ac:dyDescent="0.25">
      <c r="A46" s="118"/>
      <c r="B46" s="76"/>
      <c r="C46" s="118"/>
      <c r="D46" s="117"/>
      <c r="E46" s="117"/>
      <c r="F46" s="117"/>
      <c r="G46" s="76"/>
      <c r="H46" s="119"/>
      <c r="I46" s="119"/>
    </row>
    <row r="47" spans="1:9" x14ac:dyDescent="0.25">
      <c r="A47" s="118"/>
      <c r="B47" s="85"/>
      <c r="C47" s="120"/>
      <c r="D47" s="86"/>
      <c r="E47" s="86"/>
      <c r="F47" s="86"/>
      <c r="G47" s="85"/>
      <c r="H47" s="122"/>
      <c r="I47" s="119"/>
    </row>
    <row r="48" spans="1:9" x14ac:dyDescent="0.25">
      <c r="A48" s="128"/>
      <c r="B48" s="114"/>
      <c r="C48" s="108" t="s">
        <v>235</v>
      </c>
      <c r="D48" s="74"/>
      <c r="E48" s="74"/>
      <c r="F48" s="117"/>
      <c r="G48" s="76"/>
      <c r="H48" s="119"/>
      <c r="I48" s="116"/>
    </row>
    <row r="49" spans="1:9" x14ac:dyDescent="0.25">
      <c r="A49" s="130" t="s">
        <v>111</v>
      </c>
      <c r="B49" s="156">
        <v>43312</v>
      </c>
      <c r="C49" s="118" t="s">
        <v>236</v>
      </c>
      <c r="D49" s="117"/>
      <c r="E49" s="117"/>
      <c r="F49" s="117"/>
      <c r="G49" s="147" t="s">
        <v>205</v>
      </c>
      <c r="H49" s="119">
        <v>1</v>
      </c>
      <c r="I49" s="119">
        <v>42199</v>
      </c>
    </row>
    <row r="50" spans="1:9" x14ac:dyDescent="0.25">
      <c r="A50" s="130" t="s">
        <v>114</v>
      </c>
      <c r="B50" s="156">
        <v>43404</v>
      </c>
      <c r="C50" s="118" t="s">
        <v>237</v>
      </c>
      <c r="D50" s="117"/>
      <c r="E50" s="117"/>
      <c r="F50" s="117"/>
      <c r="G50" s="147" t="s">
        <v>116</v>
      </c>
      <c r="H50" s="119">
        <v>52</v>
      </c>
      <c r="I50" s="119">
        <v>10400</v>
      </c>
    </row>
    <row r="51" spans="1:9" x14ac:dyDescent="0.25">
      <c r="A51" s="130"/>
      <c r="B51" s="156"/>
      <c r="C51" s="118"/>
      <c r="D51" s="117"/>
      <c r="E51" s="117"/>
      <c r="F51" s="117"/>
      <c r="G51" s="147"/>
      <c r="H51" s="119"/>
      <c r="I51" s="119"/>
    </row>
    <row r="52" spans="1:9" x14ac:dyDescent="0.25">
      <c r="A52" s="84"/>
      <c r="B52" s="85"/>
      <c r="C52" s="105" t="s">
        <v>117</v>
      </c>
      <c r="D52" s="101"/>
      <c r="E52" s="101"/>
      <c r="F52" s="101"/>
      <c r="G52" s="99"/>
      <c r="H52" s="134"/>
      <c r="I52" s="134">
        <f>SUM(I48:I51)</f>
        <v>52599</v>
      </c>
    </row>
    <row r="53" spans="1:9" x14ac:dyDescent="0.25">
      <c r="A53" s="135"/>
      <c r="B53" s="117"/>
      <c r="C53" s="74"/>
      <c r="D53" s="74"/>
      <c r="E53" s="74"/>
      <c r="F53" s="74"/>
      <c r="G53" s="137"/>
      <c r="H53" s="74"/>
      <c r="I53" s="74"/>
    </row>
    <row r="54" spans="1:9" x14ac:dyDescent="0.25">
      <c r="A54" s="73" t="s">
        <v>224</v>
      </c>
      <c r="B54" s="73"/>
      <c r="C54" s="73" t="s">
        <v>72</v>
      </c>
      <c r="D54" s="73" t="s">
        <v>119</v>
      </c>
      <c r="E54" s="73"/>
      <c r="F54" s="73" t="s">
        <v>120</v>
      </c>
      <c r="G54" s="73" t="s">
        <v>72</v>
      </c>
      <c r="H54" s="73" t="s">
        <v>238</v>
      </c>
    </row>
    <row r="55" spans="1:9" x14ac:dyDescent="0.25">
      <c r="A55" s="73"/>
      <c r="B55" s="73"/>
      <c r="G55" s="171"/>
    </row>
  </sheetData>
  <pageMargins left="0.7" right="0.7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3" workbookViewId="0">
      <selection activeCell="G34" sqref="G34"/>
    </sheetView>
  </sheetViews>
  <sheetFormatPr defaultRowHeight="15" x14ac:dyDescent="0.25"/>
  <cols>
    <col min="1" max="1" width="5.7109375" customWidth="1"/>
    <col min="2" max="2" width="29.85546875" customWidth="1"/>
    <col min="3" max="3" width="12.5703125" customWidth="1"/>
    <col min="4" max="4" width="11" customWidth="1"/>
    <col min="8" max="8" width="12.5703125" customWidth="1"/>
    <col min="9" max="9" width="18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796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797</v>
      </c>
      <c r="B7" s="2"/>
      <c r="C7" s="2"/>
      <c r="D7" s="2"/>
      <c r="E7" s="1"/>
      <c r="F7" s="1"/>
      <c r="G7" s="2"/>
      <c r="H7" s="2"/>
      <c r="I7" s="2"/>
    </row>
    <row r="8" spans="1:9" x14ac:dyDescent="0.25">
      <c r="A8" s="2" t="s">
        <v>798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799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54">
        <v>7</v>
      </c>
      <c r="H18" s="8">
        <v>8</v>
      </c>
      <c r="I18" s="5">
        <v>9</v>
      </c>
    </row>
    <row r="19" spans="1:9" x14ac:dyDescent="0.25">
      <c r="A19" s="159">
        <v>1</v>
      </c>
      <c r="B19" s="63" t="s">
        <v>186</v>
      </c>
      <c r="C19" s="63"/>
      <c r="D19" s="63"/>
      <c r="E19" s="203" t="s">
        <v>72</v>
      </c>
      <c r="F19" s="53" t="s">
        <v>72</v>
      </c>
      <c r="G19" s="160" t="str">
        <f>E19</f>
        <v xml:space="preserve"> </v>
      </c>
      <c r="H19" s="195" t="s">
        <v>72</v>
      </c>
      <c r="I19" s="160" t="s">
        <v>72</v>
      </c>
    </row>
    <row r="20" spans="1:9" x14ac:dyDescent="0.25">
      <c r="A20" s="13"/>
      <c r="B20" s="11" t="s">
        <v>187</v>
      </c>
      <c r="C20" s="11">
        <v>8.5500000000000007</v>
      </c>
      <c r="D20" s="16">
        <v>-35994.58</v>
      </c>
      <c r="E20" s="13">
        <v>58084.2</v>
      </c>
      <c r="F20" s="14">
        <v>58046.57</v>
      </c>
      <c r="G20" s="16">
        <f>E20</f>
        <v>58084.2</v>
      </c>
      <c r="H20" s="12">
        <f>D20+F20-G20</f>
        <v>-36032.21</v>
      </c>
      <c r="I20" s="16">
        <f>H20</f>
        <v>-36032.21</v>
      </c>
    </row>
    <row r="21" spans="1:9" x14ac:dyDescent="0.25">
      <c r="A21" s="6" t="s">
        <v>36</v>
      </c>
      <c r="B21" s="6" t="s">
        <v>217</v>
      </c>
      <c r="C21" s="6"/>
      <c r="D21" s="23"/>
      <c r="E21" s="19"/>
      <c r="F21" s="44"/>
      <c r="G21" s="33"/>
      <c r="H21" s="23"/>
      <c r="I21" s="33"/>
    </row>
    <row r="22" spans="1:9" x14ac:dyDescent="0.25">
      <c r="A22" s="17"/>
      <c r="B22" s="17" t="s">
        <v>218</v>
      </c>
      <c r="C22" s="17">
        <v>3.08</v>
      </c>
      <c r="D22" s="18"/>
      <c r="E22" s="162">
        <f>E20*36%</f>
        <v>20910.311999999998</v>
      </c>
      <c r="F22" s="20">
        <f>F20*36%</f>
        <v>20896.765199999998</v>
      </c>
      <c r="G22" s="21">
        <f t="shared" ref="G22:G27" si="0">E22</f>
        <v>20910.311999999998</v>
      </c>
      <c r="H22" s="18"/>
      <c r="I22" s="21"/>
    </row>
    <row r="23" spans="1:9" x14ac:dyDescent="0.25">
      <c r="A23" s="22" t="s">
        <v>38</v>
      </c>
      <c r="B23" s="5" t="s">
        <v>39</v>
      </c>
      <c r="C23" s="5">
        <v>1.51</v>
      </c>
      <c r="D23" s="23"/>
      <c r="E23" s="24">
        <f>E20*17.7%</f>
        <v>10280.903399999999</v>
      </c>
      <c r="F23" s="25">
        <f>F20*17.7%</f>
        <v>10274.24289</v>
      </c>
      <c r="G23" s="26">
        <f t="shared" si="0"/>
        <v>10280.903399999999</v>
      </c>
      <c r="H23" s="23"/>
      <c r="I23" s="33"/>
    </row>
    <row r="24" spans="1:9" x14ac:dyDescent="0.25">
      <c r="A24" s="22" t="s">
        <v>40</v>
      </c>
      <c r="B24" s="5" t="s">
        <v>41</v>
      </c>
      <c r="C24" s="5">
        <v>1.36</v>
      </c>
      <c r="D24" s="27"/>
      <c r="E24" s="24">
        <f>E20*16%</f>
        <v>9293.4719999999998</v>
      </c>
      <c r="F24" s="25">
        <f>F20*16%</f>
        <v>9287.4511999999995</v>
      </c>
      <c r="G24" s="30">
        <f t="shared" si="0"/>
        <v>9293.4719999999998</v>
      </c>
      <c r="H24" s="27"/>
      <c r="I24" s="33"/>
    </row>
    <row r="25" spans="1:9" x14ac:dyDescent="0.25">
      <c r="A25" s="22" t="s">
        <v>42</v>
      </c>
      <c r="B25" s="5" t="s">
        <v>43</v>
      </c>
      <c r="C25" s="5">
        <v>2.6</v>
      </c>
      <c r="D25" s="32"/>
      <c r="E25" s="24">
        <f>E20*30.3%</f>
        <v>17599.512599999998</v>
      </c>
      <c r="F25" s="25">
        <f>F20*30.3%</f>
        <v>17588.110710000001</v>
      </c>
      <c r="G25" s="26">
        <f t="shared" si="0"/>
        <v>17599.512599999998</v>
      </c>
      <c r="H25" s="32"/>
      <c r="I25" s="33"/>
    </row>
    <row r="26" spans="1:9" x14ac:dyDescent="0.25">
      <c r="A26" s="22" t="s">
        <v>44</v>
      </c>
      <c r="B26" s="5" t="s">
        <v>276</v>
      </c>
      <c r="C26" s="5" t="s">
        <v>48</v>
      </c>
      <c r="D26" s="30">
        <v>-2278.3000000000002</v>
      </c>
      <c r="E26" s="28">
        <v>11603.22</v>
      </c>
      <c r="F26" s="29">
        <v>10378.030000000001</v>
      </c>
      <c r="G26" s="30">
        <f t="shared" si="0"/>
        <v>11603.22</v>
      </c>
      <c r="H26" s="27">
        <f>D26-E26+F26</f>
        <v>-3503.49</v>
      </c>
      <c r="I26" s="160">
        <f>H26</f>
        <v>-3503.49</v>
      </c>
    </row>
    <row r="27" spans="1:9" x14ac:dyDescent="0.25">
      <c r="A27" s="10" t="s">
        <v>49</v>
      </c>
      <c r="B27" s="10" t="s">
        <v>50</v>
      </c>
      <c r="C27" s="10">
        <v>4.5999999999999996</v>
      </c>
      <c r="D27" s="38">
        <v>-3592.5</v>
      </c>
      <c r="E27" s="42">
        <v>31249.8</v>
      </c>
      <c r="F27" s="36">
        <v>30538.76</v>
      </c>
      <c r="G27" s="38">
        <f t="shared" si="0"/>
        <v>31249.8</v>
      </c>
      <c r="H27" s="290">
        <f>D27+F27-G27</f>
        <v>-4303.5400000000009</v>
      </c>
      <c r="I27" s="38">
        <f>H27</f>
        <v>-4303.5400000000009</v>
      </c>
    </row>
    <row r="28" spans="1:9" x14ac:dyDescent="0.25">
      <c r="A28" s="63" t="s">
        <v>51</v>
      </c>
      <c r="B28" s="63" t="s">
        <v>800</v>
      </c>
      <c r="C28" s="11">
        <v>1.65</v>
      </c>
      <c r="D28" s="38">
        <v>34972.54</v>
      </c>
      <c r="E28" s="11">
        <v>11209.44</v>
      </c>
      <c r="F28" s="11">
        <f>F29+F30</f>
        <v>15202.670000000002</v>
      </c>
      <c r="G28" s="11">
        <f>I54</f>
        <v>11428.23</v>
      </c>
      <c r="H28" s="16">
        <f>D28+F28-G28</f>
        <v>38746.98000000001</v>
      </c>
      <c r="I28" s="16"/>
    </row>
    <row r="29" spans="1:9" x14ac:dyDescent="0.25">
      <c r="A29" s="63"/>
      <c r="B29" s="8" t="s">
        <v>53</v>
      </c>
      <c r="C29" s="67"/>
      <c r="D29" s="15"/>
      <c r="E29" s="11"/>
      <c r="F29" s="11">
        <v>11707.54</v>
      </c>
      <c r="G29" s="14"/>
      <c r="H29" s="16"/>
      <c r="I29" s="16"/>
    </row>
    <row r="30" spans="1:9" x14ac:dyDescent="0.25">
      <c r="A30" s="63"/>
      <c r="B30" s="8" t="s">
        <v>367</v>
      </c>
      <c r="C30" s="67"/>
      <c r="D30" s="15"/>
      <c r="E30" s="11"/>
      <c r="F30" s="11">
        <v>3495.13</v>
      </c>
      <c r="G30" s="14"/>
      <c r="H30" s="16"/>
      <c r="I30" s="16"/>
    </row>
    <row r="31" spans="1:9" x14ac:dyDescent="0.25">
      <c r="A31" s="10" t="s">
        <v>56</v>
      </c>
      <c r="B31" s="10" t="s">
        <v>311</v>
      </c>
      <c r="C31" s="67">
        <v>0</v>
      </c>
      <c r="D31" s="15">
        <v>3495.13</v>
      </c>
      <c r="E31" s="11">
        <v>0</v>
      </c>
      <c r="F31" s="11">
        <v>-3495.13</v>
      </c>
      <c r="G31" s="14">
        <v>0</v>
      </c>
      <c r="H31" s="16">
        <f>D31+F31-G31</f>
        <v>0</v>
      </c>
      <c r="I31" s="38"/>
    </row>
    <row r="32" spans="1:9" x14ac:dyDescent="0.25">
      <c r="A32" s="8"/>
      <c r="B32" s="8" t="s">
        <v>58</v>
      </c>
      <c r="C32" s="9" t="s">
        <v>72</v>
      </c>
      <c r="D32" s="20"/>
      <c r="E32" s="8">
        <v>0</v>
      </c>
      <c r="F32" s="8">
        <v>3495.13</v>
      </c>
      <c r="G32" s="7">
        <v>0</v>
      </c>
      <c r="H32" s="21"/>
      <c r="I32" s="30"/>
    </row>
    <row r="33" spans="1:9" x14ac:dyDescent="0.25">
      <c r="A33" s="43"/>
      <c r="B33" s="43"/>
      <c r="C33" s="43"/>
      <c r="D33" s="43"/>
      <c r="E33" s="43"/>
      <c r="F33" s="43"/>
      <c r="G33" s="43"/>
      <c r="H33" s="19"/>
      <c r="I33" s="19"/>
    </row>
    <row r="34" spans="1:9" x14ac:dyDescent="0.25">
      <c r="A34" s="1" t="s">
        <v>59</v>
      </c>
      <c r="B34" s="2"/>
      <c r="C34" s="2"/>
      <c r="E34" s="2"/>
      <c r="F34" s="2"/>
      <c r="G34" s="2"/>
      <c r="H34" s="2"/>
      <c r="I34" s="2"/>
    </row>
    <row r="35" spans="1:9" x14ac:dyDescent="0.25">
      <c r="A35" s="43"/>
      <c r="B35" s="43"/>
      <c r="C35" s="43"/>
      <c r="D35" s="166"/>
      <c r="E35" s="19"/>
      <c r="F35" s="19"/>
      <c r="G35" s="19"/>
      <c r="H35" s="19"/>
      <c r="I35" s="43"/>
    </row>
    <row r="36" spans="1:9" x14ac:dyDescent="0.25">
      <c r="A36" s="4" t="s">
        <v>70</v>
      </c>
      <c r="B36" s="4"/>
      <c r="C36" s="4"/>
      <c r="D36" s="52"/>
      <c r="E36" s="4"/>
      <c r="F36" s="4"/>
      <c r="G36" s="4"/>
      <c r="H36" s="4"/>
      <c r="I36" s="4"/>
    </row>
    <row r="37" spans="1:9" x14ac:dyDescent="0.25">
      <c r="A37" s="1" t="s">
        <v>71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78</v>
      </c>
      <c r="H38" s="54" t="s">
        <v>79</v>
      </c>
      <c r="I38" s="5" t="s">
        <v>801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43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 t="s">
        <v>89</v>
      </c>
      <c r="H40" s="43"/>
      <c r="I40" s="6" t="s">
        <v>221</v>
      </c>
    </row>
    <row r="41" spans="1:9" x14ac:dyDescent="0.25">
      <c r="A41" s="17"/>
      <c r="B41" s="17"/>
      <c r="C41" s="13"/>
      <c r="D41" s="17"/>
      <c r="E41" s="61"/>
      <c r="F41" s="50"/>
      <c r="G41" s="6"/>
      <c r="H41" s="6"/>
      <c r="I41" s="51"/>
    </row>
    <row r="42" spans="1:9" x14ac:dyDescent="0.25">
      <c r="A42" s="8">
        <v>1</v>
      </c>
      <c r="B42" s="8" t="s">
        <v>91</v>
      </c>
      <c r="C42" s="36" t="s">
        <v>92</v>
      </c>
      <c r="D42" s="8">
        <v>-10145.030000000001</v>
      </c>
      <c r="E42" s="196">
        <v>56165.7</v>
      </c>
      <c r="F42" s="7">
        <v>54828.72</v>
      </c>
      <c r="G42" s="8">
        <f>E42</f>
        <v>56165.7</v>
      </c>
      <c r="H42" s="8">
        <f>D42+F42-G42</f>
        <v>-11482.009999999995</v>
      </c>
      <c r="I42" s="8">
        <f>H42</f>
        <v>-11482.009999999995</v>
      </c>
    </row>
    <row r="43" spans="1:9" x14ac:dyDescent="0.25">
      <c r="A43" s="8"/>
      <c r="B43" s="8" t="s">
        <v>93</v>
      </c>
      <c r="C43" s="35" t="s">
        <v>94</v>
      </c>
      <c r="D43" s="17"/>
      <c r="E43" s="59"/>
      <c r="F43" s="7"/>
      <c r="G43" s="17"/>
      <c r="H43" s="17"/>
      <c r="I43" s="56"/>
    </row>
    <row r="44" spans="1:9" x14ac:dyDescent="0.25">
      <c r="A44" s="8">
        <v>2</v>
      </c>
      <c r="B44" s="8" t="s">
        <v>99</v>
      </c>
      <c r="C44" s="35" t="s">
        <v>100</v>
      </c>
      <c r="D44" s="17">
        <v>-186137.97</v>
      </c>
      <c r="E44" s="9">
        <v>204642.74</v>
      </c>
      <c r="F44" s="7">
        <v>197240.94</v>
      </c>
      <c r="G44" s="17">
        <f>E44</f>
        <v>204642.74</v>
      </c>
      <c r="H44" s="17">
        <f>D44+F44-G44</f>
        <v>-193539.77</v>
      </c>
      <c r="I44" s="48">
        <f>H44</f>
        <v>-193539.77</v>
      </c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1" t="s">
        <v>101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" t="s">
        <v>102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6" t="s">
        <v>12</v>
      </c>
      <c r="B48" s="5" t="s">
        <v>103</v>
      </c>
      <c r="C48" s="46" t="s">
        <v>104</v>
      </c>
      <c r="D48" s="54"/>
      <c r="E48" s="54"/>
      <c r="F48" s="54"/>
      <c r="G48" s="5" t="s">
        <v>105</v>
      </c>
      <c r="H48" s="47" t="s">
        <v>106</v>
      </c>
      <c r="I48" s="47" t="s">
        <v>107</v>
      </c>
    </row>
    <row r="49" spans="1:9" x14ac:dyDescent="0.25">
      <c r="A49" s="49" t="s">
        <v>108</v>
      </c>
      <c r="B49" s="6" t="s">
        <v>72</v>
      </c>
      <c r="C49" s="49"/>
      <c r="D49" s="43"/>
      <c r="E49" s="43"/>
      <c r="F49" s="43"/>
      <c r="G49" s="6"/>
      <c r="H49" s="56"/>
      <c r="I49" s="56" t="s">
        <v>109</v>
      </c>
    </row>
    <row r="50" spans="1:9" x14ac:dyDescent="0.25">
      <c r="A50" s="49"/>
      <c r="B50" s="17"/>
      <c r="C50" s="50"/>
      <c r="D50" s="61"/>
      <c r="E50" s="61"/>
      <c r="F50" s="61"/>
      <c r="G50" s="17"/>
      <c r="H50" s="51"/>
      <c r="I50" s="56"/>
    </row>
    <row r="51" spans="1:9" x14ac:dyDescent="0.25">
      <c r="A51" s="62" t="s">
        <v>72</v>
      </c>
      <c r="B51" s="63"/>
      <c r="C51" s="55" t="s">
        <v>110</v>
      </c>
      <c r="D51" s="4"/>
      <c r="E51" s="4"/>
      <c r="F51" s="43"/>
      <c r="G51" s="6"/>
      <c r="H51" s="56"/>
      <c r="I51" s="47"/>
    </row>
    <row r="52" spans="1:9" x14ac:dyDescent="0.25">
      <c r="A52" s="64" t="s">
        <v>111</v>
      </c>
      <c r="B52" s="65">
        <v>43371</v>
      </c>
      <c r="C52" s="49" t="s">
        <v>802</v>
      </c>
      <c r="D52" s="43"/>
      <c r="E52" s="43"/>
      <c r="F52" s="43"/>
      <c r="G52" s="26" t="s">
        <v>116</v>
      </c>
      <c r="H52" s="56">
        <v>7.2</v>
      </c>
      <c r="I52" s="56">
        <v>11428.23</v>
      </c>
    </row>
    <row r="53" spans="1:9" x14ac:dyDescent="0.25">
      <c r="A53" s="64"/>
      <c r="B53" s="65"/>
      <c r="C53" s="49"/>
      <c r="D53" s="43"/>
      <c r="E53" s="43"/>
      <c r="F53" s="43"/>
      <c r="G53" s="26"/>
      <c r="H53" s="56"/>
      <c r="I53" s="56"/>
    </row>
    <row r="54" spans="1:9" x14ac:dyDescent="0.25">
      <c r="A54" s="66"/>
      <c r="B54" s="17"/>
      <c r="C54" s="14" t="s">
        <v>117</v>
      </c>
      <c r="D54" s="61"/>
      <c r="E54" s="61"/>
      <c r="F54" s="13"/>
      <c r="G54" s="16"/>
      <c r="H54" s="67"/>
      <c r="I54" s="67">
        <f>SUM(I51:I53)</f>
        <v>11428.23</v>
      </c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2"/>
      <c r="B56" s="2"/>
      <c r="C56" s="2" t="s">
        <v>72</v>
      </c>
      <c r="E56" s="2"/>
      <c r="F56" s="2"/>
      <c r="G56" s="2"/>
      <c r="H56" s="2"/>
    </row>
    <row r="57" spans="1:9" x14ac:dyDescent="0.25">
      <c r="A57" s="2" t="s">
        <v>224</v>
      </c>
      <c r="B57" s="2"/>
      <c r="C57" s="2"/>
      <c r="D57" s="2" t="s">
        <v>119</v>
      </c>
      <c r="E57" s="2"/>
      <c r="F57" s="2" t="s">
        <v>120</v>
      </c>
      <c r="H57" s="2" t="s">
        <v>121</v>
      </c>
      <c r="I57" s="2" t="s">
        <v>122</v>
      </c>
    </row>
    <row r="59" spans="1:9" x14ac:dyDescent="0.25">
      <c r="A59" s="166"/>
      <c r="B59" s="166"/>
      <c r="C59" s="166"/>
      <c r="D59" s="166"/>
      <c r="E59" s="166"/>
      <c r="F59" s="166"/>
      <c r="G59" s="166"/>
      <c r="H59" s="166"/>
      <c r="I59" s="166"/>
    </row>
  </sheetData>
  <pageMargins left="0.7" right="0.7" top="0.75" bottom="0.75" header="0.3" footer="0.3"/>
  <pageSetup paperSize="9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6" workbookViewId="0">
      <selection activeCell="C28" sqref="C28"/>
    </sheetView>
  </sheetViews>
  <sheetFormatPr defaultRowHeight="15" x14ac:dyDescent="0.25"/>
  <cols>
    <col min="1" max="1" width="4.42578125" customWidth="1"/>
    <col min="2" max="2" width="38.7109375" customWidth="1"/>
    <col min="3" max="3" width="13.28515625" customWidth="1"/>
    <col min="5" max="5" width="10.5703125" customWidth="1"/>
    <col min="6" max="6" width="11.42578125" customWidth="1"/>
    <col min="7" max="7" width="11.28515625" customWidth="1"/>
    <col min="8" max="8" width="12.85546875" customWidth="1"/>
    <col min="9" max="9" width="19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1" t="s">
        <v>803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804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805</v>
      </c>
      <c r="B4" s="1"/>
      <c r="C4" s="1"/>
      <c r="D4" s="1"/>
      <c r="E4" s="1"/>
      <c r="F4" s="1"/>
      <c r="G4" s="1"/>
      <c r="H4" s="1"/>
    </row>
    <row r="5" spans="1:9" x14ac:dyDescent="0.25">
      <c r="A5" s="1" t="s">
        <v>806</v>
      </c>
      <c r="B5" s="2"/>
      <c r="C5" s="2"/>
      <c r="D5" s="2"/>
      <c r="E5" s="1"/>
      <c r="F5" s="2"/>
      <c r="G5" s="2"/>
      <c r="H5" s="2"/>
    </row>
    <row r="6" spans="1:9" x14ac:dyDescent="0.25">
      <c r="A6" s="1" t="s">
        <v>807</v>
      </c>
      <c r="B6" s="2"/>
      <c r="C6" s="2"/>
      <c r="D6" s="2"/>
      <c r="E6" s="1"/>
      <c r="F6" s="2"/>
      <c r="G6" s="2"/>
      <c r="H6" s="2"/>
    </row>
    <row r="7" spans="1:9" x14ac:dyDescent="0.25">
      <c r="A7" s="2" t="s">
        <v>808</v>
      </c>
      <c r="B7" s="2"/>
      <c r="C7" s="2"/>
      <c r="D7" s="2"/>
      <c r="E7" s="2"/>
      <c r="F7" s="2"/>
      <c r="G7" s="2"/>
      <c r="H7" s="2"/>
    </row>
    <row r="8" spans="1:9" x14ac:dyDescent="0.25">
      <c r="A8" s="2" t="s">
        <v>809</v>
      </c>
      <c r="B8" s="2"/>
      <c r="C8" s="2"/>
      <c r="D8" s="2"/>
      <c r="E8" s="2"/>
      <c r="F8" s="2"/>
      <c r="G8" s="2"/>
      <c r="H8" s="2"/>
    </row>
    <row r="9" spans="1:9" x14ac:dyDescent="0.25">
      <c r="A9" s="2" t="s">
        <v>810</v>
      </c>
      <c r="B9" s="2"/>
      <c r="C9" s="2"/>
      <c r="D9" s="2"/>
      <c r="E9" s="2"/>
      <c r="F9" s="2"/>
      <c r="G9" s="2"/>
      <c r="H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46">
        <v>1</v>
      </c>
      <c r="B17" s="5">
        <v>2</v>
      </c>
      <c r="C17" s="54">
        <v>3</v>
      </c>
      <c r="D17" s="5">
        <v>4</v>
      </c>
      <c r="E17" s="54">
        <v>5</v>
      </c>
      <c r="F17" s="5">
        <v>6</v>
      </c>
      <c r="G17" s="54">
        <v>7</v>
      </c>
      <c r="H17" s="5">
        <v>8</v>
      </c>
      <c r="I17" s="5">
        <v>9</v>
      </c>
    </row>
    <row r="18" spans="1:9" x14ac:dyDescent="0.25">
      <c r="A18" s="36">
        <v>1</v>
      </c>
      <c r="B18" s="10" t="s">
        <v>35</v>
      </c>
      <c r="C18" s="10">
        <v>8.5500000000000007</v>
      </c>
      <c r="D18" s="38">
        <v>-10640.66</v>
      </c>
      <c r="E18" s="35">
        <v>246641.52</v>
      </c>
      <c r="F18" s="36">
        <v>244366.5</v>
      </c>
      <c r="G18" s="38">
        <f t="shared" ref="G18:G24" si="0">E18</f>
        <v>246641.52</v>
      </c>
      <c r="H18" s="34">
        <f>D18+F18-G18</f>
        <v>-12915.679999999993</v>
      </c>
      <c r="I18" s="38">
        <f>H18</f>
        <v>-12915.679999999993</v>
      </c>
    </row>
    <row r="19" spans="1:9" x14ac:dyDescent="0.25">
      <c r="A19" s="6" t="s">
        <v>36</v>
      </c>
      <c r="B19" s="17" t="s">
        <v>37</v>
      </c>
      <c r="C19" s="17">
        <v>3.08</v>
      </c>
      <c r="D19" s="21"/>
      <c r="E19" s="162">
        <f>E18*36%</f>
        <v>88790.947199999995</v>
      </c>
      <c r="F19" s="20">
        <f>F18*36%</f>
        <v>87971.94</v>
      </c>
      <c r="G19" s="21">
        <f t="shared" si="0"/>
        <v>88790.947199999995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33"/>
      <c r="E20" s="28">
        <f>E18*17.7%</f>
        <v>43655.549039999998</v>
      </c>
      <c r="F20" s="29">
        <f>F18*17.7%</f>
        <v>43252.870499999997</v>
      </c>
      <c r="G20" s="30">
        <f t="shared" si="0"/>
        <v>43655.549039999998</v>
      </c>
      <c r="H20" s="27"/>
      <c r="I20" s="33"/>
    </row>
    <row r="21" spans="1:9" x14ac:dyDescent="0.25">
      <c r="A21" s="22" t="s">
        <v>40</v>
      </c>
      <c r="B21" s="5" t="s">
        <v>41</v>
      </c>
      <c r="C21" s="33">
        <v>1.36</v>
      </c>
      <c r="D21" s="33"/>
      <c r="E21" s="26">
        <f>E18*16%</f>
        <v>39462.643199999999</v>
      </c>
      <c r="F21" s="44">
        <f>F18*16%</f>
        <v>39098.639999999999</v>
      </c>
      <c r="G21" s="30">
        <f t="shared" si="0"/>
        <v>39462.643199999999</v>
      </c>
      <c r="H21" s="19"/>
      <c r="I21" s="33"/>
    </row>
    <row r="22" spans="1:9" x14ac:dyDescent="0.25">
      <c r="A22" s="22" t="s">
        <v>42</v>
      </c>
      <c r="B22" s="5" t="s">
        <v>43</v>
      </c>
      <c r="C22" s="5">
        <v>2.6</v>
      </c>
      <c r="D22" s="33"/>
      <c r="E22" s="24">
        <f>E18*30.3%</f>
        <v>74732.380559999991</v>
      </c>
      <c r="F22" s="25">
        <f>F18*30.3%</f>
        <v>74043.049499999994</v>
      </c>
      <c r="G22" s="30">
        <f t="shared" si="0"/>
        <v>74732.380559999991</v>
      </c>
      <c r="H22" s="23"/>
      <c r="I22" s="33"/>
    </row>
    <row r="23" spans="1:9" x14ac:dyDescent="0.25">
      <c r="A23" s="22" t="s">
        <v>44</v>
      </c>
      <c r="B23" s="5" t="s">
        <v>47</v>
      </c>
      <c r="C23" s="63" t="s">
        <v>48</v>
      </c>
      <c r="D23" s="5">
        <v>-5605.6</v>
      </c>
      <c r="E23" s="54">
        <v>35663.1</v>
      </c>
      <c r="F23" s="46">
        <v>33551.71</v>
      </c>
      <c r="G23" s="5">
        <f>E23</f>
        <v>35663.1</v>
      </c>
      <c r="H23" s="63">
        <f>D23+F23-G23</f>
        <v>-7716.989999999998</v>
      </c>
      <c r="I23" s="63">
        <f>H23</f>
        <v>-7716.989999999998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-24550.58</v>
      </c>
      <c r="E24" s="10">
        <v>132695.28</v>
      </c>
      <c r="F24" s="36">
        <v>130651.32</v>
      </c>
      <c r="G24" s="38">
        <f t="shared" si="0"/>
        <v>132695.28</v>
      </c>
      <c r="H24" s="290">
        <f>D24+F24-G24</f>
        <v>-26594.539999999994</v>
      </c>
      <c r="I24" s="38">
        <f>H24</f>
        <v>-26594.539999999994</v>
      </c>
    </row>
    <row r="25" spans="1:9" x14ac:dyDescent="0.25">
      <c r="A25" s="63" t="s">
        <v>51</v>
      </c>
      <c r="B25" s="11" t="s">
        <v>192</v>
      </c>
      <c r="C25" s="11">
        <v>1.65</v>
      </c>
      <c r="D25" s="38">
        <v>49349.48</v>
      </c>
      <c r="E25" s="16">
        <v>47598.6</v>
      </c>
      <c r="F25" s="16">
        <f>F26+F27+F28</f>
        <v>52325.440000000002</v>
      </c>
      <c r="G25" s="39">
        <f>I62</f>
        <v>63272.42</v>
      </c>
      <c r="H25" s="40">
        <f>D25+F25-G25</f>
        <v>38402.500000000015</v>
      </c>
      <c r="I25" s="38" t="s">
        <v>72</v>
      </c>
    </row>
    <row r="26" spans="1:9" x14ac:dyDescent="0.25">
      <c r="A26" s="10"/>
      <c r="B26" s="8" t="s">
        <v>53</v>
      </c>
      <c r="C26" s="10"/>
      <c r="D26" s="38"/>
      <c r="E26" s="11"/>
      <c r="F26" s="11">
        <v>48491.51</v>
      </c>
      <c r="G26" s="193"/>
      <c r="H26" s="37"/>
      <c r="I26" s="38"/>
    </row>
    <row r="27" spans="1:9" x14ac:dyDescent="0.25">
      <c r="A27" s="10"/>
      <c r="B27" s="8" t="s">
        <v>54</v>
      </c>
      <c r="C27" s="10"/>
      <c r="D27" s="38"/>
      <c r="E27" s="38"/>
      <c r="F27" s="38">
        <v>3561.36</v>
      </c>
      <c r="G27" s="193"/>
      <c r="H27" s="37"/>
      <c r="I27" s="38"/>
    </row>
    <row r="28" spans="1:9" x14ac:dyDescent="0.25">
      <c r="A28" s="10"/>
      <c r="B28" s="7" t="s">
        <v>367</v>
      </c>
      <c r="C28" s="10"/>
      <c r="D28" s="38"/>
      <c r="E28" s="193"/>
      <c r="F28" s="38">
        <v>272.57</v>
      </c>
      <c r="G28" s="193"/>
      <c r="H28" s="37"/>
      <c r="I28" s="38"/>
    </row>
    <row r="29" spans="1:9" x14ac:dyDescent="0.25">
      <c r="A29" s="10" t="s">
        <v>56</v>
      </c>
      <c r="B29" s="10" t="s">
        <v>144</v>
      </c>
      <c r="C29" s="35"/>
      <c r="D29" s="38"/>
      <c r="E29" s="35"/>
      <c r="F29" s="10"/>
      <c r="G29" s="36"/>
      <c r="H29" s="38"/>
      <c r="I29" s="38"/>
    </row>
    <row r="30" spans="1:9" x14ac:dyDescent="0.25">
      <c r="A30" s="11"/>
      <c r="B30" s="11" t="s">
        <v>811</v>
      </c>
      <c r="C30" s="67">
        <v>0</v>
      </c>
      <c r="D30" s="16">
        <v>28.69</v>
      </c>
      <c r="E30" s="11">
        <v>0</v>
      </c>
      <c r="F30" s="11">
        <v>-272.57</v>
      </c>
      <c r="G30" s="14">
        <v>0</v>
      </c>
      <c r="H30" s="16">
        <v>0</v>
      </c>
      <c r="I30" s="16"/>
    </row>
    <row r="31" spans="1:9" x14ac:dyDescent="0.25">
      <c r="A31" s="8"/>
      <c r="B31" s="8" t="s">
        <v>53</v>
      </c>
      <c r="C31" s="8">
        <v>0</v>
      </c>
      <c r="D31" s="30"/>
      <c r="E31" s="8">
        <v>0</v>
      </c>
      <c r="F31" s="8">
        <v>243.88</v>
      </c>
      <c r="G31" s="7">
        <v>0</v>
      </c>
      <c r="H31" s="21"/>
      <c r="I31" s="30"/>
    </row>
    <row r="32" spans="1:9" x14ac:dyDescent="0.25">
      <c r="A32" s="7"/>
      <c r="B32" s="7" t="s">
        <v>58</v>
      </c>
      <c r="C32" s="7"/>
      <c r="D32" s="29"/>
      <c r="E32" s="8"/>
      <c r="F32" s="48">
        <v>243.88</v>
      </c>
      <c r="G32" s="48"/>
      <c r="H32" s="27"/>
      <c r="I32" s="27"/>
    </row>
    <row r="33" spans="1:9" x14ac:dyDescent="0.25">
      <c r="A33" s="1" t="s">
        <v>59</v>
      </c>
      <c r="B33" s="43"/>
      <c r="C33" s="43"/>
      <c r="D33" s="43"/>
      <c r="E33" s="43"/>
      <c r="F33" s="43"/>
      <c r="G33" s="43"/>
      <c r="H33" s="19"/>
      <c r="I33" s="19"/>
    </row>
    <row r="34" spans="1:9" x14ac:dyDescent="0.25">
      <c r="A34" s="53" t="s">
        <v>60</v>
      </c>
      <c r="B34" s="46" t="s">
        <v>61</v>
      </c>
      <c r="C34" s="5" t="s">
        <v>65</v>
      </c>
      <c r="D34" s="5" t="s">
        <v>63</v>
      </c>
      <c r="E34" s="5" t="s">
        <v>812</v>
      </c>
      <c r="F34" s="5" t="s">
        <v>65</v>
      </c>
      <c r="G34" s="5"/>
      <c r="H34" s="46" t="s">
        <v>195</v>
      </c>
      <c r="I34" s="47"/>
    </row>
    <row r="35" spans="1:9" x14ac:dyDescent="0.25">
      <c r="A35" s="55"/>
      <c r="B35" s="49"/>
      <c r="C35" s="17" t="s">
        <v>67</v>
      </c>
      <c r="D35" s="17" t="s">
        <v>23</v>
      </c>
      <c r="E35" s="17" t="s">
        <v>813</v>
      </c>
      <c r="F35" s="17" t="s">
        <v>30</v>
      </c>
      <c r="G35" s="17"/>
      <c r="H35" s="50"/>
      <c r="I35" s="51"/>
    </row>
    <row r="36" spans="1:9" x14ac:dyDescent="0.25">
      <c r="A36" s="50"/>
      <c r="B36" s="50" t="s">
        <v>69</v>
      </c>
      <c r="C36" s="17">
        <v>13505.55</v>
      </c>
      <c r="D36" s="17">
        <v>6000</v>
      </c>
      <c r="E36" s="21">
        <f>D36*15%</f>
        <v>900</v>
      </c>
      <c r="F36" s="21">
        <f>C36+(D36-E36)</f>
        <v>18605.55</v>
      </c>
      <c r="G36" s="21"/>
      <c r="H36" s="29">
        <f>F36-G36</f>
        <v>18605.55</v>
      </c>
      <c r="I36" s="48"/>
    </row>
    <row r="37" spans="1:9" x14ac:dyDescent="0.25">
      <c r="A37" s="4" t="s">
        <v>70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1" t="s">
        <v>71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72</v>
      </c>
      <c r="B39" s="53" t="s">
        <v>73</v>
      </c>
      <c r="C39" s="5" t="s">
        <v>74</v>
      </c>
      <c r="D39" s="46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9" t="s">
        <v>82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49"/>
      <c r="C41" s="6"/>
      <c r="D41" s="50"/>
      <c r="E41" s="17"/>
      <c r="F41" s="61" t="s">
        <v>88</v>
      </c>
      <c r="G41" s="17" t="s">
        <v>89</v>
      </c>
      <c r="H41" s="61"/>
      <c r="I41" s="17" t="s">
        <v>221</v>
      </c>
    </row>
    <row r="42" spans="1:9" x14ac:dyDescent="0.25">
      <c r="A42" s="8">
        <v>1</v>
      </c>
      <c r="B42" s="8" t="s">
        <v>91</v>
      </c>
      <c r="C42" s="10" t="s">
        <v>92</v>
      </c>
      <c r="D42" s="6">
        <v>-119125.98</v>
      </c>
      <c r="E42" s="231">
        <v>374124.86</v>
      </c>
      <c r="F42" s="50">
        <v>359605.81</v>
      </c>
      <c r="G42" s="17">
        <f>E42</f>
        <v>374124.86</v>
      </c>
      <c r="H42" s="17">
        <f>D42+F42-G42</f>
        <v>-133645.02999999997</v>
      </c>
      <c r="I42" s="6">
        <f>H42</f>
        <v>-133645.02999999997</v>
      </c>
    </row>
    <row r="43" spans="1:9" x14ac:dyDescent="0.25">
      <c r="A43" s="8"/>
      <c r="B43" s="8" t="s">
        <v>93</v>
      </c>
      <c r="C43" s="35" t="s">
        <v>94</v>
      </c>
      <c r="D43" s="8"/>
      <c r="E43" s="59"/>
      <c r="F43" s="7"/>
      <c r="G43" s="17"/>
      <c r="H43" s="17"/>
      <c r="I43" s="8"/>
    </row>
    <row r="44" spans="1:9" x14ac:dyDescent="0.25">
      <c r="A44" s="8">
        <v>2</v>
      </c>
      <c r="B44" s="8" t="s">
        <v>99</v>
      </c>
      <c r="C44" s="35" t="s">
        <v>100</v>
      </c>
      <c r="D44" s="8">
        <v>-383187.71</v>
      </c>
      <c r="E44" s="9">
        <v>868968.84</v>
      </c>
      <c r="F44" s="7">
        <v>823986.21</v>
      </c>
      <c r="G44" s="17">
        <f>E44</f>
        <v>868968.84</v>
      </c>
      <c r="H44" s="17">
        <f>D44+F44-G44</f>
        <v>-428170.34</v>
      </c>
      <c r="I44" s="8">
        <f>H44</f>
        <v>-428170.34</v>
      </c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1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46" t="s">
        <v>103</v>
      </c>
      <c r="C49" s="46" t="s">
        <v>814</v>
      </c>
      <c r="D49" s="54"/>
      <c r="E49" s="54"/>
      <c r="F49" s="54"/>
      <c r="G49" s="46"/>
      <c r="H49" s="5" t="s">
        <v>106</v>
      </c>
      <c r="I49" s="47" t="s">
        <v>107</v>
      </c>
    </row>
    <row r="50" spans="1:9" x14ac:dyDescent="0.25">
      <c r="A50" s="49" t="s">
        <v>108</v>
      </c>
      <c r="B50" s="49"/>
      <c r="C50" s="49"/>
      <c r="D50" s="43"/>
      <c r="E50" s="43"/>
      <c r="F50" s="43"/>
      <c r="G50" s="49" t="s">
        <v>105</v>
      </c>
      <c r="H50" s="6"/>
      <c r="I50" s="56" t="s">
        <v>109</v>
      </c>
    </row>
    <row r="51" spans="1:9" x14ac:dyDescent="0.25">
      <c r="A51" s="49"/>
      <c r="B51" s="50"/>
      <c r="C51" s="50"/>
      <c r="D51" s="61"/>
      <c r="E51" s="61"/>
      <c r="F51" s="61"/>
      <c r="G51" s="50"/>
      <c r="H51" s="17"/>
      <c r="I51" s="56"/>
    </row>
    <row r="52" spans="1:9" x14ac:dyDescent="0.25">
      <c r="A52" s="62"/>
      <c r="B52" s="63"/>
      <c r="C52" s="159" t="s">
        <v>110</v>
      </c>
      <c r="D52" s="159"/>
      <c r="E52" s="159"/>
      <c r="F52" s="54"/>
      <c r="G52" s="46"/>
      <c r="H52" s="5"/>
      <c r="I52" s="5"/>
    </row>
    <row r="53" spans="1:9" x14ac:dyDescent="0.25">
      <c r="A53" s="64"/>
      <c r="B53" s="6"/>
      <c r="C53" s="43"/>
      <c r="D53" s="43"/>
      <c r="E53" s="43"/>
      <c r="F53" s="43" t="s">
        <v>72</v>
      </c>
      <c r="G53" s="44"/>
      <c r="H53" s="6" t="s">
        <v>72</v>
      </c>
      <c r="I53" s="6" t="s">
        <v>72</v>
      </c>
    </row>
    <row r="54" spans="1:9" x14ac:dyDescent="0.25">
      <c r="A54" s="64" t="s">
        <v>111</v>
      </c>
      <c r="B54" s="65">
        <v>43110</v>
      </c>
      <c r="C54" s="43" t="s">
        <v>815</v>
      </c>
      <c r="D54" s="43"/>
      <c r="E54" s="43"/>
      <c r="F54" s="43"/>
      <c r="G54" s="44" t="s">
        <v>205</v>
      </c>
      <c r="H54" s="6">
        <v>1</v>
      </c>
      <c r="I54" s="6">
        <v>9477.7099999999991</v>
      </c>
    </row>
    <row r="55" spans="1:9" x14ac:dyDescent="0.25">
      <c r="A55" s="64" t="s">
        <v>114</v>
      </c>
      <c r="B55" s="65">
        <v>43189</v>
      </c>
      <c r="C55" s="292" t="s">
        <v>816</v>
      </c>
      <c r="D55" s="43"/>
      <c r="E55" s="43"/>
      <c r="F55" s="43"/>
      <c r="G55" s="44" t="s">
        <v>255</v>
      </c>
      <c r="H55" s="6">
        <v>1</v>
      </c>
      <c r="I55" s="6">
        <v>1200</v>
      </c>
    </row>
    <row r="56" spans="1:9" x14ac:dyDescent="0.25">
      <c r="A56" s="64" t="s">
        <v>170</v>
      </c>
      <c r="B56" s="65">
        <v>43186</v>
      </c>
      <c r="C56" s="43" t="s">
        <v>112</v>
      </c>
      <c r="D56" s="43"/>
      <c r="E56" s="43"/>
      <c r="F56" s="43"/>
      <c r="G56" s="44" t="s">
        <v>113</v>
      </c>
      <c r="H56" s="6">
        <v>63</v>
      </c>
      <c r="I56" s="6">
        <v>12000</v>
      </c>
    </row>
    <row r="57" spans="1:9" x14ac:dyDescent="0.25">
      <c r="A57" s="64" t="s">
        <v>173</v>
      </c>
      <c r="B57" s="65">
        <v>43277</v>
      </c>
      <c r="C57" s="43" t="s">
        <v>817</v>
      </c>
      <c r="D57" s="43"/>
      <c r="E57" s="43"/>
      <c r="F57" s="43"/>
      <c r="G57" s="44" t="s">
        <v>205</v>
      </c>
      <c r="H57" s="6">
        <v>1</v>
      </c>
      <c r="I57" s="6">
        <v>16317</v>
      </c>
    </row>
    <row r="58" spans="1:9" x14ac:dyDescent="0.25">
      <c r="A58" s="64" t="s">
        <v>257</v>
      </c>
      <c r="B58" s="65">
        <v>43404</v>
      </c>
      <c r="C58" s="43" t="s">
        <v>112</v>
      </c>
      <c r="D58" s="43"/>
      <c r="E58" s="43"/>
      <c r="F58" s="43"/>
      <c r="G58" s="44" t="s">
        <v>116</v>
      </c>
      <c r="H58" s="6">
        <v>60</v>
      </c>
      <c r="I58" s="6">
        <v>12000</v>
      </c>
    </row>
    <row r="59" spans="1:9" x14ac:dyDescent="0.25">
      <c r="A59" s="64" t="s">
        <v>406</v>
      </c>
      <c r="B59" s="65">
        <v>43453</v>
      </c>
      <c r="C59" s="43" t="s">
        <v>818</v>
      </c>
      <c r="D59" s="43"/>
      <c r="E59" s="43"/>
      <c r="F59" s="43"/>
      <c r="G59" s="44" t="s">
        <v>255</v>
      </c>
      <c r="H59" s="6">
        <v>2</v>
      </c>
      <c r="I59" s="6">
        <v>2800</v>
      </c>
    </row>
    <row r="60" spans="1:9" x14ac:dyDescent="0.25">
      <c r="A60" s="64" t="s">
        <v>408</v>
      </c>
      <c r="B60" s="65">
        <v>43453</v>
      </c>
      <c r="C60" s="43" t="s">
        <v>815</v>
      </c>
      <c r="D60" s="43"/>
      <c r="E60" s="43"/>
      <c r="F60" s="43"/>
      <c r="G60" s="44" t="s">
        <v>205</v>
      </c>
      <c r="H60" s="6">
        <v>1</v>
      </c>
      <c r="I60" s="6">
        <v>9477.7099999999991</v>
      </c>
    </row>
    <row r="61" spans="1:9" x14ac:dyDescent="0.25">
      <c r="A61" s="64"/>
      <c r="B61" s="65"/>
      <c r="C61" s="43"/>
      <c r="D61" s="43"/>
      <c r="E61" s="43"/>
      <c r="F61" s="43"/>
      <c r="G61" s="44"/>
      <c r="H61" s="6"/>
      <c r="I61" s="6"/>
    </row>
    <row r="62" spans="1:9" x14ac:dyDescent="0.25">
      <c r="A62" s="66"/>
      <c r="B62" s="17"/>
      <c r="C62" s="13" t="s">
        <v>117</v>
      </c>
      <c r="D62" s="13"/>
      <c r="E62" s="13"/>
      <c r="F62" s="13"/>
      <c r="G62" s="20"/>
      <c r="H62" s="11"/>
      <c r="I62" s="11">
        <f>SUM(I54:I61)</f>
        <v>63272.42</v>
      </c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2" t="s">
        <v>819</v>
      </c>
      <c r="B64" s="2"/>
      <c r="C64" s="2" t="s">
        <v>207</v>
      </c>
      <c r="E64" s="2" t="s">
        <v>119</v>
      </c>
      <c r="F64" s="2"/>
      <c r="G64" s="2" t="s">
        <v>120</v>
      </c>
      <c r="H64" s="2" t="s">
        <v>820</v>
      </c>
      <c r="I64" s="2" t="s">
        <v>281</v>
      </c>
    </row>
  </sheetData>
  <pageMargins left="0.7" right="0.7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4" workbookViewId="0">
      <selection activeCell="C65" sqref="C65"/>
    </sheetView>
  </sheetViews>
  <sheetFormatPr defaultRowHeight="15" x14ac:dyDescent="0.25"/>
  <cols>
    <col min="1" max="1" width="5.85546875" customWidth="1"/>
    <col min="2" max="2" width="37.7109375" customWidth="1"/>
    <col min="3" max="3" width="12.42578125" customWidth="1"/>
    <col min="8" max="8" width="12.42578125" customWidth="1"/>
    <col min="9" max="9" width="18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821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822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823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185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130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5">
        <v>9</v>
      </c>
    </row>
    <row r="19" spans="1:9" x14ac:dyDescent="0.25">
      <c r="A19" s="14">
        <v>1</v>
      </c>
      <c r="B19" s="11" t="s">
        <v>824</v>
      </c>
      <c r="C19" s="161">
        <v>8.5500000000000007</v>
      </c>
      <c r="D19" s="15">
        <v>-11304.43</v>
      </c>
      <c r="E19" s="16">
        <v>57733.440000000002</v>
      </c>
      <c r="F19" s="16">
        <v>55489.75</v>
      </c>
      <c r="G19" s="15">
        <f>E19</f>
        <v>57733.440000000002</v>
      </c>
      <c r="H19" s="15">
        <f>D19+F19-G19</f>
        <v>-13548.120000000003</v>
      </c>
      <c r="I19" s="38">
        <f>H19</f>
        <v>-13548.120000000003</v>
      </c>
    </row>
    <row r="20" spans="1:9" x14ac:dyDescent="0.25">
      <c r="A20" s="6" t="s">
        <v>36</v>
      </c>
      <c r="B20" s="6" t="s">
        <v>217</v>
      </c>
      <c r="C20" s="19"/>
      <c r="D20" s="44"/>
      <c r="E20" s="26"/>
      <c r="F20" s="26"/>
      <c r="G20" s="19"/>
      <c r="H20" s="44"/>
      <c r="I20" s="26"/>
    </row>
    <row r="21" spans="1:9" x14ac:dyDescent="0.25">
      <c r="A21" s="17"/>
      <c r="B21" s="17" t="s">
        <v>218</v>
      </c>
      <c r="C21" s="162">
        <v>3.08</v>
      </c>
      <c r="D21" s="44"/>
      <c r="E21" s="21">
        <f>E19*36%</f>
        <v>20784.038400000001</v>
      </c>
      <c r="F21" s="21">
        <f>F19*36%</f>
        <v>19976.309999999998</v>
      </c>
      <c r="G21" s="19">
        <f>E21</f>
        <v>20784.038400000001</v>
      </c>
      <c r="H21" s="44"/>
      <c r="I21" s="26"/>
    </row>
    <row r="22" spans="1:9" x14ac:dyDescent="0.25">
      <c r="A22" s="22" t="s">
        <v>38</v>
      </c>
      <c r="B22" s="5" t="s">
        <v>188</v>
      </c>
      <c r="C22" s="24">
        <v>1.51</v>
      </c>
      <c r="D22" s="25"/>
      <c r="E22" s="33">
        <f>E19*17.7%</f>
        <v>10218.818880000001</v>
      </c>
      <c r="F22" s="33">
        <f>F19*17.7%</f>
        <v>9821.6857499999987</v>
      </c>
      <c r="G22" s="25">
        <f>E22</f>
        <v>10218.818880000001</v>
      </c>
      <c r="H22" s="25"/>
      <c r="I22" s="33"/>
    </row>
    <row r="23" spans="1:9" x14ac:dyDescent="0.25">
      <c r="A23" s="17"/>
      <c r="B23" s="17" t="s">
        <v>189</v>
      </c>
      <c r="C23" s="162"/>
      <c r="D23" s="20"/>
      <c r="E23" s="21"/>
      <c r="F23" s="21"/>
      <c r="G23" s="20"/>
      <c r="H23" s="20"/>
      <c r="I23" s="21"/>
    </row>
    <row r="24" spans="1:9" x14ac:dyDescent="0.25">
      <c r="A24" s="22" t="s">
        <v>40</v>
      </c>
      <c r="B24" s="5" t="s">
        <v>41</v>
      </c>
      <c r="C24" s="24">
        <v>1.36</v>
      </c>
      <c r="D24" s="44"/>
      <c r="E24" s="33">
        <f xml:space="preserve"> E19*16/100</f>
        <v>9237.3504000000012</v>
      </c>
      <c r="F24" s="33">
        <f>F19*16/100</f>
        <v>8878.36</v>
      </c>
      <c r="G24" s="19">
        <f>E24</f>
        <v>9237.3504000000012</v>
      </c>
      <c r="H24" s="44"/>
      <c r="I24" s="26"/>
    </row>
    <row r="25" spans="1:9" x14ac:dyDescent="0.25">
      <c r="A25" s="22" t="s">
        <v>42</v>
      </c>
      <c r="B25" s="5" t="s">
        <v>43</v>
      </c>
      <c r="C25" s="24">
        <v>2.6</v>
      </c>
      <c r="D25" s="25"/>
      <c r="E25" s="30">
        <f>E19*30.3/100</f>
        <v>17493.232319999999</v>
      </c>
      <c r="F25" s="30">
        <f>F19*30.3/100</f>
        <v>16813.394250000001</v>
      </c>
      <c r="G25" s="29">
        <f>E25</f>
        <v>17493.232319999999</v>
      </c>
      <c r="H25" s="29"/>
      <c r="I25" s="30"/>
    </row>
    <row r="26" spans="1:9" x14ac:dyDescent="0.25">
      <c r="A26" s="22" t="s">
        <v>44</v>
      </c>
      <c r="B26" s="5" t="s">
        <v>47</v>
      </c>
      <c r="C26" s="24" t="s">
        <v>48</v>
      </c>
      <c r="D26" s="25">
        <v>-1379.04</v>
      </c>
      <c r="E26" s="8">
        <v>10842.06</v>
      </c>
      <c r="F26" s="17">
        <v>10327.85</v>
      </c>
      <c r="G26" s="61">
        <f>E26</f>
        <v>10842.06</v>
      </c>
      <c r="H26" s="21">
        <f>D26-E26+F26</f>
        <v>-1893.2499999999982</v>
      </c>
      <c r="I26" s="51">
        <f>H26</f>
        <v>-1893.2499999999982</v>
      </c>
    </row>
    <row r="27" spans="1:9" x14ac:dyDescent="0.25">
      <c r="A27" s="10" t="s">
        <v>49</v>
      </c>
      <c r="B27" s="10" t="s">
        <v>50</v>
      </c>
      <c r="C27" s="10">
        <v>4.5999999999999996</v>
      </c>
      <c r="D27" s="38">
        <v>-5612.04</v>
      </c>
      <c r="E27" s="10">
        <v>31061.040000000001</v>
      </c>
      <c r="F27" s="10">
        <v>30002.65</v>
      </c>
      <c r="G27" s="35">
        <f>E27</f>
        <v>31061.040000000001</v>
      </c>
      <c r="H27" s="37">
        <f>D27++F27-G27</f>
        <v>-6670.43</v>
      </c>
      <c r="I27" s="38">
        <f>H27</f>
        <v>-6670.43</v>
      </c>
    </row>
    <row r="28" spans="1:9" x14ac:dyDescent="0.25">
      <c r="A28" s="10" t="s">
        <v>51</v>
      </c>
      <c r="B28" s="10" t="s">
        <v>310</v>
      </c>
      <c r="C28" s="63">
        <v>1.65</v>
      </c>
      <c r="D28" s="63">
        <v>62520.73</v>
      </c>
      <c r="E28" s="39">
        <v>11141.88</v>
      </c>
      <c r="F28" s="39">
        <f>F29+F30</f>
        <v>15410.75</v>
      </c>
      <c r="G28" s="39">
        <f>I54</f>
        <v>39425.4</v>
      </c>
      <c r="H28" s="55">
        <f>D28+F28-G28</f>
        <v>38506.080000000009</v>
      </c>
      <c r="I28" s="16"/>
    </row>
    <row r="29" spans="1:9" x14ac:dyDescent="0.25">
      <c r="A29" s="10"/>
      <c r="B29" s="8" t="s">
        <v>53</v>
      </c>
      <c r="C29" s="53"/>
      <c r="D29" s="53"/>
      <c r="E29" s="63"/>
      <c r="F29" s="63">
        <v>10865.23</v>
      </c>
      <c r="G29" s="63"/>
      <c r="H29" s="63"/>
      <c r="I29" s="16"/>
    </row>
    <row r="30" spans="1:9" x14ac:dyDescent="0.25">
      <c r="A30" s="10"/>
      <c r="B30" s="8" t="s">
        <v>58</v>
      </c>
      <c r="C30" s="36"/>
      <c r="D30" s="36" t="s">
        <v>72</v>
      </c>
      <c r="E30" s="10"/>
      <c r="F30" s="10">
        <v>4545.5200000000004</v>
      </c>
      <c r="G30" s="10"/>
      <c r="H30" s="10" t="s">
        <v>72</v>
      </c>
      <c r="I30" s="38"/>
    </row>
    <row r="31" spans="1:9" x14ac:dyDescent="0.25">
      <c r="A31" s="39" t="s">
        <v>56</v>
      </c>
      <c r="B31" s="39" t="s">
        <v>57</v>
      </c>
      <c r="C31" s="35">
        <v>0</v>
      </c>
      <c r="D31" s="36">
        <v>4545.5200000000004</v>
      </c>
      <c r="E31" s="10">
        <v>0</v>
      </c>
      <c r="F31" s="10">
        <v>-4545.5200000000004</v>
      </c>
      <c r="G31" s="10">
        <v>0</v>
      </c>
      <c r="H31" s="36">
        <f>D31+F31-G31</f>
        <v>0</v>
      </c>
      <c r="I31" s="41"/>
    </row>
    <row r="32" spans="1:9" x14ac:dyDescent="0.25">
      <c r="A32" s="8"/>
      <c r="B32" s="8" t="s">
        <v>58</v>
      </c>
      <c r="C32" s="9"/>
      <c r="D32" s="7"/>
      <c r="E32" s="8">
        <v>0</v>
      </c>
      <c r="F32" s="8">
        <v>4545.5200000000004</v>
      </c>
      <c r="G32" s="8">
        <v>0</v>
      </c>
      <c r="H32" s="7"/>
      <c r="I32" s="30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4" t="s">
        <v>70</v>
      </c>
    </row>
    <row r="35" spans="1:9" x14ac:dyDescent="0.25">
      <c r="A35" s="1" t="s">
        <v>71</v>
      </c>
      <c r="B35" s="4"/>
      <c r="C35" s="4"/>
      <c r="D35" s="52"/>
      <c r="E35" s="4"/>
      <c r="F35" s="4"/>
      <c r="G35" s="4"/>
      <c r="H35" s="4"/>
      <c r="I35" s="4"/>
    </row>
    <row r="36" spans="1:9" x14ac:dyDescent="0.25">
      <c r="A36" s="5" t="s">
        <v>72</v>
      </c>
      <c r="B36" s="159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46" t="s">
        <v>78</v>
      </c>
      <c r="H36" s="33" t="s">
        <v>15</v>
      </c>
      <c r="I36" s="47" t="s">
        <v>19</v>
      </c>
    </row>
    <row r="37" spans="1:9" x14ac:dyDescent="0.25">
      <c r="A37" s="6"/>
      <c r="B37" s="4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49" t="s">
        <v>85</v>
      </c>
      <c r="H37" s="26" t="s">
        <v>25</v>
      </c>
      <c r="I37" s="56" t="s">
        <v>87</v>
      </c>
    </row>
    <row r="38" spans="1:9" x14ac:dyDescent="0.25">
      <c r="A38" s="6"/>
      <c r="B38" s="43"/>
      <c r="C38" s="6"/>
      <c r="D38" s="43"/>
      <c r="E38" s="6"/>
      <c r="F38" s="43" t="s">
        <v>88</v>
      </c>
      <c r="G38" s="49" t="s">
        <v>89</v>
      </c>
      <c r="H38" s="26" t="s">
        <v>30</v>
      </c>
      <c r="I38" s="56" t="s">
        <v>221</v>
      </c>
    </row>
    <row r="39" spans="1:9" x14ac:dyDescent="0.25">
      <c r="A39" s="17"/>
      <c r="B39" s="17"/>
      <c r="C39" s="13"/>
      <c r="D39" s="17"/>
      <c r="E39" s="61"/>
      <c r="F39" s="17"/>
      <c r="G39" s="61"/>
      <c r="H39" s="17"/>
      <c r="I39" s="51"/>
    </row>
    <row r="40" spans="1:9" x14ac:dyDescent="0.25">
      <c r="A40" s="17"/>
      <c r="B40" s="17"/>
      <c r="C40" s="13"/>
      <c r="D40" s="17"/>
      <c r="E40" s="61"/>
      <c r="F40" s="17"/>
      <c r="G40" s="61"/>
      <c r="H40" s="17"/>
      <c r="I40" s="51"/>
    </row>
    <row r="41" spans="1:9" x14ac:dyDescent="0.25">
      <c r="A41" s="7">
        <v>1</v>
      </c>
      <c r="B41" s="7" t="s">
        <v>91</v>
      </c>
      <c r="C41" s="36" t="s">
        <v>92</v>
      </c>
      <c r="D41" s="8">
        <v>-9913.9699999999993</v>
      </c>
      <c r="E41" s="59">
        <v>75404.460000000006</v>
      </c>
      <c r="F41" s="8">
        <v>69859.67</v>
      </c>
      <c r="G41" s="58">
        <f>E41</f>
        <v>75404.460000000006</v>
      </c>
      <c r="H41" s="48">
        <f>D41+F41-G41</f>
        <v>-15458.760000000009</v>
      </c>
      <c r="I41" s="48">
        <f>H41</f>
        <v>-15458.760000000009</v>
      </c>
    </row>
    <row r="42" spans="1:9" x14ac:dyDescent="0.25">
      <c r="A42" s="7"/>
      <c r="B42" s="7" t="s">
        <v>93</v>
      </c>
      <c r="C42" s="36" t="s">
        <v>94</v>
      </c>
      <c r="D42" s="7"/>
      <c r="E42" s="196"/>
      <c r="F42" s="48"/>
      <c r="G42" s="58"/>
      <c r="H42" s="48"/>
      <c r="I42" s="48"/>
    </row>
    <row r="43" spans="1:9" x14ac:dyDescent="0.25">
      <c r="A43" s="43"/>
      <c r="B43" s="43"/>
      <c r="C43" s="4"/>
      <c r="D43" s="43"/>
      <c r="E43" s="217"/>
      <c r="F43" s="43"/>
      <c r="G43" s="217"/>
      <c r="H43" s="43"/>
      <c r="I43" s="43"/>
    </row>
    <row r="44" spans="1:9" x14ac:dyDescent="0.25">
      <c r="A44" s="43"/>
      <c r="B44" s="43"/>
      <c r="C44" s="4"/>
      <c r="D44" s="43"/>
      <c r="E44" s="217"/>
      <c r="F44" s="43"/>
      <c r="G44" s="217"/>
      <c r="H44" s="43"/>
      <c r="I44" s="43"/>
    </row>
    <row r="45" spans="1:9" x14ac:dyDescent="0.25">
      <c r="A45" s="1" t="s">
        <v>222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223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54"/>
      <c r="G47" s="5" t="s">
        <v>105</v>
      </c>
      <c r="H47" s="47" t="s">
        <v>106</v>
      </c>
      <c r="I47" s="47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43"/>
      <c r="G48" s="6"/>
      <c r="H48" s="56"/>
      <c r="I48" s="56" t="s">
        <v>109</v>
      </c>
    </row>
    <row r="49" spans="1:9" x14ac:dyDescent="0.25">
      <c r="A49" s="49"/>
      <c r="B49" s="17"/>
      <c r="C49" s="50"/>
      <c r="D49" s="61"/>
      <c r="E49" s="61"/>
      <c r="F49" s="61"/>
      <c r="G49" s="17"/>
      <c r="H49" s="51"/>
      <c r="I49" s="56"/>
    </row>
    <row r="50" spans="1:9" x14ac:dyDescent="0.25">
      <c r="A50" s="62"/>
      <c r="B50" s="63"/>
      <c r="C50" s="55" t="s">
        <v>110</v>
      </c>
      <c r="D50" s="4"/>
      <c r="E50" s="4"/>
      <c r="F50" s="43"/>
      <c r="G50" s="6"/>
      <c r="H50" s="56"/>
      <c r="I50" s="47"/>
    </row>
    <row r="51" spans="1:9" x14ac:dyDescent="0.25">
      <c r="A51" s="64" t="s">
        <v>111</v>
      </c>
      <c r="B51" s="65">
        <v>43371</v>
      </c>
      <c r="C51" s="49" t="s">
        <v>825</v>
      </c>
      <c r="D51" s="43"/>
      <c r="E51" s="43"/>
      <c r="F51" s="43"/>
      <c r="G51" s="26" t="s">
        <v>169</v>
      </c>
      <c r="H51" s="56">
        <v>143</v>
      </c>
      <c r="I51" s="56">
        <v>32625.4</v>
      </c>
    </row>
    <row r="52" spans="1:9" x14ac:dyDescent="0.25">
      <c r="A52" s="64" t="s">
        <v>114</v>
      </c>
      <c r="B52" s="65">
        <v>43404</v>
      </c>
      <c r="C52" s="49" t="s">
        <v>112</v>
      </c>
      <c r="D52" s="43"/>
      <c r="E52" s="43"/>
      <c r="F52" s="43"/>
      <c r="G52" s="26" t="s">
        <v>116</v>
      </c>
      <c r="H52" s="56">
        <v>34</v>
      </c>
      <c r="I52" s="56">
        <v>6800</v>
      </c>
    </row>
    <row r="53" spans="1:9" x14ac:dyDescent="0.25">
      <c r="A53" s="64"/>
      <c r="B53" s="65"/>
      <c r="C53" s="232"/>
      <c r="D53" s="69"/>
      <c r="E53" s="69"/>
      <c r="F53" s="43"/>
      <c r="G53" s="26"/>
      <c r="H53" s="56"/>
      <c r="I53" s="56"/>
    </row>
    <row r="54" spans="1:9" x14ac:dyDescent="0.25">
      <c r="A54" s="66"/>
      <c r="B54" s="17"/>
      <c r="C54" s="14" t="s">
        <v>117</v>
      </c>
      <c r="D54" s="13"/>
      <c r="E54" s="13"/>
      <c r="F54" s="13"/>
      <c r="G54" s="16"/>
      <c r="H54" s="18"/>
      <c r="I54" s="67">
        <f>SUM(I50:I53)</f>
        <v>39425.4</v>
      </c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43"/>
      <c r="B56" s="4"/>
      <c r="C56" s="4"/>
      <c r="D56" s="43"/>
      <c r="E56" s="43"/>
      <c r="F56" s="43"/>
      <c r="G56" s="43"/>
      <c r="H56" s="43"/>
      <c r="I56" s="43"/>
    </row>
    <row r="57" spans="1:9" x14ac:dyDescent="0.25">
      <c r="A57" s="68"/>
      <c r="B57" s="43"/>
      <c r="C57" s="43"/>
      <c r="D57" s="43"/>
      <c r="E57" s="43"/>
      <c r="F57" s="43"/>
      <c r="G57" s="19"/>
      <c r="H57" s="43"/>
      <c r="I57" s="43"/>
    </row>
    <row r="58" spans="1:9" x14ac:dyDescent="0.25">
      <c r="A58" s="2" t="s">
        <v>826</v>
      </c>
      <c r="B58" s="2"/>
      <c r="C58" s="2" t="s">
        <v>827</v>
      </c>
      <c r="E58" s="2"/>
      <c r="F58" s="2" t="s">
        <v>120</v>
      </c>
      <c r="G58" s="2"/>
      <c r="H58" s="2" t="s">
        <v>121</v>
      </c>
      <c r="I58" s="2" t="s">
        <v>828</v>
      </c>
    </row>
  </sheetData>
  <pageMargins left="0.7" right="0.7" top="0.75" bottom="0.75" header="0.3" footer="0.3"/>
  <pageSetup paperSize="9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C56" sqref="C56"/>
    </sheetView>
  </sheetViews>
  <sheetFormatPr defaultRowHeight="15" x14ac:dyDescent="0.25"/>
  <cols>
    <col min="1" max="1" width="5" customWidth="1"/>
    <col min="2" max="2" width="34.7109375" customWidth="1"/>
    <col min="3" max="3" width="12" customWidth="1"/>
    <col min="6" max="6" width="10.42578125" customWidth="1"/>
    <col min="8" max="8" width="13.42578125" customWidth="1"/>
    <col min="9" max="9" width="20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829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830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831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517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518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832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5">
        <v>9</v>
      </c>
    </row>
    <row r="18" spans="1:9" x14ac:dyDescent="0.25">
      <c r="A18" s="53">
        <v>1</v>
      </c>
      <c r="B18" s="63" t="s">
        <v>186</v>
      </c>
      <c r="C18" s="159" t="s">
        <v>72</v>
      </c>
      <c r="D18" s="53"/>
      <c r="E18" s="160" t="s">
        <v>72</v>
      </c>
      <c r="F18" s="63" t="s">
        <v>72</v>
      </c>
      <c r="G18" s="53"/>
      <c r="H18" s="53" t="s">
        <v>72</v>
      </c>
      <c r="I18" s="160" t="s">
        <v>72</v>
      </c>
    </row>
    <row r="19" spans="1:9" x14ac:dyDescent="0.25">
      <c r="A19" s="14"/>
      <c r="B19" s="11" t="s">
        <v>187</v>
      </c>
      <c r="C19" s="161">
        <v>8.5500000000000007</v>
      </c>
      <c r="D19" s="16">
        <v>-11109.72</v>
      </c>
      <c r="E19" s="16">
        <v>58615.8</v>
      </c>
      <c r="F19" s="16">
        <v>55135.519999999997</v>
      </c>
      <c r="G19" s="15">
        <f>E19</f>
        <v>58615.8</v>
      </c>
      <c r="H19" s="15">
        <f>D19+F19-G19</f>
        <v>-14590.000000000007</v>
      </c>
      <c r="I19" s="16">
        <f>H19</f>
        <v>-14590.000000000007</v>
      </c>
    </row>
    <row r="20" spans="1:9" x14ac:dyDescent="0.25">
      <c r="A20" s="6" t="s">
        <v>36</v>
      </c>
      <c r="B20" s="6" t="s">
        <v>217</v>
      </c>
      <c r="C20" s="19"/>
      <c r="D20" s="44"/>
      <c r="E20" s="26"/>
      <c r="F20" s="26"/>
      <c r="G20" s="19"/>
      <c r="H20" s="44"/>
      <c r="I20" s="26"/>
    </row>
    <row r="21" spans="1:9" x14ac:dyDescent="0.25">
      <c r="A21" s="17"/>
      <c r="B21" s="17" t="s">
        <v>218</v>
      </c>
      <c r="C21" s="162">
        <v>3.08</v>
      </c>
      <c r="D21" s="44"/>
      <c r="E21" s="21">
        <f>E19*36%</f>
        <v>21101.688000000002</v>
      </c>
      <c r="F21" s="21">
        <f>F19*36%</f>
        <v>19848.787199999999</v>
      </c>
      <c r="G21" s="19">
        <f>E21</f>
        <v>21101.688000000002</v>
      </c>
      <c r="H21" s="44"/>
      <c r="I21" s="26"/>
    </row>
    <row r="22" spans="1:9" x14ac:dyDescent="0.25">
      <c r="A22" s="22" t="s">
        <v>38</v>
      </c>
      <c r="B22" s="5" t="s">
        <v>188</v>
      </c>
      <c r="C22" s="24">
        <v>1.51</v>
      </c>
      <c r="D22" s="25"/>
      <c r="E22" s="33">
        <f>E19*17.7%</f>
        <v>10374.9966</v>
      </c>
      <c r="F22" s="33">
        <f>F19*17.7%</f>
        <v>9758.9870399999982</v>
      </c>
      <c r="G22" s="25">
        <f>E22</f>
        <v>10374.9966</v>
      </c>
      <c r="H22" s="25"/>
      <c r="I22" s="33"/>
    </row>
    <row r="23" spans="1:9" x14ac:dyDescent="0.25">
      <c r="A23" s="17"/>
      <c r="B23" s="17" t="s">
        <v>189</v>
      </c>
      <c r="C23" s="162"/>
      <c r="D23" s="20"/>
      <c r="E23" s="21"/>
      <c r="F23" s="21"/>
      <c r="G23" s="20"/>
      <c r="H23" s="20"/>
      <c r="I23" s="21"/>
    </row>
    <row r="24" spans="1:9" x14ac:dyDescent="0.25">
      <c r="A24" s="22" t="s">
        <v>40</v>
      </c>
      <c r="B24" s="5" t="s">
        <v>41</v>
      </c>
      <c r="C24" s="24">
        <v>1.36</v>
      </c>
      <c r="D24" s="44"/>
      <c r="E24" s="33">
        <f xml:space="preserve"> E19*16/100</f>
        <v>9378.5280000000002</v>
      </c>
      <c r="F24" s="33">
        <f>F19*16/100</f>
        <v>8821.6831999999995</v>
      </c>
      <c r="G24" s="19">
        <f>E24</f>
        <v>9378.5280000000002</v>
      </c>
      <c r="H24" s="44"/>
      <c r="I24" s="26"/>
    </row>
    <row r="25" spans="1:9" x14ac:dyDescent="0.25">
      <c r="A25" s="22" t="s">
        <v>42</v>
      </c>
      <c r="B25" s="5" t="s">
        <v>43</v>
      </c>
      <c r="C25" s="24">
        <v>2.6</v>
      </c>
      <c r="D25" s="29"/>
      <c r="E25" s="30">
        <f>E19*30.3/100</f>
        <v>17760.587400000004</v>
      </c>
      <c r="F25" s="30">
        <f>F19*30.3%</f>
        <v>16706.062559999998</v>
      </c>
      <c r="G25" s="29">
        <f>E25</f>
        <v>17760.587400000004</v>
      </c>
      <c r="H25" s="29"/>
      <c r="I25" s="30"/>
    </row>
    <row r="26" spans="1:9" x14ac:dyDescent="0.25">
      <c r="A26" s="22" t="s">
        <v>44</v>
      </c>
      <c r="B26" s="5" t="s">
        <v>47</v>
      </c>
      <c r="C26" s="203" t="s">
        <v>48</v>
      </c>
      <c r="D26" s="8">
        <v>-3141.15</v>
      </c>
      <c r="E26" s="8">
        <v>11069.1</v>
      </c>
      <c r="F26" s="8">
        <v>10568.66</v>
      </c>
      <c r="G26" s="9">
        <f>E26</f>
        <v>11069.1</v>
      </c>
      <c r="H26" s="8">
        <f>D26+F26-G26</f>
        <v>-3641.59</v>
      </c>
      <c r="I26" s="42">
        <f>H26</f>
        <v>-3641.59</v>
      </c>
    </row>
    <row r="27" spans="1:9" x14ac:dyDescent="0.25">
      <c r="A27" s="10" t="s">
        <v>49</v>
      </c>
      <c r="B27" s="10" t="s">
        <v>50</v>
      </c>
      <c r="C27" s="10">
        <v>4.5999999999999996</v>
      </c>
      <c r="D27" s="38">
        <v>-5823.27</v>
      </c>
      <c r="E27" s="11">
        <v>31535.759999999998</v>
      </c>
      <c r="F27" s="11">
        <v>29844.3</v>
      </c>
      <c r="G27" s="13">
        <f>E27</f>
        <v>31535.759999999998</v>
      </c>
      <c r="H27" s="15">
        <f>D27+F27-G27</f>
        <v>-7514.73</v>
      </c>
      <c r="I27" s="38">
        <f>H27</f>
        <v>-7514.73</v>
      </c>
    </row>
    <row r="28" spans="1:9" x14ac:dyDescent="0.25">
      <c r="A28" s="63" t="s">
        <v>51</v>
      </c>
      <c r="B28" s="63" t="s">
        <v>310</v>
      </c>
      <c r="C28" s="39">
        <v>1.65</v>
      </c>
      <c r="D28" s="55">
        <v>75346.559999999998</v>
      </c>
      <c r="E28" s="39">
        <v>11312.16</v>
      </c>
      <c r="F28" s="39">
        <f>F29+F30</f>
        <v>28470.44</v>
      </c>
      <c r="G28" s="11">
        <f>I53</f>
        <v>6800</v>
      </c>
      <c r="H28" s="14">
        <f>D28+F28-G28</f>
        <v>97017</v>
      </c>
      <c r="I28" s="16"/>
    </row>
    <row r="29" spans="1:9" x14ac:dyDescent="0.25">
      <c r="A29" s="10"/>
      <c r="B29" s="8" t="s">
        <v>53</v>
      </c>
      <c r="C29" s="9"/>
      <c r="D29" s="7"/>
      <c r="E29" s="8">
        <v>0</v>
      </c>
      <c r="F29" s="8">
        <v>10827.43</v>
      </c>
      <c r="G29" s="11"/>
      <c r="H29" s="14"/>
      <c r="I29" s="16"/>
    </row>
    <row r="30" spans="1:9" x14ac:dyDescent="0.25">
      <c r="A30" s="10"/>
      <c r="B30" s="8" t="s">
        <v>367</v>
      </c>
      <c r="C30" s="9"/>
      <c r="D30" s="7"/>
      <c r="E30" s="8">
        <v>0</v>
      </c>
      <c r="F30" s="8">
        <v>17643.009999999998</v>
      </c>
      <c r="G30" s="10"/>
      <c r="H30" s="36" t="s">
        <v>72</v>
      </c>
      <c r="I30" s="38"/>
    </row>
    <row r="31" spans="1:9" x14ac:dyDescent="0.25">
      <c r="A31" s="10" t="s">
        <v>56</v>
      </c>
      <c r="B31" s="10" t="s">
        <v>57</v>
      </c>
      <c r="C31" s="9"/>
      <c r="D31" s="36">
        <v>17643.009999999998</v>
      </c>
      <c r="E31" s="8">
        <v>0</v>
      </c>
      <c r="F31" s="8">
        <v>-17643.009999999998</v>
      </c>
      <c r="G31" s="11">
        <v>0</v>
      </c>
      <c r="H31" s="14">
        <f>D31+F31-G31</f>
        <v>0</v>
      </c>
      <c r="I31" s="38"/>
    </row>
    <row r="32" spans="1:9" x14ac:dyDescent="0.25">
      <c r="A32" s="8"/>
      <c r="B32" s="8" t="s">
        <v>58</v>
      </c>
      <c r="C32" s="9"/>
      <c r="D32" s="7"/>
      <c r="E32" s="8">
        <v>0</v>
      </c>
      <c r="F32" s="8">
        <v>17643.009999999998</v>
      </c>
      <c r="G32" s="9">
        <v>0</v>
      </c>
      <c r="H32" s="7"/>
      <c r="I32" s="21"/>
    </row>
    <row r="33" spans="1:9" x14ac:dyDescent="0.25">
      <c r="A33" s="1" t="s">
        <v>59</v>
      </c>
      <c r="B33" s="43"/>
      <c r="C33" s="43"/>
      <c r="D33" s="43"/>
      <c r="E33" s="43"/>
      <c r="F33" s="43"/>
      <c r="G33" s="43"/>
      <c r="H33" s="43"/>
      <c r="I33" s="19"/>
    </row>
    <row r="34" spans="1:9" x14ac:dyDescent="0.25">
      <c r="A34" s="1"/>
      <c r="B34" s="43"/>
      <c r="C34" s="43"/>
      <c r="D34" s="43"/>
      <c r="E34" s="43"/>
      <c r="F34" s="43"/>
      <c r="G34" s="43"/>
      <c r="H34" s="43"/>
      <c r="I34" s="19"/>
    </row>
    <row r="35" spans="1:9" x14ac:dyDescent="0.25">
      <c r="A35" s="4" t="s">
        <v>70</v>
      </c>
      <c r="B35" s="2"/>
      <c r="C35" s="2"/>
      <c r="E35" s="2"/>
      <c r="F35" s="2"/>
      <c r="G35" s="2"/>
      <c r="H35" s="2"/>
      <c r="I35" s="2"/>
    </row>
    <row r="36" spans="1:9" x14ac:dyDescent="0.25">
      <c r="A36" s="1" t="s">
        <v>71</v>
      </c>
    </row>
    <row r="37" spans="1:9" x14ac:dyDescent="0.25"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5" t="s">
        <v>72</v>
      </c>
      <c r="B38" s="159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46" t="s">
        <v>78</v>
      </c>
      <c r="H38" s="33" t="s">
        <v>15</v>
      </c>
      <c r="I38" s="47" t="s">
        <v>19</v>
      </c>
    </row>
    <row r="39" spans="1:9" x14ac:dyDescent="0.25">
      <c r="A39" s="6"/>
      <c r="B39" s="4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49" t="s">
        <v>85</v>
      </c>
      <c r="H39" s="26" t="s">
        <v>25</v>
      </c>
      <c r="I39" s="56" t="s">
        <v>87</v>
      </c>
    </row>
    <row r="40" spans="1:9" x14ac:dyDescent="0.25">
      <c r="A40" s="6"/>
      <c r="B40" s="43"/>
      <c r="C40" s="6"/>
      <c r="D40" s="43"/>
      <c r="E40" s="6"/>
      <c r="F40" s="43" t="s">
        <v>88</v>
      </c>
      <c r="G40" s="49" t="s">
        <v>89</v>
      </c>
      <c r="H40" s="26" t="s">
        <v>30</v>
      </c>
      <c r="I40" s="56" t="s">
        <v>325</v>
      </c>
    </row>
    <row r="41" spans="1:9" x14ac:dyDescent="0.25">
      <c r="A41" s="17"/>
      <c r="B41" s="61"/>
      <c r="C41" s="17"/>
      <c r="D41" s="61"/>
      <c r="E41" s="17"/>
      <c r="F41" s="61"/>
      <c r="G41" s="50"/>
      <c r="H41" s="21"/>
      <c r="I41" s="51"/>
    </row>
    <row r="42" spans="1:9" x14ac:dyDescent="0.25">
      <c r="A42" s="8">
        <v>1</v>
      </c>
      <c r="B42" s="8" t="s">
        <v>91</v>
      </c>
      <c r="C42" s="35" t="s">
        <v>92</v>
      </c>
      <c r="D42" s="8">
        <v>-16165.32</v>
      </c>
      <c r="E42" s="8">
        <v>82751.679999999993</v>
      </c>
      <c r="F42" s="8">
        <v>66849.94</v>
      </c>
      <c r="G42" s="59">
        <f>E42</f>
        <v>82751.679999999993</v>
      </c>
      <c r="H42" s="8">
        <f>D42+F42-E42</f>
        <v>-32067.05999999999</v>
      </c>
      <c r="I42" s="8">
        <f>H42</f>
        <v>-32067.05999999999</v>
      </c>
    </row>
    <row r="43" spans="1:9" x14ac:dyDescent="0.25">
      <c r="A43" s="7"/>
      <c r="B43" s="7" t="s">
        <v>833</v>
      </c>
      <c r="C43" s="36" t="s">
        <v>94</v>
      </c>
      <c r="D43" s="7"/>
      <c r="E43" s="196"/>
      <c r="F43" s="48"/>
      <c r="G43" s="58"/>
      <c r="H43" s="48"/>
      <c r="I43" s="48"/>
    </row>
    <row r="44" spans="1:9" x14ac:dyDescent="0.25">
      <c r="A44" s="1" t="s">
        <v>101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" t="s">
        <v>223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12</v>
      </c>
      <c r="B46" s="47" t="s">
        <v>103</v>
      </c>
      <c r="C46" s="46" t="s">
        <v>104</v>
      </c>
      <c r="D46" s="54"/>
      <c r="E46" s="54"/>
      <c r="F46" s="54"/>
      <c r="G46" s="5" t="s">
        <v>105</v>
      </c>
      <c r="H46" s="5" t="s">
        <v>106</v>
      </c>
      <c r="I46" s="5" t="s">
        <v>107</v>
      </c>
    </row>
    <row r="47" spans="1:9" x14ac:dyDescent="0.25">
      <c r="A47" s="6"/>
      <c r="B47" s="56"/>
      <c r="C47" s="49"/>
      <c r="D47" s="43"/>
      <c r="E47" s="43"/>
      <c r="F47" s="43"/>
      <c r="G47" s="6"/>
      <c r="H47" s="6"/>
      <c r="I47" s="6" t="s">
        <v>109</v>
      </c>
    </row>
    <row r="48" spans="1:9" x14ac:dyDescent="0.25">
      <c r="A48" s="293"/>
      <c r="B48" s="51"/>
      <c r="C48" s="50"/>
      <c r="D48" s="61"/>
      <c r="E48" s="61"/>
      <c r="F48" s="61"/>
      <c r="G48" s="17"/>
      <c r="H48" s="6"/>
      <c r="I48" s="6"/>
    </row>
    <row r="49" spans="1:9" x14ac:dyDescent="0.25">
      <c r="A49" s="22"/>
      <c r="B49" s="195"/>
      <c r="C49" s="53" t="s">
        <v>110</v>
      </c>
      <c r="D49" s="159"/>
      <c r="E49" s="159"/>
      <c r="F49" s="54"/>
      <c r="G49" s="5"/>
      <c r="H49" s="5"/>
      <c r="I49" s="5"/>
    </row>
    <row r="50" spans="1:9" x14ac:dyDescent="0.25">
      <c r="A50" s="64" t="s">
        <v>111</v>
      </c>
      <c r="B50" s="216">
        <v>43404</v>
      </c>
      <c r="C50" s="49" t="s">
        <v>112</v>
      </c>
      <c r="D50" s="43"/>
      <c r="E50" s="43"/>
      <c r="F50" s="43"/>
      <c r="G50" s="26" t="s">
        <v>116</v>
      </c>
      <c r="H50" s="6">
        <v>34</v>
      </c>
      <c r="I50" s="6">
        <v>6800</v>
      </c>
    </row>
    <row r="51" spans="1:9" x14ac:dyDescent="0.25">
      <c r="A51" s="64"/>
      <c r="B51" s="216"/>
      <c r="C51" s="49"/>
      <c r="D51" s="43"/>
      <c r="E51" s="43"/>
      <c r="F51" s="43"/>
      <c r="G51" s="26"/>
      <c r="H51" s="6"/>
      <c r="I51" s="6"/>
    </row>
    <row r="52" spans="1:9" x14ac:dyDescent="0.25">
      <c r="A52" s="64"/>
      <c r="B52" s="216"/>
      <c r="C52" s="232"/>
      <c r="D52" s="43"/>
      <c r="E52" s="43"/>
      <c r="F52" s="43"/>
      <c r="G52" s="26"/>
      <c r="H52" s="6"/>
      <c r="I52" s="6"/>
    </row>
    <row r="53" spans="1:9" x14ac:dyDescent="0.25">
      <c r="A53" s="17"/>
      <c r="B53" s="51"/>
      <c r="C53" s="14" t="s">
        <v>117</v>
      </c>
      <c r="D53" s="13"/>
      <c r="E53" s="13"/>
      <c r="F53" s="13"/>
      <c r="G53" s="16"/>
      <c r="H53" s="11"/>
      <c r="I53" s="11">
        <f>SUM(I49:I52)</f>
        <v>6800</v>
      </c>
    </row>
    <row r="54" spans="1:9" x14ac:dyDescent="0.25">
      <c r="A54" s="43"/>
      <c r="B54" s="43"/>
      <c r="C54" s="43"/>
      <c r="D54" s="43"/>
      <c r="E54" s="43"/>
      <c r="F54" s="43"/>
      <c r="G54" s="43"/>
      <c r="H54" s="43"/>
      <c r="I54" s="43"/>
    </row>
    <row r="55" spans="1:9" x14ac:dyDescent="0.25">
      <c r="A55" s="2" t="s">
        <v>834</v>
      </c>
      <c r="B55" s="2"/>
      <c r="C55" s="2" t="s">
        <v>835</v>
      </c>
      <c r="E55" s="2"/>
      <c r="F55" s="2" t="s">
        <v>120</v>
      </c>
      <c r="G55" s="2"/>
      <c r="H55" s="2" t="s">
        <v>121</v>
      </c>
      <c r="I55" s="2" t="s">
        <v>828</v>
      </c>
    </row>
  </sheetData>
  <pageMargins left="0.7" right="0.7" top="0.75" bottom="0.75" header="0.3" footer="0.3"/>
  <pageSetup paperSize="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4" workbookViewId="0">
      <selection activeCell="C64" sqref="C64"/>
    </sheetView>
  </sheetViews>
  <sheetFormatPr defaultRowHeight="15" x14ac:dyDescent="0.25"/>
  <cols>
    <col min="1" max="1" width="5.42578125" customWidth="1"/>
    <col min="2" max="2" width="34.42578125" customWidth="1"/>
    <col min="3" max="3" width="14.140625" customWidth="1"/>
    <col min="5" max="5" width="11" customWidth="1"/>
    <col min="6" max="6" width="14.42578125" customWidth="1"/>
    <col min="8" max="8" width="12.7109375" customWidth="1"/>
    <col min="9" max="9" width="20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836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837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838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839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5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840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580</v>
      </c>
      <c r="C18" s="11">
        <v>8.5500000000000007</v>
      </c>
      <c r="D18" s="16">
        <v>-26935.74</v>
      </c>
      <c r="E18" s="11">
        <v>337012.32</v>
      </c>
      <c r="F18" s="14">
        <v>322886.96000000002</v>
      </c>
      <c r="G18" s="16">
        <f t="shared" ref="G18:G24" si="0">E18</f>
        <v>337012.32</v>
      </c>
      <c r="H18" s="12">
        <f>D18+F18-G18</f>
        <v>-41061.099999999977</v>
      </c>
      <c r="I18" s="16">
        <f>H18</f>
        <v>-41061.099999999977</v>
      </c>
    </row>
    <row r="19" spans="1:9" x14ac:dyDescent="0.25">
      <c r="A19" s="66" t="s">
        <v>138</v>
      </c>
      <c r="B19" s="17" t="s">
        <v>37</v>
      </c>
      <c r="C19" s="17">
        <v>3.08</v>
      </c>
      <c r="D19" s="21"/>
      <c r="E19" s="21">
        <f>E18*36%</f>
        <v>121324.43519999999</v>
      </c>
      <c r="F19" s="20">
        <f>F18*36%</f>
        <v>116239.30560000001</v>
      </c>
      <c r="G19" s="21">
        <f t="shared" si="0"/>
        <v>121324.43519999999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33"/>
      <c r="E20" s="33">
        <f>E18*17.7%</f>
        <v>59651.180639999999</v>
      </c>
      <c r="F20" s="25">
        <f>F18*17.7%</f>
        <v>57150.99192</v>
      </c>
      <c r="G20" s="26">
        <f t="shared" si="0"/>
        <v>59651.180639999999</v>
      </c>
      <c r="H20" s="23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3"/>
      <c r="E21" s="33">
        <f>E18*16%</f>
        <v>53921.9712</v>
      </c>
      <c r="F21" s="25">
        <f>F18*16%</f>
        <v>51661.913600000007</v>
      </c>
      <c r="G21" s="33">
        <f t="shared" si="0"/>
        <v>53921.9712</v>
      </c>
      <c r="H21" s="30"/>
      <c r="I21" s="33"/>
    </row>
    <row r="22" spans="1:9" x14ac:dyDescent="0.25">
      <c r="A22" s="31" t="s">
        <v>42</v>
      </c>
      <c r="B22" s="8" t="s">
        <v>43</v>
      </c>
      <c r="C22" s="8">
        <v>2.6</v>
      </c>
      <c r="D22" s="30"/>
      <c r="E22" s="30">
        <f>E18*30.3%</f>
        <v>102114.73295999999</v>
      </c>
      <c r="F22" s="29">
        <f>F18*30.3%</f>
        <v>97834.748879999999</v>
      </c>
      <c r="G22" s="30">
        <f t="shared" si="0"/>
        <v>102114.73295999999</v>
      </c>
      <c r="H22" s="27"/>
      <c r="I22" s="30"/>
    </row>
    <row r="23" spans="1:9" x14ac:dyDescent="0.25">
      <c r="A23" s="66" t="s">
        <v>44</v>
      </c>
      <c r="B23" s="8" t="s">
        <v>47</v>
      </c>
      <c r="C23" s="8" t="s">
        <v>48</v>
      </c>
      <c r="D23" s="5">
        <v>-3932.8</v>
      </c>
      <c r="E23" s="54">
        <v>29258.46</v>
      </c>
      <c r="F23" s="46">
        <v>27958.42</v>
      </c>
      <c r="G23" s="5">
        <f>E23</f>
        <v>29258.46</v>
      </c>
      <c r="H23" s="5">
        <f>D23+F23-G23</f>
        <v>-5232.84</v>
      </c>
      <c r="I23" s="195">
        <f>H23</f>
        <v>-5232.84</v>
      </c>
    </row>
    <row r="24" spans="1:9" x14ac:dyDescent="0.25">
      <c r="A24" s="11" t="s">
        <v>49</v>
      </c>
      <c r="B24" s="10" t="s">
        <v>50</v>
      </c>
      <c r="C24" s="10">
        <v>4.5999999999999996</v>
      </c>
      <c r="D24" s="38">
        <v>-22882.07</v>
      </c>
      <c r="E24" s="10">
        <v>181315.44</v>
      </c>
      <c r="F24" s="36">
        <v>174820.64</v>
      </c>
      <c r="G24" s="38">
        <f t="shared" si="0"/>
        <v>181315.44</v>
      </c>
      <c r="H24" s="290">
        <f>D24+F24-G24</f>
        <v>-29376.869999999995</v>
      </c>
      <c r="I24" s="38">
        <f>H24</f>
        <v>-29376.869999999995</v>
      </c>
    </row>
    <row r="25" spans="1:9" x14ac:dyDescent="0.25">
      <c r="A25" s="11" t="s">
        <v>51</v>
      </c>
      <c r="B25" s="11" t="s">
        <v>310</v>
      </c>
      <c r="C25" s="11">
        <v>1.65</v>
      </c>
      <c r="D25" s="15">
        <v>69523.48</v>
      </c>
      <c r="E25" s="11">
        <v>65039.16</v>
      </c>
      <c r="F25" s="11">
        <f>F26+F27+F28</f>
        <v>67457.72</v>
      </c>
      <c r="G25" s="11">
        <f>I60</f>
        <v>114183.97</v>
      </c>
      <c r="H25" s="16">
        <f>D25+F25-G25</f>
        <v>22797.23000000001</v>
      </c>
      <c r="I25" s="16"/>
    </row>
    <row r="26" spans="1:9" x14ac:dyDescent="0.25">
      <c r="A26" s="11"/>
      <c r="B26" s="8" t="s">
        <v>53</v>
      </c>
      <c r="C26" s="13"/>
      <c r="D26" s="15"/>
      <c r="E26" s="11"/>
      <c r="F26" s="11">
        <v>63228.46</v>
      </c>
      <c r="G26" s="14"/>
      <c r="H26" s="16"/>
      <c r="I26" s="16"/>
    </row>
    <row r="27" spans="1:9" x14ac:dyDescent="0.25">
      <c r="A27" s="11"/>
      <c r="B27" s="8" t="s">
        <v>54</v>
      </c>
      <c r="C27" s="13"/>
      <c r="D27" s="40"/>
      <c r="E27" s="39"/>
      <c r="F27" s="39">
        <v>3450.15</v>
      </c>
      <c r="G27" s="55"/>
      <c r="H27" s="40"/>
      <c r="I27" s="16"/>
    </row>
    <row r="28" spans="1:9" x14ac:dyDescent="0.25">
      <c r="A28" s="11"/>
      <c r="B28" s="8" t="s">
        <v>367</v>
      </c>
      <c r="C28" s="13"/>
      <c r="D28" s="37"/>
      <c r="E28" s="10"/>
      <c r="F28" s="10">
        <v>779.11</v>
      </c>
      <c r="G28" s="36"/>
      <c r="H28" s="38"/>
      <c r="I28" s="16"/>
    </row>
    <row r="29" spans="1:9" x14ac:dyDescent="0.25">
      <c r="A29" s="11" t="s">
        <v>56</v>
      </c>
      <c r="B29" s="11" t="s">
        <v>475</v>
      </c>
      <c r="C29" s="67">
        <v>0</v>
      </c>
      <c r="D29" s="38">
        <v>607.30999999999995</v>
      </c>
      <c r="E29" s="10">
        <f>E30</f>
        <v>0</v>
      </c>
      <c r="F29" s="10">
        <f>--779.11</f>
        <v>779.11</v>
      </c>
      <c r="G29" s="36">
        <v>0</v>
      </c>
      <c r="H29" s="38">
        <v>0</v>
      </c>
      <c r="I29" s="16"/>
    </row>
    <row r="30" spans="1:9" x14ac:dyDescent="0.25">
      <c r="A30" s="8"/>
      <c r="B30" s="8" t="s">
        <v>53</v>
      </c>
      <c r="C30" s="9">
        <v>0</v>
      </c>
      <c r="D30" s="20"/>
      <c r="E30" s="11">
        <v>0</v>
      </c>
      <c r="F30" s="11">
        <v>171.8</v>
      </c>
      <c r="G30" s="7">
        <v>0</v>
      </c>
      <c r="H30" s="21"/>
      <c r="I30" s="30"/>
    </row>
    <row r="31" spans="1:9" x14ac:dyDescent="0.25">
      <c r="A31" s="8"/>
      <c r="B31" s="8" t="s">
        <v>58</v>
      </c>
      <c r="C31" s="9">
        <v>0</v>
      </c>
      <c r="D31" s="29"/>
      <c r="E31" s="8">
        <v>0</v>
      </c>
      <c r="F31" s="8">
        <v>779.11</v>
      </c>
      <c r="G31" s="9"/>
      <c r="H31" s="30"/>
      <c r="I31" s="21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46" t="s">
        <v>60</v>
      </c>
      <c r="B34" s="46" t="s">
        <v>61</v>
      </c>
      <c r="C34" s="8" t="s">
        <v>62</v>
      </c>
      <c r="D34" s="8" t="s">
        <v>63</v>
      </c>
      <c r="E34" s="8" t="s">
        <v>476</v>
      </c>
      <c r="F34" s="8" t="s">
        <v>62</v>
      </c>
      <c r="G34" s="8"/>
      <c r="H34" s="7" t="s">
        <v>195</v>
      </c>
      <c r="I34" s="48"/>
    </row>
    <row r="35" spans="1:9" x14ac:dyDescent="0.25">
      <c r="A35" s="49"/>
      <c r="B35" s="49"/>
      <c r="C35" s="8" t="s">
        <v>67</v>
      </c>
      <c r="D35" s="48" t="s">
        <v>23</v>
      </c>
      <c r="E35" s="8" t="s">
        <v>312</v>
      </c>
      <c r="F35" s="8" t="s">
        <v>30</v>
      </c>
      <c r="G35" s="48"/>
      <c r="H35" s="61"/>
      <c r="I35" s="51"/>
    </row>
    <row r="36" spans="1:9" x14ac:dyDescent="0.25">
      <c r="A36" s="50"/>
      <c r="B36" s="50" t="s">
        <v>69</v>
      </c>
      <c r="C36" s="30">
        <v>17923.2</v>
      </c>
      <c r="D36" s="48">
        <v>6000</v>
      </c>
      <c r="E36" s="30">
        <f>D36*15%</f>
        <v>900</v>
      </c>
      <c r="F36" s="30">
        <f>C36+(D36-E36)</f>
        <v>23023.200000000001</v>
      </c>
      <c r="G36" s="27"/>
      <c r="H36" s="162">
        <f>F36-G36</f>
        <v>23023.200000000001</v>
      </c>
      <c r="I36" s="51"/>
    </row>
    <row r="37" spans="1:9" x14ac:dyDescent="0.25">
      <c r="A37" s="4" t="s">
        <v>841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1" t="s">
        <v>842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72</v>
      </c>
      <c r="B39" s="46" t="s">
        <v>73</v>
      </c>
      <c r="C39" s="5" t="s">
        <v>74</v>
      </c>
      <c r="D39" s="46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49" t="s">
        <v>80</v>
      </c>
      <c r="C40" s="6" t="s">
        <v>81</v>
      </c>
      <c r="D40" s="49" t="s">
        <v>82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49"/>
      <c r="C41" s="6"/>
      <c r="D41" s="50"/>
      <c r="E41" s="17"/>
      <c r="F41" s="61" t="s">
        <v>88</v>
      </c>
      <c r="G41" s="17" t="s">
        <v>89</v>
      </c>
      <c r="H41" s="61"/>
      <c r="I41" s="17" t="s">
        <v>221</v>
      </c>
    </row>
    <row r="42" spans="1:9" x14ac:dyDescent="0.25">
      <c r="A42" s="8">
        <v>1</v>
      </c>
      <c r="B42" s="8" t="s">
        <v>91</v>
      </c>
      <c r="C42" s="36" t="s">
        <v>92</v>
      </c>
      <c r="D42" s="6">
        <v>-90000.97</v>
      </c>
      <c r="E42" s="231">
        <v>442523.94</v>
      </c>
      <c r="F42" s="50">
        <v>420861.71</v>
      </c>
      <c r="G42" s="17">
        <f>E42</f>
        <v>442523.94</v>
      </c>
      <c r="H42" s="17">
        <f>D42+F42-G42</f>
        <v>-111663.20000000001</v>
      </c>
      <c r="I42" s="56">
        <f>H42</f>
        <v>-111663.20000000001</v>
      </c>
    </row>
    <row r="43" spans="1:9" x14ac:dyDescent="0.25">
      <c r="A43" s="8"/>
      <c r="B43" s="8" t="s">
        <v>93</v>
      </c>
      <c r="C43" s="35" t="s">
        <v>94</v>
      </c>
      <c r="D43" s="8"/>
      <c r="E43" s="59"/>
      <c r="F43" s="7"/>
      <c r="G43" s="17"/>
      <c r="H43" s="17"/>
      <c r="I43" s="8"/>
    </row>
    <row r="44" spans="1:9" x14ac:dyDescent="0.25">
      <c r="A44" s="8">
        <v>2</v>
      </c>
      <c r="B44" s="8" t="s">
        <v>99</v>
      </c>
      <c r="C44" s="35" t="s">
        <v>100</v>
      </c>
      <c r="D44" s="8">
        <v>-364847.57</v>
      </c>
      <c r="E44" s="9">
        <v>1187363.08</v>
      </c>
      <c r="F44" s="7">
        <v>1134674.3500000001</v>
      </c>
      <c r="G44" s="17">
        <f>E44</f>
        <v>1187363.08</v>
      </c>
      <c r="H44" s="17">
        <f>D44+F44-G44</f>
        <v>-417536.30000000005</v>
      </c>
      <c r="I44" s="48">
        <f>H44</f>
        <v>-417536.30000000005</v>
      </c>
    </row>
    <row r="45" spans="1:9" x14ac:dyDescent="0.25">
      <c r="A45" s="1" t="s">
        <v>101</v>
      </c>
      <c r="B45" s="1"/>
      <c r="C45" s="1"/>
      <c r="D45" s="1"/>
      <c r="E45" s="1"/>
      <c r="F45" s="1"/>
      <c r="G45" s="1"/>
      <c r="H45" s="1"/>
      <c r="I45" s="2"/>
    </row>
    <row r="46" spans="1:9" x14ac:dyDescent="0.25">
      <c r="A46" s="4" t="s">
        <v>102</v>
      </c>
      <c r="B46" s="1"/>
      <c r="C46" s="1"/>
      <c r="D46" s="1"/>
      <c r="E46" s="1"/>
      <c r="F46" s="1"/>
      <c r="G46" s="1"/>
      <c r="H46" s="1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47"/>
      <c r="G47" s="47" t="s">
        <v>105</v>
      </c>
      <c r="H47" s="47" t="s">
        <v>165</v>
      </c>
      <c r="I47" s="5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56"/>
      <c r="G48" s="56"/>
      <c r="H48" s="56" t="s">
        <v>85</v>
      </c>
      <c r="I48" s="6" t="s">
        <v>109</v>
      </c>
    </row>
    <row r="49" spans="1:9" x14ac:dyDescent="0.25">
      <c r="A49" s="49"/>
      <c r="B49" s="17"/>
      <c r="C49" s="50"/>
      <c r="D49" s="61"/>
      <c r="E49" s="61"/>
      <c r="F49" s="51"/>
      <c r="G49" s="56"/>
      <c r="H49" s="56"/>
      <c r="I49" s="6"/>
    </row>
    <row r="50" spans="1:9" x14ac:dyDescent="0.25">
      <c r="A50" s="62"/>
      <c r="B50" s="53"/>
      <c r="C50" s="55" t="s">
        <v>110</v>
      </c>
      <c r="D50" s="4"/>
      <c r="E50" s="4"/>
      <c r="F50" s="56"/>
      <c r="G50" s="47"/>
      <c r="H50" s="47"/>
      <c r="I50" s="5"/>
    </row>
    <row r="51" spans="1:9" x14ac:dyDescent="0.25">
      <c r="A51" s="64" t="s">
        <v>111</v>
      </c>
      <c r="B51" s="232">
        <v>43186</v>
      </c>
      <c r="C51" s="49" t="s">
        <v>112</v>
      </c>
      <c r="D51" s="43"/>
      <c r="E51" s="43"/>
      <c r="F51" s="56"/>
      <c r="G51" s="32" t="s">
        <v>113</v>
      </c>
      <c r="H51" s="56">
        <v>114</v>
      </c>
      <c r="I51" s="6">
        <v>22800</v>
      </c>
    </row>
    <row r="52" spans="1:9" x14ac:dyDescent="0.25">
      <c r="A52" s="64" t="s">
        <v>114</v>
      </c>
      <c r="B52" s="232">
        <v>43265</v>
      </c>
      <c r="C52" s="49" t="s">
        <v>254</v>
      </c>
      <c r="D52" s="43"/>
      <c r="E52" s="43"/>
      <c r="F52" s="56"/>
      <c r="G52" s="32" t="s">
        <v>255</v>
      </c>
      <c r="H52" s="56">
        <v>2</v>
      </c>
      <c r="I52" s="6">
        <v>2600</v>
      </c>
    </row>
    <row r="53" spans="1:9" x14ac:dyDescent="0.25">
      <c r="A53" s="64" t="s">
        <v>170</v>
      </c>
      <c r="B53" s="232">
        <v>43280</v>
      </c>
      <c r="C53" s="232" t="s">
        <v>843</v>
      </c>
      <c r="D53" s="43"/>
      <c r="E53" s="43"/>
      <c r="F53" s="56"/>
      <c r="G53" s="32" t="s">
        <v>169</v>
      </c>
      <c r="H53" s="56">
        <v>9</v>
      </c>
      <c r="I53" s="6">
        <v>15320.34</v>
      </c>
    </row>
    <row r="54" spans="1:9" x14ac:dyDescent="0.25">
      <c r="A54" s="64" t="s">
        <v>173</v>
      </c>
      <c r="B54" s="232">
        <v>43280</v>
      </c>
      <c r="C54" s="232" t="s">
        <v>844</v>
      </c>
      <c r="D54" s="43"/>
      <c r="E54" s="43"/>
      <c r="F54" s="56"/>
      <c r="G54" s="32" t="s">
        <v>169</v>
      </c>
      <c r="H54" s="56">
        <v>67.2</v>
      </c>
      <c r="I54" s="6">
        <v>11727.05</v>
      </c>
    </row>
    <row r="55" spans="1:9" x14ac:dyDescent="0.25">
      <c r="A55" s="64" t="s">
        <v>257</v>
      </c>
      <c r="B55" s="232">
        <v>54350</v>
      </c>
      <c r="C55" s="232" t="s">
        <v>254</v>
      </c>
      <c r="D55" s="43"/>
      <c r="E55" s="43"/>
      <c r="F55" s="56"/>
      <c r="G55" s="32" t="s">
        <v>255</v>
      </c>
      <c r="H55" s="56">
        <v>5</v>
      </c>
      <c r="I55" s="6">
        <v>7000</v>
      </c>
    </row>
    <row r="56" spans="1:9" x14ac:dyDescent="0.25">
      <c r="A56" s="64" t="s">
        <v>406</v>
      </c>
      <c r="B56" s="232">
        <v>43404</v>
      </c>
      <c r="C56" s="49" t="s">
        <v>112</v>
      </c>
      <c r="D56" s="43"/>
      <c r="E56" s="43"/>
      <c r="F56" s="56"/>
      <c r="G56" s="32" t="s">
        <v>116</v>
      </c>
      <c r="H56" s="56">
        <v>120</v>
      </c>
      <c r="I56" s="6">
        <v>24000</v>
      </c>
    </row>
    <row r="57" spans="1:9" x14ac:dyDescent="0.25">
      <c r="A57" s="64" t="s">
        <v>408</v>
      </c>
      <c r="B57" s="232">
        <v>43404</v>
      </c>
      <c r="C57" s="49" t="s">
        <v>845</v>
      </c>
      <c r="D57" s="43"/>
      <c r="E57" s="43"/>
      <c r="F57" s="56"/>
      <c r="G57" s="32" t="s">
        <v>169</v>
      </c>
      <c r="H57" s="56">
        <v>20</v>
      </c>
      <c r="I57" s="6">
        <v>16472.580000000002</v>
      </c>
    </row>
    <row r="58" spans="1:9" x14ac:dyDescent="0.25">
      <c r="A58" s="64" t="s">
        <v>561</v>
      </c>
      <c r="B58" s="232">
        <v>43419</v>
      </c>
      <c r="C58" s="49" t="s">
        <v>360</v>
      </c>
      <c r="D58" s="43"/>
      <c r="E58" s="43"/>
      <c r="F58" s="56"/>
      <c r="G58" s="32" t="s">
        <v>169</v>
      </c>
      <c r="H58" s="56">
        <v>23.876000000000001</v>
      </c>
      <c r="I58" s="6">
        <v>14264</v>
      </c>
    </row>
    <row r="59" spans="1:9" x14ac:dyDescent="0.25">
      <c r="A59" s="64"/>
      <c r="B59" s="232"/>
      <c r="C59" s="49"/>
      <c r="D59" s="43"/>
      <c r="E59" s="43"/>
      <c r="F59" s="56"/>
      <c r="G59" s="32"/>
      <c r="H59" s="56"/>
      <c r="I59" s="6"/>
    </row>
    <row r="60" spans="1:9" x14ac:dyDescent="0.25">
      <c r="A60" s="66"/>
      <c r="B60" s="50"/>
      <c r="C60" s="14" t="s">
        <v>117</v>
      </c>
      <c r="D60" s="13"/>
      <c r="E60" s="13"/>
      <c r="F60" s="67"/>
      <c r="G60" s="12"/>
      <c r="H60" s="67"/>
      <c r="I60" s="11">
        <f>SUM(I50:I59)</f>
        <v>114183.97</v>
      </c>
    </row>
    <row r="61" spans="1:9" x14ac:dyDescent="0.25">
      <c r="A61" s="43"/>
      <c r="B61" s="43"/>
      <c r="C61" s="43"/>
      <c r="D61" s="43"/>
      <c r="E61" s="43"/>
      <c r="F61" s="43"/>
      <c r="G61" s="43"/>
      <c r="H61" s="43"/>
      <c r="I61" s="43"/>
    </row>
    <row r="62" spans="1:9" x14ac:dyDescent="0.25">
      <c r="A62" s="2" t="s">
        <v>588</v>
      </c>
      <c r="B62" s="2"/>
      <c r="C62" s="2"/>
      <c r="D62" s="2" t="s">
        <v>119</v>
      </c>
      <c r="E62" s="2"/>
      <c r="F62" s="2" t="s">
        <v>120</v>
      </c>
      <c r="G62" s="2"/>
      <c r="H62" s="2" t="s">
        <v>121</v>
      </c>
      <c r="I62" s="2" t="s">
        <v>281</v>
      </c>
    </row>
  </sheetData>
  <pageMargins left="0.7" right="0.7" top="0.75" bottom="0.75" header="0.3" footer="0.3"/>
  <pageSetup paperSize="9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7" workbookViewId="0">
      <selection activeCell="I58" sqref="I58"/>
    </sheetView>
  </sheetViews>
  <sheetFormatPr defaultRowHeight="15" x14ac:dyDescent="0.25"/>
  <cols>
    <col min="1" max="1" width="5.28515625" customWidth="1"/>
    <col min="2" max="2" width="36.28515625" customWidth="1"/>
    <col min="3" max="3" width="13.7109375" customWidth="1"/>
    <col min="4" max="4" width="10.5703125" customWidth="1"/>
    <col min="5" max="5" width="11.140625" customWidth="1"/>
    <col min="6" max="6" width="14.5703125" customWidth="1"/>
    <col min="8" max="8" width="12.28515625" customWidth="1"/>
    <col min="9" max="9" width="17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846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847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848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129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47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56" t="s">
        <v>20</v>
      </c>
      <c r="B14" s="6"/>
      <c r="C14" s="6" t="s">
        <v>849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5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5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53">
        <v>1</v>
      </c>
      <c r="B18" s="11" t="s">
        <v>850</v>
      </c>
      <c r="C18" s="14">
        <v>8.5500000000000007</v>
      </c>
      <c r="D18" s="16">
        <v>-31466.11</v>
      </c>
      <c r="E18" s="13">
        <v>483435.48</v>
      </c>
      <c r="F18" s="14">
        <v>460382.3</v>
      </c>
      <c r="G18" s="15">
        <f t="shared" ref="G18:G22" si="0">E18</f>
        <v>483435.48</v>
      </c>
      <c r="H18" s="16">
        <f>D18+F18-G18</f>
        <v>-54519.289999999979</v>
      </c>
      <c r="I18" s="16">
        <f>H18</f>
        <v>-54519.289999999979</v>
      </c>
    </row>
    <row r="19" spans="1:9" x14ac:dyDescent="0.25">
      <c r="A19" s="56" t="s">
        <v>36</v>
      </c>
      <c r="B19" s="17" t="s">
        <v>37</v>
      </c>
      <c r="C19" s="50">
        <v>3.08</v>
      </c>
      <c r="D19" s="33"/>
      <c r="E19" s="162">
        <f>E18*36%</f>
        <v>174036.77279999998</v>
      </c>
      <c r="F19" s="20">
        <f>F18*36%</f>
        <v>165737.628</v>
      </c>
      <c r="G19" s="20">
        <f t="shared" si="0"/>
        <v>174036.77279999998</v>
      </c>
      <c r="H19" s="21"/>
      <c r="I19" s="32"/>
    </row>
    <row r="20" spans="1:9" x14ac:dyDescent="0.25">
      <c r="A20" s="190" t="s">
        <v>38</v>
      </c>
      <c r="B20" s="5" t="s">
        <v>39</v>
      </c>
      <c r="C20" s="46">
        <v>1.51</v>
      </c>
      <c r="D20" s="33"/>
      <c r="E20" s="24">
        <f>E18*17.7/100</f>
        <v>85568.079959999988</v>
      </c>
      <c r="F20" s="25">
        <f>F18*17.7/100</f>
        <v>81487.667099999991</v>
      </c>
      <c r="G20" s="44">
        <f t="shared" si="0"/>
        <v>85568.079959999988</v>
      </c>
      <c r="H20" s="26"/>
      <c r="I20" s="33"/>
    </row>
    <row r="21" spans="1:9" x14ac:dyDescent="0.25">
      <c r="A21" s="190" t="s">
        <v>40</v>
      </c>
      <c r="B21" s="5" t="s">
        <v>41</v>
      </c>
      <c r="C21" s="25">
        <v>1.36</v>
      </c>
      <c r="D21" s="30"/>
      <c r="E21" s="28">
        <f>E18*16/100</f>
        <v>77349.676800000001</v>
      </c>
      <c r="F21" s="29">
        <f>F18*16%</f>
        <v>73661.168000000005</v>
      </c>
      <c r="G21" s="29">
        <f t="shared" si="0"/>
        <v>77349.676800000001</v>
      </c>
      <c r="H21" s="30"/>
      <c r="I21" s="27"/>
    </row>
    <row r="22" spans="1:9" x14ac:dyDescent="0.25">
      <c r="A22" s="190" t="s">
        <v>42</v>
      </c>
      <c r="B22" s="5" t="s">
        <v>43</v>
      </c>
      <c r="C22" s="46">
        <v>2.6</v>
      </c>
      <c r="D22" s="33"/>
      <c r="E22" s="19">
        <f>E18*30.3/100</f>
        <v>146480.95043999999</v>
      </c>
      <c r="F22" s="44">
        <f>F18*30.3/100</f>
        <v>139495.83689999999</v>
      </c>
      <c r="G22" s="44">
        <f t="shared" si="0"/>
        <v>146480.95043999999</v>
      </c>
      <c r="H22" s="30"/>
      <c r="I22" s="33"/>
    </row>
    <row r="23" spans="1:9" x14ac:dyDescent="0.25">
      <c r="A23" s="190" t="s">
        <v>44</v>
      </c>
      <c r="B23" s="5" t="s">
        <v>45</v>
      </c>
      <c r="C23" s="46">
        <v>1755.25</v>
      </c>
      <c r="D23" s="33">
        <v>887.29</v>
      </c>
      <c r="E23" s="25">
        <v>12398.53</v>
      </c>
      <c r="F23" s="25">
        <v>11996.64</v>
      </c>
      <c r="G23" s="33">
        <f>E23</f>
        <v>12398.53</v>
      </c>
      <c r="H23" s="21">
        <f>D23+F23-G23</f>
        <v>485.39999999999964</v>
      </c>
      <c r="I23" s="33"/>
    </row>
    <row r="24" spans="1:9" x14ac:dyDescent="0.25">
      <c r="A24" s="190" t="s">
        <v>46</v>
      </c>
      <c r="B24" s="5" t="s">
        <v>47</v>
      </c>
      <c r="C24" s="53" t="s">
        <v>48</v>
      </c>
      <c r="D24" s="5">
        <v>-6346.49</v>
      </c>
      <c r="E24" s="54">
        <v>37676.589999999997</v>
      </c>
      <c r="F24" s="46">
        <v>36832.019999999997</v>
      </c>
      <c r="G24" s="5">
        <f>E24</f>
        <v>37676.589999999997</v>
      </c>
      <c r="H24" s="8">
        <f>D24+F24-G24</f>
        <v>-7191.0599999999977</v>
      </c>
      <c r="I24" s="63">
        <f>H24</f>
        <v>-7191.0599999999977</v>
      </c>
    </row>
    <row r="25" spans="1:9" x14ac:dyDescent="0.25">
      <c r="A25" s="42" t="s">
        <v>49</v>
      </c>
      <c r="B25" s="10" t="s">
        <v>50</v>
      </c>
      <c r="C25" s="36">
        <v>4.5999999999999996</v>
      </c>
      <c r="D25" s="38">
        <v>-34593.32</v>
      </c>
      <c r="E25" s="36">
        <v>260273.52</v>
      </c>
      <c r="F25" s="36">
        <v>250847.4</v>
      </c>
      <c r="G25" s="38">
        <f>E25</f>
        <v>260273.52</v>
      </c>
      <c r="H25" s="16">
        <f>D25+F25-G25</f>
        <v>-44019.44</v>
      </c>
      <c r="I25" s="38">
        <f>H25</f>
        <v>-44019.44</v>
      </c>
    </row>
    <row r="26" spans="1:9" x14ac:dyDescent="0.25">
      <c r="A26" s="67" t="s">
        <v>51</v>
      </c>
      <c r="B26" s="11" t="s">
        <v>310</v>
      </c>
      <c r="C26" s="55">
        <v>1.65</v>
      </c>
      <c r="D26" s="41">
        <v>-56826.69</v>
      </c>
      <c r="E26" s="194">
        <v>93242.76</v>
      </c>
      <c r="F26" s="39">
        <v>90055.78</v>
      </c>
      <c r="G26" s="39">
        <f>I55</f>
        <v>80419.899999999994</v>
      </c>
      <c r="H26" s="41">
        <f>D26+F26-G26</f>
        <v>-47190.81</v>
      </c>
      <c r="I26" s="41">
        <f>H26</f>
        <v>-47190.81</v>
      </c>
    </row>
    <row r="27" spans="1:9" x14ac:dyDescent="0.25">
      <c r="A27" s="194" t="s">
        <v>56</v>
      </c>
      <c r="B27" s="55" t="s">
        <v>144</v>
      </c>
      <c r="C27" s="53"/>
      <c r="D27" s="160"/>
      <c r="E27" s="159"/>
      <c r="F27" s="63"/>
      <c r="G27" s="294"/>
      <c r="H27" s="160"/>
      <c r="I27" s="246"/>
    </row>
    <row r="28" spans="1:9" x14ac:dyDescent="0.25">
      <c r="A28" s="67"/>
      <c r="B28" s="14" t="s">
        <v>851</v>
      </c>
      <c r="C28" s="15"/>
      <c r="D28" s="16">
        <v>21594.62</v>
      </c>
      <c r="E28" s="13">
        <v>0</v>
      </c>
      <c r="F28" s="11">
        <f>F29</f>
        <v>71.819999999999993</v>
      </c>
      <c r="G28" s="13">
        <f>I57</f>
        <v>0</v>
      </c>
      <c r="H28" s="16">
        <f>D28+F28-G28</f>
        <v>21666.44</v>
      </c>
      <c r="I28" s="12"/>
    </row>
    <row r="29" spans="1:9" ht="12" customHeight="1" x14ac:dyDescent="0.25">
      <c r="A29" s="48"/>
      <c r="B29" s="295" t="s">
        <v>852</v>
      </c>
      <c r="C29" s="29"/>
      <c r="D29" s="30">
        <v>0</v>
      </c>
      <c r="E29" s="13">
        <v>0</v>
      </c>
      <c r="F29" s="11">
        <v>71.819999999999993</v>
      </c>
      <c r="G29" s="8">
        <f>G28</f>
        <v>0</v>
      </c>
      <c r="H29" s="30" t="s">
        <v>72</v>
      </c>
      <c r="I29" s="27"/>
    </row>
    <row r="30" spans="1:9" x14ac:dyDescent="0.25">
      <c r="A30" s="1" t="s">
        <v>59</v>
      </c>
      <c r="B30" s="1"/>
      <c r="C30" s="1"/>
      <c r="D30" s="1"/>
      <c r="E30" s="1"/>
      <c r="F30" s="1"/>
      <c r="G30" s="2"/>
      <c r="H30" s="2"/>
      <c r="I30" s="2"/>
    </row>
    <row r="31" spans="1:9" x14ac:dyDescent="0.25">
      <c r="A31" s="159" t="s">
        <v>60</v>
      </c>
      <c r="B31" s="53" t="s">
        <v>61</v>
      </c>
      <c r="C31" s="46" t="s">
        <v>356</v>
      </c>
      <c r="D31" s="5" t="s">
        <v>63</v>
      </c>
      <c r="E31" s="5" t="s">
        <v>64</v>
      </c>
      <c r="F31" s="5" t="s">
        <v>62</v>
      </c>
      <c r="G31" s="47"/>
      <c r="H31" s="54" t="s">
        <v>195</v>
      </c>
      <c r="I31" s="47"/>
    </row>
    <row r="32" spans="1:9" x14ac:dyDescent="0.25">
      <c r="A32" s="43"/>
      <c r="B32" s="55"/>
      <c r="C32" s="50" t="s">
        <v>67</v>
      </c>
      <c r="D32" s="17" t="s">
        <v>23</v>
      </c>
      <c r="E32" s="17" t="s">
        <v>312</v>
      </c>
      <c r="F32" s="296" t="s">
        <v>30</v>
      </c>
      <c r="G32" s="297"/>
      <c r="H32" s="288"/>
      <c r="I32" s="51"/>
    </row>
    <row r="33" spans="1:9" x14ac:dyDescent="0.25">
      <c r="A33" s="61"/>
      <c r="B33" s="14" t="s">
        <v>69</v>
      </c>
      <c r="C33" s="21">
        <v>24278.55</v>
      </c>
      <c r="D33" s="17">
        <v>9600</v>
      </c>
      <c r="E33" s="162">
        <f>D33*15%</f>
        <v>1440</v>
      </c>
      <c r="F33" s="260">
        <f>C33+(D33-E33)</f>
        <v>32438.55</v>
      </c>
      <c r="G33" s="260"/>
      <c r="H33" s="162">
        <f>F33-G33</f>
        <v>32438.55</v>
      </c>
      <c r="I33" s="51"/>
    </row>
    <row r="34" spans="1:9" x14ac:dyDescent="0.25">
      <c r="A34" s="43"/>
      <c r="B34" s="4"/>
      <c r="C34" s="19"/>
      <c r="D34" s="43"/>
      <c r="E34" s="19"/>
      <c r="F34" s="298"/>
      <c r="G34" s="298"/>
      <c r="H34" s="19"/>
      <c r="I34" s="43"/>
    </row>
    <row r="35" spans="1:9" x14ac:dyDescent="0.25">
      <c r="A35" s="4" t="s">
        <v>70</v>
      </c>
      <c r="B35" s="4"/>
      <c r="C35" s="4"/>
      <c r="D35" s="52"/>
      <c r="E35" s="4"/>
      <c r="F35" s="4"/>
      <c r="G35" s="4"/>
      <c r="H35" s="4"/>
      <c r="I35" s="4"/>
    </row>
    <row r="36" spans="1:9" x14ac:dyDescent="0.25">
      <c r="A36" s="1" t="s">
        <v>71</v>
      </c>
      <c r="B36" s="1"/>
      <c r="C36" s="1"/>
      <c r="D36" s="1"/>
      <c r="E36" s="1"/>
      <c r="F36" s="299"/>
      <c r="G36" s="1"/>
      <c r="H36" s="1"/>
      <c r="I36" s="1"/>
    </row>
    <row r="37" spans="1:9" x14ac:dyDescent="0.25">
      <c r="A37" s="47" t="s">
        <v>72</v>
      </c>
      <c r="B37" s="53" t="s">
        <v>73</v>
      </c>
      <c r="C37" s="5" t="s">
        <v>74</v>
      </c>
      <c r="D37" s="54" t="s">
        <v>75</v>
      </c>
      <c r="E37" s="5" t="s">
        <v>76</v>
      </c>
      <c r="F37" s="54" t="s">
        <v>77</v>
      </c>
      <c r="G37" s="5" t="s">
        <v>78</v>
      </c>
      <c r="H37" s="54" t="s">
        <v>79</v>
      </c>
      <c r="I37" s="5" t="s">
        <v>853</v>
      </c>
    </row>
    <row r="38" spans="1:9" x14ac:dyDescent="0.25">
      <c r="A38" s="56"/>
      <c r="B38" s="55" t="s">
        <v>80</v>
      </c>
      <c r="C38" s="6" t="s">
        <v>81</v>
      </c>
      <c r="D38" s="43" t="s">
        <v>82</v>
      </c>
      <c r="E38" s="6" t="s">
        <v>83</v>
      </c>
      <c r="F38" s="43" t="s">
        <v>84</v>
      </c>
      <c r="G38" s="6" t="s">
        <v>85</v>
      </c>
      <c r="H38" s="43" t="s">
        <v>86</v>
      </c>
      <c r="I38" s="6" t="s">
        <v>87</v>
      </c>
    </row>
    <row r="39" spans="1:9" x14ac:dyDescent="0.25">
      <c r="A39" s="56"/>
      <c r="B39" s="49"/>
      <c r="C39" s="6"/>
      <c r="D39" s="43"/>
      <c r="E39" s="6"/>
      <c r="F39" s="43" t="s">
        <v>88</v>
      </c>
      <c r="G39" s="6" t="s">
        <v>89</v>
      </c>
      <c r="H39" s="43"/>
      <c r="I39" s="6" t="s">
        <v>221</v>
      </c>
    </row>
    <row r="40" spans="1:9" x14ac:dyDescent="0.25">
      <c r="A40" s="48">
        <v>1</v>
      </c>
      <c r="B40" s="8" t="s">
        <v>91</v>
      </c>
      <c r="C40" s="10" t="s">
        <v>92</v>
      </c>
      <c r="D40" s="8">
        <v>-152166.54</v>
      </c>
      <c r="E40" s="196">
        <v>709410.66</v>
      </c>
      <c r="F40" s="8">
        <v>675683.6</v>
      </c>
      <c r="G40" s="9">
        <f>E40</f>
        <v>709410.66</v>
      </c>
      <c r="H40" s="8">
        <f>D40+F40-G40</f>
        <v>-185893.60000000009</v>
      </c>
      <c r="I40" s="48">
        <f>H40</f>
        <v>-185893.60000000009</v>
      </c>
    </row>
    <row r="41" spans="1:9" x14ac:dyDescent="0.25">
      <c r="A41" s="48"/>
      <c r="B41" s="8" t="s">
        <v>93</v>
      </c>
      <c r="C41" s="35" t="s">
        <v>94</v>
      </c>
      <c r="D41" s="8"/>
      <c r="E41" s="59"/>
      <c r="F41" s="8"/>
      <c r="G41" s="9"/>
      <c r="H41" s="8"/>
      <c r="I41" s="48"/>
    </row>
    <row r="42" spans="1:9" x14ac:dyDescent="0.25">
      <c r="A42" s="48">
        <v>2</v>
      </c>
      <c r="B42" s="8" t="s">
        <v>99</v>
      </c>
      <c r="C42" s="35" t="s">
        <v>100</v>
      </c>
      <c r="D42" s="8">
        <v>-446546.83</v>
      </c>
      <c r="E42" s="9">
        <v>1399558.29</v>
      </c>
      <c r="F42" s="8">
        <v>1321358.8999999999</v>
      </c>
      <c r="G42" s="7">
        <f>E42</f>
        <v>1399558.29</v>
      </c>
      <c r="H42" s="8">
        <f>D42+F42-G42</f>
        <v>-524746.2200000002</v>
      </c>
      <c r="I42" s="8">
        <f>H42</f>
        <v>-524746.2200000002</v>
      </c>
    </row>
    <row r="43" spans="1:9" x14ac:dyDescent="0.25">
      <c r="A43" s="1" t="s">
        <v>101</v>
      </c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4" t="s">
        <v>102</v>
      </c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54" t="s">
        <v>12</v>
      </c>
      <c r="B45" s="5" t="s">
        <v>103</v>
      </c>
      <c r="C45" s="46" t="s">
        <v>104</v>
      </c>
      <c r="D45" s="54"/>
      <c r="E45" s="54"/>
      <c r="F45" s="47"/>
      <c r="G45" s="54" t="s">
        <v>199</v>
      </c>
      <c r="H45" s="5" t="s">
        <v>165</v>
      </c>
      <c r="I45" s="5" t="s">
        <v>107</v>
      </c>
    </row>
    <row r="46" spans="1:9" x14ac:dyDescent="0.25">
      <c r="A46" s="43" t="s">
        <v>108</v>
      </c>
      <c r="B46" s="6"/>
      <c r="C46" s="49"/>
      <c r="D46" s="43"/>
      <c r="E46" s="43"/>
      <c r="F46" s="56"/>
      <c r="G46" s="43" t="s">
        <v>201</v>
      </c>
      <c r="H46" s="6" t="s">
        <v>85</v>
      </c>
      <c r="I46" s="6" t="s">
        <v>109</v>
      </c>
    </row>
    <row r="47" spans="1:9" x14ac:dyDescent="0.25">
      <c r="A47" s="43"/>
      <c r="B47" s="17"/>
      <c r="C47" s="50"/>
      <c r="D47" s="61"/>
      <c r="E47" s="61"/>
      <c r="F47" s="51"/>
      <c r="G47" s="43"/>
      <c r="H47" s="6"/>
      <c r="I47" s="6"/>
    </row>
    <row r="48" spans="1:9" x14ac:dyDescent="0.25">
      <c r="A48" s="62"/>
      <c r="B48" s="63"/>
      <c r="C48" s="53" t="s">
        <v>597</v>
      </c>
      <c r="D48" s="159"/>
      <c r="E48" s="159"/>
      <c r="F48" s="47"/>
      <c r="G48" s="54"/>
      <c r="H48" s="5"/>
      <c r="I48" s="5"/>
    </row>
    <row r="49" spans="1:9" x14ac:dyDescent="0.25">
      <c r="A49" s="64" t="s">
        <v>111</v>
      </c>
      <c r="B49" s="65">
        <v>43182</v>
      </c>
      <c r="C49" s="49" t="s">
        <v>854</v>
      </c>
      <c r="D49" s="43"/>
      <c r="E49" s="43"/>
      <c r="F49" s="56"/>
      <c r="G49" s="19" t="s">
        <v>205</v>
      </c>
      <c r="H49" s="6">
        <v>1</v>
      </c>
      <c r="I49" s="6">
        <v>9091</v>
      </c>
    </row>
    <row r="50" spans="1:9" x14ac:dyDescent="0.25">
      <c r="A50" s="64" t="s">
        <v>114</v>
      </c>
      <c r="B50" s="65">
        <v>43186</v>
      </c>
      <c r="C50" s="49" t="s">
        <v>112</v>
      </c>
      <c r="D50" s="43"/>
      <c r="E50" s="43"/>
      <c r="F50" s="56"/>
      <c r="G50" s="19" t="s">
        <v>203</v>
      </c>
      <c r="H50" s="6">
        <v>110</v>
      </c>
      <c r="I50" s="6">
        <v>22000</v>
      </c>
    </row>
    <row r="51" spans="1:9" x14ac:dyDescent="0.25">
      <c r="A51" s="64" t="s">
        <v>170</v>
      </c>
      <c r="B51" s="65">
        <v>43342</v>
      </c>
      <c r="C51" s="49" t="s">
        <v>855</v>
      </c>
      <c r="D51" s="43"/>
      <c r="E51" s="43"/>
      <c r="F51" s="56"/>
      <c r="G51" s="19" t="s">
        <v>205</v>
      </c>
      <c r="H51" s="6">
        <v>2</v>
      </c>
      <c r="I51" s="6">
        <v>2328.9</v>
      </c>
    </row>
    <row r="52" spans="1:9" x14ac:dyDescent="0.25">
      <c r="A52" s="64" t="s">
        <v>173</v>
      </c>
      <c r="B52" s="65">
        <v>43395</v>
      </c>
      <c r="C52" s="49" t="s">
        <v>856</v>
      </c>
      <c r="D52" s="43"/>
      <c r="E52" s="43"/>
      <c r="F52" s="56"/>
      <c r="G52" s="19" t="s">
        <v>205</v>
      </c>
      <c r="H52" s="6">
        <v>1</v>
      </c>
      <c r="I52" s="6">
        <v>25000</v>
      </c>
    </row>
    <row r="53" spans="1:9" x14ac:dyDescent="0.25">
      <c r="A53" s="64" t="s">
        <v>257</v>
      </c>
      <c r="B53" s="65">
        <v>43404</v>
      </c>
      <c r="C53" s="49" t="s">
        <v>112</v>
      </c>
      <c r="D53" s="43"/>
      <c r="E53" s="43"/>
      <c r="F53" s="56"/>
      <c r="G53" s="19" t="s">
        <v>116</v>
      </c>
      <c r="H53" s="6">
        <v>110</v>
      </c>
      <c r="I53" s="6">
        <v>22000</v>
      </c>
    </row>
    <row r="54" spans="1:9" x14ac:dyDescent="0.25">
      <c r="A54" s="236"/>
      <c r="B54" s="65"/>
      <c r="C54" s="49"/>
      <c r="D54" s="43"/>
      <c r="E54" s="43"/>
      <c r="F54" s="56"/>
      <c r="G54" s="19"/>
      <c r="H54" s="6"/>
      <c r="I54" s="6"/>
    </row>
    <row r="55" spans="1:9" x14ac:dyDescent="0.25">
      <c r="A55" s="66"/>
      <c r="B55" s="17"/>
      <c r="C55" s="14" t="s">
        <v>117</v>
      </c>
      <c r="D55" s="13"/>
      <c r="E55" s="13"/>
      <c r="F55" s="67"/>
      <c r="G55" s="161"/>
      <c r="H55" s="11"/>
      <c r="I55" s="11">
        <f>SUM(I48:I54)</f>
        <v>80419.899999999994</v>
      </c>
    </row>
    <row r="56" spans="1:9" x14ac:dyDescent="0.25">
      <c r="A56" s="43"/>
      <c r="B56" s="43"/>
      <c r="C56" s="43"/>
      <c r="D56" s="43"/>
      <c r="E56" s="43"/>
      <c r="F56" s="43"/>
      <c r="G56" s="43"/>
      <c r="H56" s="43"/>
      <c r="I56" s="43"/>
    </row>
    <row r="57" spans="1:9" x14ac:dyDescent="0.25">
      <c r="A57" s="68"/>
      <c r="B57" s="43"/>
      <c r="C57" s="4"/>
      <c r="D57" s="43"/>
      <c r="E57" s="43"/>
      <c r="F57" s="4"/>
      <c r="G57" s="165"/>
      <c r="H57" s="4"/>
      <c r="I57" s="4"/>
    </row>
    <row r="58" spans="1:9" x14ac:dyDescent="0.25">
      <c r="A58" s="2" t="s">
        <v>118</v>
      </c>
      <c r="B58" s="2"/>
      <c r="C58" s="2" t="s">
        <v>72</v>
      </c>
      <c r="D58" s="2" t="s">
        <v>119</v>
      </c>
      <c r="E58" s="2"/>
      <c r="F58" s="2" t="s">
        <v>120</v>
      </c>
      <c r="G58" s="2"/>
      <c r="H58" s="2" t="s">
        <v>121</v>
      </c>
      <c r="I58" s="2" t="s">
        <v>857</v>
      </c>
    </row>
    <row r="59" spans="1:9" x14ac:dyDescent="0.25">
      <c r="A59" s="2"/>
      <c r="B59" s="2"/>
    </row>
  </sheetData>
  <pageMargins left="0.7" right="0.7" top="0.75" bottom="0.75" header="0.3" footer="0.3"/>
  <pageSetup paperSize="9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0" workbookViewId="0">
      <selection activeCell="I65" sqref="I65"/>
    </sheetView>
  </sheetViews>
  <sheetFormatPr defaultRowHeight="15" x14ac:dyDescent="0.25"/>
  <cols>
    <col min="1" max="1" width="4.42578125" customWidth="1"/>
    <col min="2" max="2" width="31.42578125" customWidth="1"/>
    <col min="3" max="3" width="12.85546875" customWidth="1"/>
    <col min="5" max="5" width="10.7109375" customWidth="1"/>
    <col min="6" max="6" width="12.7109375" customWidth="1"/>
    <col min="8" max="8" width="12.28515625" customWidth="1"/>
    <col min="9" max="9" width="21.140625" customWidth="1"/>
  </cols>
  <sheetData>
    <row r="1" spans="1:9" x14ac:dyDescent="0.25">
      <c r="A1" t="s">
        <v>858</v>
      </c>
      <c r="C1" s="45" t="s">
        <v>859</v>
      </c>
      <c r="D1" s="45"/>
      <c r="E1" s="45"/>
      <c r="F1" s="45"/>
      <c r="G1" s="45"/>
      <c r="H1" s="45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860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861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862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863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7">
        <v>6</v>
      </c>
      <c r="G17" s="8">
        <v>7</v>
      </c>
      <c r="H17" s="5">
        <v>8</v>
      </c>
      <c r="I17" s="5">
        <v>9</v>
      </c>
    </row>
    <row r="18" spans="1:9" x14ac:dyDescent="0.25">
      <c r="A18" s="10">
        <v>1</v>
      </c>
      <c r="B18" s="11" t="s">
        <v>323</v>
      </c>
      <c r="C18" s="11">
        <v>8.9600000000000009</v>
      </c>
      <c r="D18" s="34">
        <v>-34194.76</v>
      </c>
      <c r="E18" s="13">
        <v>506258.28</v>
      </c>
      <c r="F18" s="14">
        <v>494919.39</v>
      </c>
      <c r="G18" s="16">
        <f>E18</f>
        <v>506258.28</v>
      </c>
      <c r="H18" s="38">
        <f>D18+F18-G18</f>
        <v>-45533.650000000023</v>
      </c>
      <c r="I18" s="34">
        <f>H18</f>
        <v>-45533.650000000023</v>
      </c>
    </row>
    <row r="19" spans="1:9" x14ac:dyDescent="0.25">
      <c r="A19" s="6" t="s">
        <v>36</v>
      </c>
      <c r="B19" s="17" t="s">
        <v>37</v>
      </c>
      <c r="C19" s="17">
        <v>3.08</v>
      </c>
      <c r="D19" s="18"/>
      <c r="E19" s="162">
        <f>E18*34.4%</f>
        <v>174152.84831999999</v>
      </c>
      <c r="F19" s="20">
        <f>F18*34.4%</f>
        <v>170252.27015999999</v>
      </c>
      <c r="G19" s="26">
        <f>E19</f>
        <v>174152.84831999999</v>
      </c>
      <c r="H19" s="26"/>
      <c r="I19" s="18"/>
    </row>
    <row r="20" spans="1:9" x14ac:dyDescent="0.25">
      <c r="A20" s="22" t="s">
        <v>38</v>
      </c>
      <c r="B20" s="5" t="s">
        <v>188</v>
      </c>
      <c r="C20" s="5">
        <v>1.47</v>
      </c>
      <c r="D20" s="23"/>
      <c r="E20" s="24">
        <f>E18*16.4%</f>
        <v>83026.357919999995</v>
      </c>
      <c r="F20" s="25">
        <f>F18*16.4/100</f>
        <v>81166.77996</v>
      </c>
      <c r="G20" s="33">
        <f>E20</f>
        <v>83026.357919999995</v>
      </c>
      <c r="H20" s="33"/>
      <c r="I20" s="23"/>
    </row>
    <row r="21" spans="1:9" x14ac:dyDescent="0.25">
      <c r="A21" s="17"/>
      <c r="B21" s="17" t="s">
        <v>189</v>
      </c>
      <c r="C21" s="17"/>
      <c r="D21" s="18"/>
      <c r="E21" s="162"/>
      <c r="F21" s="20"/>
      <c r="G21" s="21"/>
      <c r="H21" s="21"/>
      <c r="I21" s="18"/>
    </row>
    <row r="22" spans="1:9" x14ac:dyDescent="0.25">
      <c r="A22" s="22" t="s">
        <v>40</v>
      </c>
      <c r="B22" s="5" t="s">
        <v>41</v>
      </c>
      <c r="C22" s="5">
        <v>1.81</v>
      </c>
      <c r="D22" s="23"/>
      <c r="E22" s="24">
        <f>E18*20.2%</f>
        <v>102264.17255999999</v>
      </c>
      <c r="F22" s="25">
        <f>F18*20.2/100</f>
        <v>99973.716779999988</v>
      </c>
      <c r="G22" s="26">
        <f>E22</f>
        <v>102264.17255999999</v>
      </c>
      <c r="H22" s="26"/>
      <c r="I22" s="23"/>
    </row>
    <row r="23" spans="1:9" x14ac:dyDescent="0.25">
      <c r="A23" s="22" t="s">
        <v>42</v>
      </c>
      <c r="B23" s="5" t="s">
        <v>43</v>
      </c>
      <c r="C23" s="5">
        <v>2.6</v>
      </c>
      <c r="D23" s="23"/>
      <c r="E23" s="28">
        <f>E18*29%</f>
        <v>146814.90119999999</v>
      </c>
      <c r="F23" s="29">
        <f>F18*29/100</f>
        <v>143526.6231</v>
      </c>
      <c r="G23" s="30">
        <f>E23</f>
        <v>146814.90119999999</v>
      </c>
      <c r="H23" s="30"/>
      <c r="I23" s="23"/>
    </row>
    <row r="24" spans="1:9" x14ac:dyDescent="0.25">
      <c r="A24" s="22" t="s">
        <v>44</v>
      </c>
      <c r="B24" s="5" t="s">
        <v>245</v>
      </c>
      <c r="C24" s="63">
        <v>1755.25</v>
      </c>
      <c r="D24" s="23">
        <v>1181.4100000000001</v>
      </c>
      <c r="E24" s="162">
        <v>12043.66</v>
      </c>
      <c r="F24" s="20">
        <v>11873.49</v>
      </c>
      <c r="G24" s="21">
        <f>E24</f>
        <v>12043.66</v>
      </c>
      <c r="H24" s="21">
        <f>D24+F24-E24</f>
        <v>1011.2399999999998</v>
      </c>
      <c r="I24" s="23"/>
    </row>
    <row r="25" spans="1:9" x14ac:dyDescent="0.25">
      <c r="A25" s="22" t="s">
        <v>46</v>
      </c>
      <c r="B25" s="5" t="s">
        <v>47</v>
      </c>
      <c r="C25" s="63" t="s">
        <v>48</v>
      </c>
      <c r="D25" s="23">
        <v>-5979.42</v>
      </c>
      <c r="E25" s="48">
        <v>38648.879999999997</v>
      </c>
      <c r="F25" s="9">
        <v>37621.800000000003</v>
      </c>
      <c r="G25" s="8">
        <f>E25</f>
        <v>38648.879999999997</v>
      </c>
      <c r="H25" s="27">
        <f>D25+F25-E25</f>
        <v>-7006.4999999999927</v>
      </c>
      <c r="I25" s="42">
        <f>H25</f>
        <v>-7006.4999999999927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4">
        <v>-25305.96</v>
      </c>
      <c r="E26" s="13">
        <v>259909.2</v>
      </c>
      <c r="F26" s="14">
        <v>255046.62</v>
      </c>
      <c r="G26" s="16">
        <f>E26</f>
        <v>259909.2</v>
      </c>
      <c r="H26" s="16">
        <f>D26+F26-G26</f>
        <v>-30168.540000000008</v>
      </c>
      <c r="I26" s="34">
        <f>H26</f>
        <v>-30168.540000000008</v>
      </c>
    </row>
    <row r="27" spans="1:9" x14ac:dyDescent="0.25">
      <c r="A27" s="10" t="s">
        <v>51</v>
      </c>
      <c r="B27" s="11" t="s">
        <v>52</v>
      </c>
      <c r="C27" s="11">
        <v>1.82</v>
      </c>
      <c r="D27" s="40">
        <v>98002.57</v>
      </c>
      <c r="E27" s="39">
        <v>102833.76</v>
      </c>
      <c r="F27" s="39">
        <f>F28+F29</f>
        <v>102096.01</v>
      </c>
      <c r="G27" s="39">
        <f>I60</f>
        <v>119717</v>
      </c>
      <c r="H27" s="40">
        <f>D27+F27-G27</f>
        <v>80381.580000000016</v>
      </c>
      <c r="I27" s="16"/>
    </row>
    <row r="28" spans="1:9" x14ac:dyDescent="0.25">
      <c r="A28" s="11"/>
      <c r="B28" s="8" t="s">
        <v>53</v>
      </c>
      <c r="C28" s="67"/>
      <c r="D28" s="37"/>
      <c r="E28" s="10"/>
      <c r="F28" s="10">
        <v>102096.01</v>
      </c>
      <c r="G28" s="36">
        <f>G27</f>
        <v>119717</v>
      </c>
      <c r="H28" s="38"/>
      <c r="I28" s="16"/>
    </row>
    <row r="29" spans="1:9" x14ac:dyDescent="0.25">
      <c r="A29" s="11"/>
      <c r="B29" s="8" t="s">
        <v>54</v>
      </c>
      <c r="C29" s="67"/>
      <c r="D29" s="40"/>
      <c r="E29" s="39"/>
      <c r="F29" s="39">
        <v>0</v>
      </c>
      <c r="G29" s="55"/>
      <c r="H29" s="40"/>
      <c r="I29" s="16"/>
    </row>
    <row r="30" spans="1:9" x14ac:dyDescent="0.25">
      <c r="A30" s="10" t="s">
        <v>56</v>
      </c>
      <c r="B30" s="11" t="s">
        <v>864</v>
      </c>
      <c r="C30" s="13"/>
      <c r="D30" s="37">
        <v>50131.89</v>
      </c>
      <c r="E30" s="10">
        <v>0</v>
      </c>
      <c r="F30" s="10">
        <f>F31</f>
        <v>0.02</v>
      </c>
      <c r="G30" s="36">
        <v>0</v>
      </c>
      <c r="H30" s="37">
        <f>D30+F30-G30</f>
        <v>50131.909999999996</v>
      </c>
      <c r="I30" s="16"/>
    </row>
    <row r="31" spans="1:9" x14ac:dyDescent="0.25">
      <c r="A31" s="8"/>
      <c r="B31" s="8" t="s">
        <v>53</v>
      </c>
      <c r="C31" s="9">
        <v>0</v>
      </c>
      <c r="D31" s="29"/>
      <c r="E31" s="8"/>
      <c r="F31" s="8">
        <v>0.02</v>
      </c>
      <c r="G31" s="8">
        <f>I63</f>
        <v>0</v>
      </c>
      <c r="H31" s="29"/>
      <c r="I31" s="30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3" spans="1:9" x14ac:dyDescent="0.25">
      <c r="A33" s="63" t="s">
        <v>60</v>
      </c>
      <c r="B33" s="54" t="s">
        <v>61</v>
      </c>
      <c r="C33" s="5" t="s">
        <v>65</v>
      </c>
      <c r="D33" s="47" t="s">
        <v>63</v>
      </c>
      <c r="E33" s="54" t="s">
        <v>64</v>
      </c>
      <c r="F33" s="5" t="s">
        <v>65</v>
      </c>
      <c r="G33" s="5"/>
      <c r="H33" s="54" t="s">
        <v>195</v>
      </c>
      <c r="I33" s="47"/>
    </row>
    <row r="34" spans="1:9" x14ac:dyDescent="0.25">
      <c r="A34" s="6"/>
      <c r="B34" s="43"/>
      <c r="C34" s="17" t="s">
        <v>67</v>
      </c>
      <c r="D34" s="51" t="s">
        <v>23</v>
      </c>
      <c r="E34" s="61" t="s">
        <v>312</v>
      </c>
      <c r="F34" s="17" t="s">
        <v>30</v>
      </c>
      <c r="G34" s="17"/>
      <c r="H34" s="61"/>
      <c r="I34" s="51"/>
    </row>
    <row r="35" spans="1:9" x14ac:dyDescent="0.25">
      <c r="A35" s="11"/>
      <c r="B35" s="61" t="s">
        <v>69</v>
      </c>
      <c r="C35" s="20">
        <v>6152.5</v>
      </c>
      <c r="D35" s="8">
        <v>0</v>
      </c>
      <c r="E35" s="162">
        <f>D35*15%</f>
        <v>0</v>
      </c>
      <c r="F35" s="21">
        <f>C35+(D35-E35)</f>
        <v>6152.5</v>
      </c>
      <c r="G35" s="21"/>
      <c r="H35" s="162">
        <f>F35</f>
        <v>6152.5</v>
      </c>
      <c r="I35" s="51"/>
    </row>
    <row r="36" spans="1:9" x14ac:dyDescent="0.25">
      <c r="A36" s="4" t="s">
        <v>70</v>
      </c>
      <c r="B36" s="4"/>
      <c r="C36" s="4"/>
      <c r="D36" s="52"/>
      <c r="E36" s="4"/>
      <c r="F36" s="4"/>
      <c r="G36" s="4"/>
      <c r="H36" s="4"/>
      <c r="I36" s="4"/>
    </row>
    <row r="37" spans="1:9" x14ac:dyDescent="0.25">
      <c r="A37" s="1" t="s">
        <v>71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78</v>
      </c>
      <c r="H38" s="47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5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 t="s">
        <v>89</v>
      </c>
      <c r="H40" s="56"/>
      <c r="I40" s="6" t="s">
        <v>221</v>
      </c>
    </row>
    <row r="41" spans="1:9" x14ac:dyDescent="0.25">
      <c r="A41" s="8"/>
      <c r="B41" s="7"/>
      <c r="C41" s="7"/>
      <c r="D41" s="8"/>
      <c r="E41" s="48"/>
      <c r="F41" s="9"/>
      <c r="G41" s="8"/>
      <c r="H41" s="48"/>
      <c r="I41" s="48"/>
    </row>
    <row r="42" spans="1:9" x14ac:dyDescent="0.25">
      <c r="A42" s="17">
        <v>1</v>
      </c>
      <c r="B42" s="17" t="s">
        <v>91</v>
      </c>
      <c r="C42" s="14" t="s">
        <v>92</v>
      </c>
      <c r="D42" s="6">
        <v>-24148.1</v>
      </c>
      <c r="E42" s="57">
        <v>192933.26</v>
      </c>
      <c r="F42" s="6">
        <v>190293.98</v>
      </c>
      <c r="G42" s="43">
        <f>E42</f>
        <v>192933.26</v>
      </c>
      <c r="H42" s="6">
        <f>D42+F42-G42</f>
        <v>-26787.380000000005</v>
      </c>
      <c r="I42" s="56">
        <f>H42</f>
        <v>-26787.380000000005</v>
      </c>
    </row>
    <row r="43" spans="1:9" x14ac:dyDescent="0.25">
      <c r="A43" s="17"/>
      <c r="B43" s="17" t="s">
        <v>93</v>
      </c>
      <c r="C43" s="13" t="s">
        <v>94</v>
      </c>
      <c r="D43" s="8"/>
      <c r="E43" s="59"/>
      <c r="F43" s="7"/>
      <c r="G43" s="8"/>
      <c r="H43" s="8"/>
      <c r="I43" s="48"/>
    </row>
    <row r="44" spans="1:9" x14ac:dyDescent="0.25">
      <c r="A44" s="17">
        <v>2</v>
      </c>
      <c r="B44" s="17" t="s">
        <v>95</v>
      </c>
      <c r="C44" s="13" t="s">
        <v>96</v>
      </c>
      <c r="D44" s="8">
        <v>-80581.67</v>
      </c>
      <c r="E44" s="9">
        <v>317316.47999999998</v>
      </c>
      <c r="F44" s="7">
        <v>328584.95</v>
      </c>
      <c r="G44" s="8">
        <f>E44</f>
        <v>317316.47999999998</v>
      </c>
      <c r="H44" s="9">
        <f>D44+F44-G44</f>
        <v>-69313.199999999953</v>
      </c>
      <c r="I44" s="8">
        <f>H44</f>
        <v>-69313.199999999953</v>
      </c>
    </row>
    <row r="45" spans="1:9" x14ac:dyDescent="0.25">
      <c r="A45" s="209"/>
      <c r="B45" s="2" t="s">
        <v>97</v>
      </c>
      <c r="C45" s="300"/>
      <c r="D45" s="5"/>
      <c r="F45" s="209"/>
      <c r="H45" s="209"/>
      <c r="I45" s="5"/>
    </row>
    <row r="46" spans="1:9" x14ac:dyDescent="0.25">
      <c r="A46" s="209"/>
      <c r="B46" s="8" t="s">
        <v>313</v>
      </c>
      <c r="C46" s="13" t="s">
        <v>94</v>
      </c>
      <c r="D46" s="5"/>
      <c r="E46" s="209"/>
      <c r="F46" s="209"/>
      <c r="G46" s="209"/>
      <c r="H46" s="209"/>
      <c r="I46" s="5"/>
    </row>
    <row r="47" spans="1:9" x14ac:dyDescent="0.25">
      <c r="A47" s="8">
        <v>3</v>
      </c>
      <c r="B47" s="8" t="s">
        <v>99</v>
      </c>
      <c r="C47" s="35" t="s">
        <v>100</v>
      </c>
      <c r="D47" s="8">
        <v>-473395.57</v>
      </c>
      <c r="E47" s="9">
        <v>1521771.93</v>
      </c>
      <c r="F47" s="8">
        <v>1472558.97</v>
      </c>
      <c r="G47" s="7">
        <f>E47</f>
        <v>1521771.93</v>
      </c>
      <c r="H47" s="8">
        <f>D47+F47-G47</f>
        <v>-522608.53</v>
      </c>
      <c r="I47" s="8">
        <f>H47</f>
        <v>-522608.53</v>
      </c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47" t="s">
        <v>106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/>
      <c r="H51" s="56"/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17"/>
      <c r="H52" s="56"/>
      <c r="I52" s="6"/>
    </row>
    <row r="53" spans="1:9" x14ac:dyDescent="0.25">
      <c r="A53" s="62"/>
      <c r="B53" s="4"/>
      <c r="C53" s="53" t="s">
        <v>597</v>
      </c>
      <c r="D53" s="159"/>
      <c r="E53" s="159"/>
      <c r="F53" s="54"/>
      <c r="G53" s="5"/>
      <c r="H53" s="54"/>
      <c r="I53" s="5"/>
    </row>
    <row r="54" spans="1:9" x14ac:dyDescent="0.25">
      <c r="A54" s="64" t="s">
        <v>111</v>
      </c>
      <c r="B54" s="69">
        <v>43186</v>
      </c>
      <c r="C54" s="49" t="s">
        <v>237</v>
      </c>
      <c r="D54" s="43"/>
      <c r="E54" s="43"/>
      <c r="F54" s="43"/>
      <c r="G54" s="26" t="s">
        <v>203</v>
      </c>
      <c r="H54" s="19">
        <v>154</v>
      </c>
      <c r="I54" s="6">
        <v>30800</v>
      </c>
    </row>
    <row r="55" spans="1:9" x14ac:dyDescent="0.25">
      <c r="A55" s="64"/>
      <c r="B55" s="69">
        <v>43186</v>
      </c>
      <c r="C55" s="49" t="s">
        <v>254</v>
      </c>
      <c r="D55" s="43"/>
      <c r="E55" s="43"/>
      <c r="F55" s="43"/>
      <c r="G55" s="26" t="s">
        <v>255</v>
      </c>
      <c r="H55" s="19">
        <v>2</v>
      </c>
      <c r="I55" s="6">
        <v>2400</v>
      </c>
    </row>
    <row r="56" spans="1:9" x14ac:dyDescent="0.25">
      <c r="A56" s="64" t="s">
        <v>114</v>
      </c>
      <c r="B56" s="69">
        <v>43315</v>
      </c>
      <c r="C56" s="49" t="s">
        <v>865</v>
      </c>
      <c r="D56" s="43"/>
      <c r="E56" s="43"/>
      <c r="F56" s="43"/>
      <c r="G56" s="26" t="s">
        <v>169</v>
      </c>
      <c r="H56" s="43">
        <v>8.6</v>
      </c>
      <c r="I56" s="6">
        <v>17436</v>
      </c>
    </row>
    <row r="57" spans="1:9" x14ac:dyDescent="0.25">
      <c r="A57" s="64" t="s">
        <v>170</v>
      </c>
      <c r="B57" s="69">
        <v>43404</v>
      </c>
      <c r="C57" s="49" t="s">
        <v>237</v>
      </c>
      <c r="D57" s="43"/>
      <c r="E57" s="43"/>
      <c r="F57" s="43"/>
      <c r="G57" s="26" t="s">
        <v>116</v>
      </c>
      <c r="H57" s="19">
        <v>154</v>
      </c>
      <c r="I57" s="6">
        <v>30800</v>
      </c>
    </row>
    <row r="58" spans="1:9" x14ac:dyDescent="0.25">
      <c r="A58" s="64" t="s">
        <v>173</v>
      </c>
      <c r="B58" s="69">
        <v>43447</v>
      </c>
      <c r="C58" s="49" t="s">
        <v>254</v>
      </c>
      <c r="D58" s="43"/>
      <c r="E58" s="43"/>
      <c r="F58" s="43"/>
      <c r="G58" s="26" t="s">
        <v>255</v>
      </c>
      <c r="H58" s="19">
        <v>1.5</v>
      </c>
      <c r="I58" s="6">
        <v>2400</v>
      </c>
    </row>
    <row r="59" spans="1:9" x14ac:dyDescent="0.25">
      <c r="A59" s="64" t="s">
        <v>257</v>
      </c>
      <c r="B59" s="69">
        <v>43456</v>
      </c>
      <c r="C59" s="49" t="s">
        <v>866</v>
      </c>
      <c r="D59" s="43"/>
      <c r="E59" s="43"/>
      <c r="F59" s="43"/>
      <c r="G59" s="26" t="s">
        <v>116</v>
      </c>
      <c r="H59" s="19">
        <v>22</v>
      </c>
      <c r="I59" s="6">
        <v>35881</v>
      </c>
    </row>
    <row r="60" spans="1:9" x14ac:dyDescent="0.25">
      <c r="A60" s="226"/>
      <c r="C60" s="14" t="s">
        <v>117</v>
      </c>
      <c r="D60" s="13"/>
      <c r="E60" s="13"/>
      <c r="F60" s="13"/>
      <c r="G60" s="16"/>
      <c r="H60" s="161"/>
      <c r="I60" s="11">
        <f>SUM(I53:I59)</f>
        <v>119717</v>
      </c>
    </row>
    <row r="61" spans="1:9" x14ac:dyDescent="0.25">
      <c r="A61" s="5"/>
      <c r="B61" s="5"/>
      <c r="C61" s="7"/>
      <c r="D61" s="9"/>
      <c r="E61" s="9"/>
      <c r="F61" s="9"/>
      <c r="G61" s="8"/>
      <c r="H61" s="19"/>
      <c r="I61" s="5"/>
    </row>
    <row r="62" spans="1:9" x14ac:dyDescent="0.25">
      <c r="A62" s="5" t="s">
        <v>49</v>
      </c>
      <c r="B62" s="63" t="s">
        <v>258</v>
      </c>
      <c r="C62" s="55" t="s">
        <v>259</v>
      </c>
      <c r="D62" s="43"/>
      <c r="E62" s="43"/>
      <c r="F62" s="43" t="s">
        <v>260</v>
      </c>
      <c r="G62" s="6"/>
      <c r="H62" s="47"/>
      <c r="I62" s="5"/>
    </row>
    <row r="63" spans="1:9" x14ac:dyDescent="0.25">
      <c r="A63" s="66"/>
      <c r="B63" s="17" t="s">
        <v>258</v>
      </c>
      <c r="C63" s="14" t="s">
        <v>117</v>
      </c>
      <c r="D63" s="61"/>
      <c r="E63" s="61"/>
      <c r="F63" s="61" t="s">
        <v>72</v>
      </c>
      <c r="G63" s="21"/>
      <c r="H63" s="51"/>
      <c r="I63" s="16">
        <v>0</v>
      </c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 t="s">
        <v>867</v>
      </c>
      <c r="B65" s="2"/>
      <c r="C65" s="2" t="s">
        <v>72</v>
      </c>
      <c r="D65" s="2" t="s">
        <v>119</v>
      </c>
      <c r="E65" s="2"/>
      <c r="F65" s="2" t="s">
        <v>120</v>
      </c>
      <c r="G65" s="2"/>
      <c r="H65" s="2" t="s">
        <v>121</v>
      </c>
      <c r="I65" s="2" t="s">
        <v>868</v>
      </c>
    </row>
  </sheetData>
  <pageMargins left="0.7" right="0.7" top="0.75" bottom="0.75" header="0.3" footer="0.3"/>
  <pageSetup paperSize="9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E24" sqref="E24"/>
    </sheetView>
  </sheetViews>
  <sheetFormatPr defaultRowHeight="15" x14ac:dyDescent="0.25"/>
  <cols>
    <col min="1" max="1" width="5.42578125" customWidth="1"/>
    <col min="2" max="2" width="36.28515625" customWidth="1"/>
    <col min="3" max="3" width="15.28515625" customWidth="1"/>
    <col min="5" max="5" width="12.85546875" customWidth="1"/>
    <col min="6" max="6" width="14" customWidth="1"/>
    <col min="8" max="8" width="11.5703125" customWidth="1"/>
    <col min="9" max="9" width="17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869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870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871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17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872</v>
      </c>
      <c r="C18" s="11">
        <v>8.5500000000000007</v>
      </c>
      <c r="D18" s="12">
        <v>-29108.81</v>
      </c>
      <c r="E18" s="13">
        <v>491775.24</v>
      </c>
      <c r="F18" s="14">
        <v>474192.23</v>
      </c>
      <c r="G18" s="15">
        <f>E18</f>
        <v>491775.24</v>
      </c>
      <c r="H18" s="16">
        <f>D18+F18-G18</f>
        <v>-46691.820000000007</v>
      </c>
      <c r="I18" s="12">
        <f>H18</f>
        <v>-46691.820000000007</v>
      </c>
    </row>
    <row r="19" spans="1:9" x14ac:dyDescent="0.25">
      <c r="A19" s="6" t="s">
        <v>36</v>
      </c>
      <c r="B19" s="6" t="s">
        <v>217</v>
      </c>
      <c r="C19" s="6"/>
      <c r="D19" s="32"/>
      <c r="E19" s="19"/>
      <c r="F19" s="44"/>
      <c r="G19" s="44"/>
      <c r="H19" s="26"/>
      <c r="I19" s="32"/>
    </row>
    <row r="20" spans="1:9" x14ac:dyDescent="0.25">
      <c r="A20" s="17"/>
      <c r="B20" s="17" t="s">
        <v>218</v>
      </c>
      <c r="C20" s="17">
        <v>3.08</v>
      </c>
      <c r="D20" s="18"/>
      <c r="E20" s="162">
        <f>E18*36%</f>
        <v>177039.0864</v>
      </c>
      <c r="F20" s="20">
        <f>F18*36/100</f>
        <v>170709.2028</v>
      </c>
      <c r="G20" s="20">
        <f t="shared" ref="G20:G26" si="0">E20</f>
        <v>177039.0864</v>
      </c>
      <c r="H20" s="21"/>
      <c r="I20" s="18"/>
    </row>
    <row r="21" spans="1:9" x14ac:dyDescent="0.25">
      <c r="A21" s="22" t="s">
        <v>38</v>
      </c>
      <c r="B21" s="5" t="s">
        <v>39</v>
      </c>
      <c r="C21" s="5">
        <v>1.51</v>
      </c>
      <c r="D21" s="23"/>
      <c r="E21" s="24">
        <f>E18*17.7/100</f>
        <v>87044.217479999992</v>
      </c>
      <c r="F21" s="25">
        <f>F18*17.7/100</f>
        <v>83932.024709999983</v>
      </c>
      <c r="G21" s="44">
        <f t="shared" si="0"/>
        <v>87044.217479999992</v>
      </c>
      <c r="H21" s="26"/>
      <c r="I21" s="23"/>
    </row>
    <row r="22" spans="1:9" x14ac:dyDescent="0.25">
      <c r="A22" s="22" t="s">
        <v>40</v>
      </c>
      <c r="B22" s="5" t="s">
        <v>41</v>
      </c>
      <c r="C22" s="33">
        <v>1.36</v>
      </c>
      <c r="D22" s="23"/>
      <c r="E22" s="28">
        <f>E18*16/100</f>
        <v>78684.038400000005</v>
      </c>
      <c r="F22" s="29">
        <f>F18*16/100</f>
        <v>75870.756800000003</v>
      </c>
      <c r="G22" s="29">
        <f t="shared" si="0"/>
        <v>78684.038400000005</v>
      </c>
      <c r="H22" s="30"/>
      <c r="I22" s="23"/>
    </row>
    <row r="23" spans="1:9" x14ac:dyDescent="0.25">
      <c r="A23" s="22" t="s">
        <v>42</v>
      </c>
      <c r="B23" s="5" t="s">
        <v>43</v>
      </c>
      <c r="C23" s="5">
        <v>2.6</v>
      </c>
      <c r="D23" s="23"/>
      <c r="E23" s="19">
        <f>E18*30.3/100</f>
        <v>149007.89772000001</v>
      </c>
      <c r="F23" s="44">
        <f>F18*30.3%</f>
        <v>143680.24568999998</v>
      </c>
      <c r="G23" s="44">
        <f t="shared" si="0"/>
        <v>149007.89772000001</v>
      </c>
      <c r="H23" s="26"/>
      <c r="I23" s="23"/>
    </row>
    <row r="24" spans="1:9" x14ac:dyDescent="0.25">
      <c r="A24" s="22" t="s">
        <v>44</v>
      </c>
      <c r="B24" s="9" t="s">
        <v>245</v>
      </c>
      <c r="C24" s="7">
        <v>1755.25</v>
      </c>
      <c r="D24" s="33">
        <v>1146.31</v>
      </c>
      <c r="E24" s="28">
        <v>12392.16</v>
      </c>
      <c r="F24" s="29">
        <v>12045.82</v>
      </c>
      <c r="G24" s="29">
        <f t="shared" si="0"/>
        <v>12392.16</v>
      </c>
      <c r="H24" s="30">
        <f>D24+F24-G24</f>
        <v>799.96999999999935</v>
      </c>
      <c r="I24" s="30"/>
    </row>
    <row r="25" spans="1:9" x14ac:dyDescent="0.25">
      <c r="A25" s="22" t="s">
        <v>46</v>
      </c>
      <c r="B25" s="9" t="s">
        <v>47</v>
      </c>
      <c r="C25" s="7" t="s">
        <v>48</v>
      </c>
      <c r="D25" s="30">
        <v>-4767.5</v>
      </c>
      <c r="E25" s="9">
        <v>37989.96</v>
      </c>
      <c r="F25" s="7">
        <v>36839.800000000003</v>
      </c>
      <c r="G25" s="7">
        <f>E25</f>
        <v>37989.96</v>
      </c>
      <c r="H25" s="30">
        <f>D25+F25-E25</f>
        <v>-5917.6599999999962</v>
      </c>
      <c r="I25" s="42">
        <f>H25</f>
        <v>-5917.6599999999962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4">
        <v>-35790.410000000003</v>
      </c>
      <c r="E26" s="35">
        <v>264579.12</v>
      </c>
      <c r="F26" s="36">
        <v>257142.14</v>
      </c>
      <c r="G26" s="37">
        <f t="shared" si="0"/>
        <v>264579.12</v>
      </c>
      <c r="H26" s="38">
        <f>D26+F26-G26</f>
        <v>-43227.389999999985</v>
      </c>
      <c r="I26" s="34">
        <f>H26</f>
        <v>-43227.389999999985</v>
      </c>
    </row>
    <row r="27" spans="1:9" x14ac:dyDescent="0.25">
      <c r="A27" s="11" t="s">
        <v>51</v>
      </c>
      <c r="B27" s="11" t="s">
        <v>310</v>
      </c>
      <c r="C27" s="11">
        <v>2.48</v>
      </c>
      <c r="D27" s="38">
        <v>348605.8</v>
      </c>
      <c r="E27" s="10">
        <v>134686.78</v>
      </c>
      <c r="F27" s="10">
        <f>F28+F29</f>
        <v>136108.51999999999</v>
      </c>
      <c r="G27" s="38">
        <f>I58</f>
        <v>21500</v>
      </c>
      <c r="H27" s="37">
        <f>D27+F27-G27</f>
        <v>463214.31999999995</v>
      </c>
      <c r="I27" s="38"/>
    </row>
    <row r="28" spans="1:9" x14ac:dyDescent="0.25">
      <c r="A28" s="11"/>
      <c r="B28" s="8" t="s">
        <v>53</v>
      </c>
      <c r="C28" s="13"/>
      <c r="D28" s="37"/>
      <c r="E28" s="10"/>
      <c r="F28" s="10">
        <v>135930.47</v>
      </c>
      <c r="G28" s="37"/>
      <c r="H28" s="37"/>
      <c r="I28" s="38"/>
    </row>
    <row r="29" spans="1:9" x14ac:dyDescent="0.25">
      <c r="A29" s="11"/>
      <c r="B29" s="8" t="s">
        <v>367</v>
      </c>
      <c r="C29" s="13"/>
      <c r="D29" s="40"/>
      <c r="E29" s="39"/>
      <c r="F29" s="39">
        <v>178.05</v>
      </c>
      <c r="G29" s="40"/>
      <c r="H29" s="40"/>
      <c r="I29" s="41"/>
    </row>
    <row r="30" spans="1:9" x14ac:dyDescent="0.25">
      <c r="A30" s="10" t="s">
        <v>56</v>
      </c>
      <c r="B30" s="10" t="s">
        <v>144</v>
      </c>
      <c r="C30" s="35"/>
      <c r="D30" s="164"/>
      <c r="E30" s="10"/>
      <c r="F30" s="10"/>
      <c r="G30" s="53"/>
      <c r="H30" s="164"/>
      <c r="I30" s="160"/>
    </row>
    <row r="31" spans="1:9" x14ac:dyDescent="0.25">
      <c r="A31" s="11"/>
      <c r="B31" s="11" t="s">
        <v>873</v>
      </c>
      <c r="C31" s="161"/>
      <c r="D31" s="37">
        <v>178.05</v>
      </c>
      <c r="E31" s="11">
        <f>E32</f>
        <v>0</v>
      </c>
      <c r="F31" s="11">
        <f>-F32</f>
        <v>-178.05</v>
      </c>
      <c r="G31" s="38">
        <f>G32</f>
        <v>0</v>
      </c>
      <c r="H31" s="37">
        <f>D31+F31-G31</f>
        <v>0</v>
      </c>
      <c r="I31" s="38"/>
    </row>
    <row r="32" spans="1:9" x14ac:dyDescent="0.25">
      <c r="A32" s="8"/>
      <c r="B32" s="8" t="s">
        <v>874</v>
      </c>
      <c r="C32" s="9"/>
      <c r="D32" s="29">
        <v>0</v>
      </c>
      <c r="E32" s="11">
        <v>0</v>
      </c>
      <c r="F32" s="11">
        <v>178.05</v>
      </c>
      <c r="G32" s="30"/>
      <c r="H32" s="37"/>
      <c r="I32" s="30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53" t="s">
        <v>60</v>
      </c>
      <c r="B35" s="46" t="s">
        <v>61</v>
      </c>
      <c r="C35" s="8" t="s">
        <v>62</v>
      </c>
      <c r="D35" s="8" t="s">
        <v>63</v>
      </c>
      <c r="E35" s="8" t="s">
        <v>476</v>
      </c>
      <c r="F35" s="8" t="s">
        <v>62</v>
      </c>
      <c r="G35" s="8"/>
      <c r="H35" s="7" t="s">
        <v>195</v>
      </c>
      <c r="I35" s="48"/>
    </row>
    <row r="36" spans="1:9" x14ac:dyDescent="0.25">
      <c r="A36" s="55"/>
      <c r="B36" s="49"/>
      <c r="C36" s="17" t="s">
        <v>67</v>
      </c>
      <c r="D36" s="51" t="s">
        <v>23</v>
      </c>
      <c r="E36" s="8" t="s">
        <v>312</v>
      </c>
      <c r="F36" s="8" t="s">
        <v>30</v>
      </c>
      <c r="G36" s="8"/>
      <c r="H36" s="61"/>
      <c r="I36" s="51"/>
    </row>
    <row r="37" spans="1:9" x14ac:dyDescent="0.25">
      <c r="A37" s="50"/>
      <c r="B37" s="50" t="s">
        <v>69</v>
      </c>
      <c r="C37" s="30">
        <v>12038.55</v>
      </c>
      <c r="D37" s="51">
        <v>9600</v>
      </c>
      <c r="E37" s="30">
        <f>D37*15%</f>
        <v>1440</v>
      </c>
      <c r="F37" s="30">
        <f>C37+(D37-E37)</f>
        <v>20198.55</v>
      </c>
      <c r="G37" s="30"/>
      <c r="H37" s="162">
        <f>F37-G37</f>
        <v>20198.55</v>
      </c>
      <c r="I37" s="51"/>
    </row>
    <row r="38" spans="1:9" x14ac:dyDescent="0.25">
      <c r="A38" s="43"/>
      <c r="B38" s="43"/>
      <c r="C38" s="19"/>
      <c r="D38" s="43"/>
      <c r="E38" s="19"/>
      <c r="F38" s="19"/>
      <c r="G38" s="19"/>
      <c r="H38" s="19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/>
      <c r="I43" s="6" t="s">
        <v>875</v>
      </c>
    </row>
    <row r="44" spans="1:9" x14ac:dyDescent="0.25">
      <c r="A44" s="5"/>
      <c r="B44" s="5"/>
      <c r="C44" s="159"/>
      <c r="D44" s="8"/>
      <c r="E44" s="9"/>
      <c r="F44" s="7"/>
      <c r="G44" s="7"/>
      <c r="H44" s="8"/>
      <c r="I44" s="48"/>
    </row>
    <row r="45" spans="1:9" x14ac:dyDescent="0.25">
      <c r="A45" s="8">
        <v>1</v>
      </c>
      <c r="B45" s="8" t="s">
        <v>91</v>
      </c>
      <c r="C45" s="10" t="s">
        <v>92</v>
      </c>
      <c r="D45" s="56">
        <v>-190433.91</v>
      </c>
      <c r="E45" s="252">
        <v>648069.07999999996</v>
      </c>
      <c r="F45" s="6">
        <v>628570.56999999995</v>
      </c>
      <c r="G45" s="6">
        <f>E45</f>
        <v>648069.07999999996</v>
      </c>
      <c r="H45" s="6">
        <f>D45+F45-G45</f>
        <v>-209932.42000000004</v>
      </c>
      <c r="I45" s="56">
        <f>H45</f>
        <v>-209932.42000000004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8"/>
      <c r="G46" s="8"/>
      <c r="H46" s="8"/>
      <c r="I46" s="48"/>
    </row>
    <row r="47" spans="1:9" x14ac:dyDescent="0.25">
      <c r="A47" s="8">
        <v>2</v>
      </c>
      <c r="B47" s="8" t="s">
        <v>99</v>
      </c>
      <c r="C47" s="35" t="s">
        <v>100</v>
      </c>
      <c r="D47" s="8">
        <v>-451636.36</v>
      </c>
      <c r="E47" s="9">
        <v>1334138.3</v>
      </c>
      <c r="F47" s="8">
        <v>1255597.73</v>
      </c>
      <c r="G47" s="8">
        <f>E47</f>
        <v>1334138.3</v>
      </c>
      <c r="H47" s="8">
        <f>D47+F47-G47</f>
        <v>-530176.93000000005</v>
      </c>
      <c r="I47" s="48">
        <f>H47</f>
        <v>-530176.93000000005</v>
      </c>
    </row>
    <row r="48" spans="1:9" x14ac:dyDescent="0.25">
      <c r="A48" s="43"/>
      <c r="B48" s="43"/>
      <c r="C48" s="4"/>
      <c r="D48" s="43"/>
      <c r="E48" s="43"/>
      <c r="F48" s="43"/>
      <c r="G48" s="43"/>
      <c r="H48" s="43"/>
      <c r="I48" s="43"/>
    </row>
    <row r="49" spans="1:9" x14ac:dyDescent="0.25">
      <c r="A49" s="1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" t="s">
        <v>102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437</v>
      </c>
      <c r="C51" s="46" t="s">
        <v>104</v>
      </c>
      <c r="D51" s="54"/>
      <c r="E51" s="54"/>
      <c r="F51" s="47"/>
      <c r="G51" s="47" t="s">
        <v>199</v>
      </c>
      <c r="H51" s="47" t="s">
        <v>165</v>
      </c>
      <c r="I51" s="5" t="s">
        <v>107</v>
      </c>
    </row>
    <row r="52" spans="1:9" x14ac:dyDescent="0.25">
      <c r="A52" s="49" t="s">
        <v>108</v>
      </c>
      <c r="B52" s="6" t="s">
        <v>438</v>
      </c>
      <c r="C52" s="49"/>
      <c r="D52" s="43"/>
      <c r="E52" s="43"/>
      <c r="F52" s="56"/>
      <c r="G52" s="56" t="s">
        <v>201</v>
      </c>
      <c r="H52" s="56" t="s">
        <v>85</v>
      </c>
      <c r="I52" s="6" t="s">
        <v>109</v>
      </c>
    </row>
    <row r="53" spans="1:9" x14ac:dyDescent="0.25">
      <c r="A53" s="49"/>
      <c r="B53" s="17"/>
      <c r="C53" s="50"/>
      <c r="D53" s="61"/>
      <c r="E53" s="61"/>
      <c r="F53" s="51"/>
      <c r="G53" s="56"/>
      <c r="H53" s="56"/>
      <c r="I53" s="6"/>
    </row>
    <row r="54" spans="1:9" x14ac:dyDescent="0.25">
      <c r="A54" s="62"/>
      <c r="B54" s="39"/>
      <c r="C54" s="55" t="s">
        <v>110</v>
      </c>
      <c r="D54" s="4"/>
      <c r="E54" s="4"/>
      <c r="F54" s="56"/>
      <c r="G54" s="47"/>
      <c r="H54" s="47"/>
      <c r="I54" s="5"/>
    </row>
    <row r="55" spans="1:9" x14ac:dyDescent="0.25">
      <c r="A55" s="64" t="s">
        <v>111</v>
      </c>
      <c r="B55" s="65">
        <v>43315</v>
      </c>
      <c r="C55" s="49" t="s">
        <v>171</v>
      </c>
      <c r="D55" s="43"/>
      <c r="E55" s="43"/>
      <c r="F55" s="56" t="s">
        <v>72</v>
      </c>
      <c r="G55" s="32" t="s">
        <v>172</v>
      </c>
      <c r="H55" s="56">
        <v>1</v>
      </c>
      <c r="I55" s="6">
        <v>21500</v>
      </c>
    </row>
    <row r="56" spans="1:9" x14ac:dyDescent="0.25">
      <c r="A56" s="64"/>
      <c r="B56" s="65"/>
      <c r="C56" s="49"/>
      <c r="D56" s="43"/>
      <c r="E56" s="43"/>
      <c r="F56" s="32"/>
      <c r="G56" s="32"/>
      <c r="H56" s="56"/>
      <c r="I56" s="6"/>
    </row>
    <row r="57" spans="1:9" x14ac:dyDescent="0.25">
      <c r="A57" s="236"/>
      <c r="B57" s="65"/>
      <c r="C57" s="49"/>
      <c r="D57" s="43"/>
      <c r="E57" s="43"/>
      <c r="F57" s="56"/>
      <c r="G57" s="32"/>
      <c r="H57" s="56"/>
      <c r="I57" s="6"/>
    </row>
    <row r="58" spans="1:9" x14ac:dyDescent="0.25">
      <c r="A58" s="66"/>
      <c r="B58" s="17"/>
      <c r="C58" s="14" t="s">
        <v>117</v>
      </c>
      <c r="D58" s="13"/>
      <c r="E58" s="13"/>
      <c r="F58" s="67"/>
      <c r="G58" s="12"/>
      <c r="H58" s="67"/>
      <c r="I58" s="16">
        <f>SUM(I54:I57)</f>
        <v>21500</v>
      </c>
    </row>
    <row r="59" spans="1:9" x14ac:dyDescent="0.25">
      <c r="A59" s="43"/>
      <c r="B59" s="43"/>
      <c r="C59" s="43"/>
      <c r="D59" s="43"/>
      <c r="E59" s="43"/>
      <c r="F59" s="43"/>
      <c r="G59" s="43"/>
      <c r="H59" s="43"/>
      <c r="I59" s="43"/>
    </row>
    <row r="60" spans="1:9" x14ac:dyDescent="0.25">
      <c r="B60" s="2"/>
      <c r="C60" s="2" t="s">
        <v>72</v>
      </c>
      <c r="E60" s="2"/>
      <c r="F60" s="2"/>
      <c r="G60" s="2"/>
      <c r="H60" s="2"/>
    </row>
    <row r="61" spans="1:9" x14ac:dyDescent="0.25">
      <c r="A61" s="2" t="s">
        <v>540</v>
      </c>
      <c r="C61" s="2" t="s">
        <v>119</v>
      </c>
      <c r="D61" s="2"/>
      <c r="E61" s="2" t="s">
        <v>120</v>
      </c>
      <c r="F61" s="2"/>
      <c r="G61" s="2" t="s">
        <v>72</v>
      </c>
      <c r="H61" s="2" t="s">
        <v>121</v>
      </c>
      <c r="I61" s="2" t="s">
        <v>876</v>
      </c>
    </row>
  </sheetData>
  <pageMargins left="0.7" right="0.7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7" workbookViewId="0">
      <selection activeCell="B38" sqref="B38"/>
    </sheetView>
  </sheetViews>
  <sheetFormatPr defaultRowHeight="15" x14ac:dyDescent="0.25"/>
  <cols>
    <col min="1" max="1" width="5.42578125" customWidth="1"/>
    <col min="2" max="2" width="37.28515625" customWidth="1"/>
    <col min="3" max="3" width="13.7109375" customWidth="1"/>
    <col min="5" max="5" width="11.42578125" customWidth="1"/>
    <col min="8" max="8" width="11.28515625" customWidth="1"/>
    <col min="9" max="9" width="20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877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878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879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880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35</v>
      </c>
      <c r="C18" s="11">
        <v>8.5500000000000007</v>
      </c>
      <c r="D18" s="16">
        <v>-31550.48</v>
      </c>
      <c r="E18" s="13">
        <v>344030.28</v>
      </c>
      <c r="F18" s="14">
        <v>336072.28</v>
      </c>
      <c r="G18" s="16">
        <f t="shared" ref="G18:G25" si="0">E18</f>
        <v>344030.28</v>
      </c>
      <c r="H18" s="12">
        <f>D18+F18-G18</f>
        <v>-39508.479999999981</v>
      </c>
      <c r="I18" s="16">
        <f>H18</f>
        <v>-39508.479999999981</v>
      </c>
    </row>
    <row r="19" spans="1:9" x14ac:dyDescent="0.25">
      <c r="A19" s="66" t="s">
        <v>138</v>
      </c>
      <c r="B19" s="17" t="s">
        <v>37</v>
      </c>
      <c r="C19" s="17">
        <v>3.08</v>
      </c>
      <c r="D19" s="21"/>
      <c r="E19" s="162">
        <f>E18*36/100</f>
        <v>123850.90080000002</v>
      </c>
      <c r="F19" s="20">
        <f>F18*36/100</f>
        <v>120986.02080000001</v>
      </c>
      <c r="G19" s="21">
        <f t="shared" si="0"/>
        <v>123850.90080000002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33"/>
      <c r="E20" s="24">
        <f>E18*17.7/100</f>
        <v>60893.359560000004</v>
      </c>
      <c r="F20" s="25">
        <f>F18*17.7/100</f>
        <v>59484.793560000006</v>
      </c>
      <c r="G20" s="26">
        <f t="shared" si="0"/>
        <v>60893.359560000004</v>
      </c>
      <c r="H20" s="30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3"/>
      <c r="E21" s="30">
        <f>E18*16/100</f>
        <v>55044.844800000006</v>
      </c>
      <c r="F21" s="25">
        <f>F18*16/100</f>
        <v>53771.564800000007</v>
      </c>
      <c r="G21" s="33">
        <f t="shared" si="0"/>
        <v>55044.844800000006</v>
      </c>
      <c r="H21" s="19"/>
      <c r="I21" s="33"/>
    </row>
    <row r="22" spans="1:9" x14ac:dyDescent="0.25">
      <c r="A22" s="22" t="s">
        <v>42</v>
      </c>
      <c r="B22" s="5" t="s">
        <v>43</v>
      </c>
      <c r="C22" s="5">
        <v>2.6</v>
      </c>
      <c r="D22" s="33"/>
      <c r="E22" s="24">
        <f>E18*30.3/100</f>
        <v>104241.17484000001</v>
      </c>
      <c r="F22" s="25">
        <f>F18*30.3%</f>
        <v>101829.90084</v>
      </c>
      <c r="G22" s="30">
        <f>E22</f>
        <v>104241.17484000001</v>
      </c>
      <c r="H22" s="23"/>
      <c r="I22" s="33"/>
    </row>
    <row r="23" spans="1:9" x14ac:dyDescent="0.25">
      <c r="A23" s="22" t="s">
        <v>44</v>
      </c>
      <c r="B23" s="5" t="s">
        <v>418</v>
      </c>
      <c r="C23" s="5">
        <v>1755.25</v>
      </c>
      <c r="D23" s="33"/>
      <c r="E23" s="24">
        <v>3534.51</v>
      </c>
      <c r="F23" s="25">
        <v>1714.51</v>
      </c>
      <c r="G23" s="33">
        <f>E23</f>
        <v>3534.51</v>
      </c>
      <c r="H23" s="23">
        <f>F23-G23</f>
        <v>-1820.0000000000002</v>
      </c>
      <c r="I23" s="246">
        <f>H23</f>
        <v>-1820.0000000000002</v>
      </c>
    </row>
    <row r="24" spans="1:9" x14ac:dyDescent="0.25">
      <c r="A24" s="22" t="s">
        <v>44</v>
      </c>
      <c r="B24" s="5" t="s">
        <v>47</v>
      </c>
      <c r="C24" s="5" t="s">
        <v>48</v>
      </c>
      <c r="D24" s="33">
        <v>-3383.6</v>
      </c>
      <c r="E24" s="54">
        <v>24926.400000000001</v>
      </c>
      <c r="F24" s="46">
        <v>24819.06</v>
      </c>
      <c r="G24" s="5">
        <f>E24</f>
        <v>24926.400000000001</v>
      </c>
      <c r="H24" s="5">
        <f>D24+F24-G24</f>
        <v>-3490.9399999999987</v>
      </c>
      <c r="I24" s="195">
        <f>H24</f>
        <v>-3490.9399999999987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8">
        <v>-14770.62</v>
      </c>
      <c r="E25" s="35">
        <v>185091.12</v>
      </c>
      <c r="F25" s="36">
        <v>181188.93</v>
      </c>
      <c r="G25" s="38">
        <f t="shared" si="0"/>
        <v>185091.12</v>
      </c>
      <c r="H25" s="290">
        <f>D25+F25-G25</f>
        <v>-18672.809999999998</v>
      </c>
      <c r="I25" s="38">
        <f>H25</f>
        <v>-18672.809999999998</v>
      </c>
    </row>
    <row r="26" spans="1:9" x14ac:dyDescent="0.25">
      <c r="A26" s="11" t="s">
        <v>51</v>
      </c>
      <c r="B26" s="11" t="s">
        <v>310</v>
      </c>
      <c r="C26" s="11">
        <v>1.65</v>
      </c>
      <c r="D26" s="16">
        <v>114358.78</v>
      </c>
      <c r="E26" s="11">
        <v>66393.600000000006</v>
      </c>
      <c r="F26" s="11">
        <f>F27+F28</f>
        <v>65133.8</v>
      </c>
      <c r="G26" s="39">
        <f xml:space="preserve"> I56</f>
        <v>11000</v>
      </c>
      <c r="H26" s="40">
        <f>D26+F26-G26</f>
        <v>168492.58000000002</v>
      </c>
      <c r="I26" s="16" t="s">
        <v>72</v>
      </c>
    </row>
    <row r="27" spans="1:9" x14ac:dyDescent="0.25">
      <c r="A27" s="11"/>
      <c r="B27" s="8" t="s">
        <v>53</v>
      </c>
      <c r="C27" s="13"/>
      <c r="D27" s="16"/>
      <c r="E27" s="13"/>
      <c r="F27" s="11">
        <v>65412.41</v>
      </c>
      <c r="G27" s="36"/>
      <c r="H27" s="38"/>
      <c r="I27" s="16"/>
    </row>
    <row r="28" spans="1:9" x14ac:dyDescent="0.25">
      <c r="A28" s="11"/>
      <c r="B28" s="17" t="s">
        <v>58</v>
      </c>
      <c r="C28" s="13"/>
      <c r="D28" s="16"/>
      <c r="E28" s="13"/>
      <c r="F28" s="11">
        <v>-278.61</v>
      </c>
      <c r="G28" s="55"/>
      <c r="H28" s="40"/>
      <c r="I28" s="16"/>
    </row>
    <row r="29" spans="1:9" x14ac:dyDescent="0.25">
      <c r="A29" s="11" t="s">
        <v>56</v>
      </c>
      <c r="B29" s="11" t="s">
        <v>881</v>
      </c>
      <c r="C29" s="13">
        <v>0</v>
      </c>
      <c r="D29" s="16">
        <v>-278.61</v>
      </c>
      <c r="E29" s="13">
        <v>0</v>
      </c>
      <c r="F29" s="11">
        <v>-278.61</v>
      </c>
      <c r="G29" s="36">
        <f>G30</f>
        <v>0</v>
      </c>
      <c r="H29" s="38">
        <v>0</v>
      </c>
      <c r="I29" s="16"/>
    </row>
    <row r="30" spans="1:9" x14ac:dyDescent="0.25">
      <c r="A30" s="8"/>
      <c r="B30" s="8" t="s">
        <v>53</v>
      </c>
      <c r="C30" s="9"/>
      <c r="D30" s="30"/>
      <c r="E30" s="9">
        <v>0</v>
      </c>
      <c r="F30" s="8">
        <v>0</v>
      </c>
      <c r="G30" s="7">
        <v>0</v>
      </c>
      <c r="H30" s="21"/>
      <c r="I30" s="30"/>
    </row>
    <row r="31" spans="1:9" x14ac:dyDescent="0.25">
      <c r="A31" s="8"/>
      <c r="B31" s="8" t="s">
        <v>58</v>
      </c>
      <c r="C31" s="9"/>
      <c r="D31" s="21"/>
      <c r="E31" s="9"/>
      <c r="F31" s="8">
        <v>-278.61</v>
      </c>
      <c r="G31" s="9"/>
      <c r="H31" s="30"/>
      <c r="I31" s="21"/>
    </row>
    <row r="32" spans="1:9" x14ac:dyDescent="0.25">
      <c r="A32" s="43"/>
      <c r="B32" s="43"/>
      <c r="C32" s="43"/>
      <c r="D32" s="43"/>
      <c r="E32" s="43"/>
      <c r="F32" s="43"/>
      <c r="G32" s="43"/>
      <c r="H32" s="19"/>
      <c r="I32" s="19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63" t="s">
        <v>60</v>
      </c>
      <c r="B34" s="46" t="s">
        <v>709</v>
      </c>
      <c r="C34" s="25" t="s">
        <v>710</v>
      </c>
      <c r="D34" s="46" t="s">
        <v>63</v>
      </c>
      <c r="E34" s="5" t="s">
        <v>476</v>
      </c>
      <c r="F34" s="24" t="s">
        <v>710</v>
      </c>
      <c r="G34" s="54"/>
      <c r="H34" s="25" t="s">
        <v>699</v>
      </c>
      <c r="I34" s="47"/>
    </row>
    <row r="35" spans="1:9" x14ac:dyDescent="0.25">
      <c r="A35" s="39"/>
      <c r="B35" s="49"/>
      <c r="C35" s="20" t="s">
        <v>67</v>
      </c>
      <c r="D35" s="50" t="s">
        <v>23</v>
      </c>
      <c r="E35" s="17" t="s">
        <v>312</v>
      </c>
      <c r="F35" s="61" t="s">
        <v>30</v>
      </c>
      <c r="G35" s="61"/>
      <c r="H35" s="20"/>
      <c r="I35" s="51"/>
    </row>
    <row r="36" spans="1:9" x14ac:dyDescent="0.25">
      <c r="A36" s="17"/>
      <c r="B36" s="17" t="s">
        <v>713</v>
      </c>
      <c r="C36" s="20">
        <v>6962.55</v>
      </c>
      <c r="D36" s="17">
        <v>2400</v>
      </c>
      <c r="E36" s="61">
        <f>D36*15%</f>
        <v>360</v>
      </c>
      <c r="F36" s="20">
        <f>C36+(D36-E36)</f>
        <v>9002.5499999999993</v>
      </c>
      <c r="G36" s="18"/>
      <c r="H36" s="20">
        <f>F36-G36</f>
        <v>9002.5499999999993</v>
      </c>
      <c r="I36" s="51"/>
    </row>
    <row r="37" spans="1:9" x14ac:dyDescent="0.25">
      <c r="A37" s="43"/>
      <c r="B37" s="43"/>
      <c r="C37" s="19"/>
      <c r="D37" s="43"/>
      <c r="E37" s="43"/>
      <c r="F37" s="19"/>
      <c r="G37" s="19"/>
      <c r="H37" s="19"/>
      <c r="I37" s="43"/>
    </row>
    <row r="38" spans="1:9" x14ac:dyDescent="0.25">
      <c r="A38" s="43"/>
      <c r="B38" s="43"/>
      <c r="C38" s="19"/>
      <c r="D38" s="43"/>
      <c r="E38" s="43"/>
      <c r="F38" s="19"/>
      <c r="G38" s="19"/>
      <c r="H38" s="19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3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882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 t="s">
        <v>33</v>
      </c>
      <c r="I43" s="6" t="s">
        <v>221</v>
      </c>
    </row>
    <row r="44" spans="1:9" x14ac:dyDescent="0.25">
      <c r="A44" s="8">
        <v>1</v>
      </c>
      <c r="B44" s="8" t="s">
        <v>91</v>
      </c>
      <c r="C44" s="10" t="s">
        <v>92</v>
      </c>
      <c r="D44" s="47">
        <v>-39370.26</v>
      </c>
      <c r="E44" s="196">
        <v>507104.17</v>
      </c>
      <c r="F44" s="7">
        <v>404031.31</v>
      </c>
      <c r="G44" s="8">
        <f>E44</f>
        <v>507104.17</v>
      </c>
      <c r="H44" s="8">
        <f>D44+F44-G44</f>
        <v>-142443.12</v>
      </c>
      <c r="I44" s="5">
        <f>H44</f>
        <v>-142443.12</v>
      </c>
    </row>
    <row r="45" spans="1:9" x14ac:dyDescent="0.25">
      <c r="A45" s="8"/>
      <c r="B45" s="8" t="s">
        <v>93</v>
      </c>
      <c r="C45" s="10" t="s">
        <v>94</v>
      </c>
      <c r="D45" s="47"/>
      <c r="E45" s="59"/>
      <c r="F45" s="7"/>
      <c r="G45" s="17"/>
      <c r="H45" s="17"/>
      <c r="I45" s="5"/>
    </row>
    <row r="46" spans="1:9" x14ac:dyDescent="0.25">
      <c r="A46" s="8">
        <v>2</v>
      </c>
      <c r="B46" s="8" t="s">
        <v>99</v>
      </c>
      <c r="C46" s="10" t="s">
        <v>100</v>
      </c>
      <c r="D46" s="48">
        <v>-280000.49</v>
      </c>
      <c r="E46" s="9">
        <v>1151666.56</v>
      </c>
      <c r="F46" s="7">
        <v>1098062.02</v>
      </c>
      <c r="G46" s="17">
        <f>E46</f>
        <v>1151666.56</v>
      </c>
      <c r="H46" s="17">
        <f>D46+F46-G46</f>
        <v>-333605.03000000003</v>
      </c>
      <c r="I46" s="8">
        <f>H46</f>
        <v>-333605.03000000003</v>
      </c>
    </row>
    <row r="47" spans="1:9" x14ac:dyDescent="0.25">
      <c r="A47" s="1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5" t="s">
        <v>105</v>
      </c>
      <c r="H49" s="47" t="s">
        <v>165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56"/>
      <c r="G50" s="6"/>
      <c r="H50" s="56" t="s">
        <v>85</v>
      </c>
      <c r="I50" s="6" t="s">
        <v>109</v>
      </c>
    </row>
    <row r="51" spans="1:9" x14ac:dyDescent="0.25">
      <c r="A51" s="49"/>
      <c r="B51" s="17"/>
      <c r="C51" s="50"/>
      <c r="D51" s="61"/>
      <c r="E51" s="61"/>
      <c r="F51" s="51"/>
      <c r="G51" s="6"/>
      <c r="H51" s="56"/>
      <c r="I51" s="6"/>
    </row>
    <row r="52" spans="1:9" x14ac:dyDescent="0.25">
      <c r="A52" s="62" t="s">
        <v>72</v>
      </c>
      <c r="B52" s="63"/>
      <c r="C52" s="159" t="s">
        <v>110</v>
      </c>
      <c r="D52" s="159"/>
      <c r="E52" s="159"/>
      <c r="F52" s="54"/>
      <c r="G52" s="5"/>
      <c r="H52" s="47"/>
      <c r="I52" s="5"/>
    </row>
    <row r="53" spans="1:9" x14ac:dyDescent="0.25">
      <c r="A53" s="64"/>
      <c r="B53" s="6"/>
      <c r="C53" s="43" t="s">
        <v>72</v>
      </c>
      <c r="D53" s="43"/>
      <c r="E53" s="43"/>
      <c r="F53" s="43" t="s">
        <v>72</v>
      </c>
      <c r="G53" s="26"/>
      <c r="H53" s="56" t="s">
        <v>72</v>
      </c>
      <c r="I53" s="6"/>
    </row>
    <row r="54" spans="1:9" x14ac:dyDescent="0.25">
      <c r="A54" s="64" t="s">
        <v>111</v>
      </c>
      <c r="B54" s="65">
        <v>43186</v>
      </c>
      <c r="C54" s="43" t="s">
        <v>237</v>
      </c>
      <c r="D54" s="43"/>
      <c r="E54" s="43"/>
      <c r="F54" s="43"/>
      <c r="G54" s="26" t="s">
        <v>113</v>
      </c>
      <c r="H54" s="56">
        <v>55</v>
      </c>
      <c r="I54" s="6">
        <v>11000</v>
      </c>
    </row>
    <row r="55" spans="1:9" x14ac:dyDescent="0.25">
      <c r="A55" s="64"/>
      <c r="B55" s="65"/>
      <c r="C55" s="43"/>
      <c r="D55" s="43"/>
      <c r="E55" s="43"/>
      <c r="F55" s="43"/>
      <c r="G55" s="26"/>
      <c r="H55" s="56"/>
      <c r="I55" s="6"/>
    </row>
    <row r="56" spans="1:9" x14ac:dyDescent="0.25">
      <c r="A56" s="66"/>
      <c r="B56" s="17"/>
      <c r="C56" s="13" t="s">
        <v>117</v>
      </c>
      <c r="D56" s="13"/>
      <c r="E56" s="13"/>
      <c r="F56" s="13"/>
      <c r="G56" s="16"/>
      <c r="H56" s="67"/>
      <c r="I56" s="11">
        <f>SUM(I54:I55)</f>
        <v>11000</v>
      </c>
    </row>
    <row r="57" spans="1:9" x14ac:dyDescent="0.25">
      <c r="A57" s="43"/>
      <c r="B57" s="43"/>
      <c r="C57" s="43"/>
      <c r="D57" s="43"/>
      <c r="E57" s="43"/>
      <c r="F57" s="43"/>
      <c r="G57" s="19"/>
      <c r="H57" s="43"/>
      <c r="I57" s="43"/>
    </row>
    <row r="58" spans="1:9" x14ac:dyDescent="0.25">
      <c r="A58" s="2"/>
      <c r="B58" s="2"/>
      <c r="C58" s="2" t="s">
        <v>72</v>
      </c>
      <c r="E58" s="2"/>
      <c r="F58" s="2"/>
      <c r="G58" s="2"/>
      <c r="H58" s="2"/>
      <c r="I58" s="2"/>
    </row>
    <row r="59" spans="1:9" x14ac:dyDescent="0.25">
      <c r="A59" s="2" t="s">
        <v>118</v>
      </c>
      <c r="B59" s="2"/>
      <c r="C59" s="2" t="s">
        <v>72</v>
      </c>
      <c r="D59" s="2" t="s">
        <v>119</v>
      </c>
      <c r="E59" s="2"/>
      <c r="F59" s="2" t="s">
        <v>120</v>
      </c>
      <c r="G59" s="2"/>
      <c r="H59" s="2" t="s">
        <v>121</v>
      </c>
      <c r="I59" s="2" t="s">
        <v>291</v>
      </c>
    </row>
  </sheetData>
  <pageMargins left="0.7" right="0.7" top="0.75" bottom="0.75" header="0.3" footer="0.3"/>
  <pageSetup paperSize="9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1" workbookViewId="0">
      <selection activeCell="E64" sqref="E64"/>
    </sheetView>
  </sheetViews>
  <sheetFormatPr defaultRowHeight="15" x14ac:dyDescent="0.25"/>
  <cols>
    <col min="1" max="1" width="5" customWidth="1"/>
    <col min="2" max="2" width="34.42578125" customWidth="1"/>
    <col min="3" max="3" width="14.5703125" customWidth="1"/>
    <col min="5" max="5" width="11.5703125" customWidth="1"/>
    <col min="6" max="6" width="14.42578125" customWidth="1"/>
    <col min="7" max="7" width="10" customWidth="1"/>
    <col min="8" max="8" width="12.5703125" customWidth="1"/>
    <col min="9" max="9" width="19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883</v>
      </c>
      <c r="B7" s="2"/>
      <c r="C7" s="2"/>
      <c r="D7" s="2"/>
      <c r="E7" s="1"/>
      <c r="F7" s="1"/>
      <c r="G7" s="2"/>
      <c r="H7" s="2"/>
      <c r="I7" s="2"/>
    </row>
    <row r="8" spans="1:9" x14ac:dyDescent="0.25">
      <c r="A8" s="2" t="s">
        <v>884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886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592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7">
        <v>7</v>
      </c>
      <c r="H18" s="8">
        <v>8</v>
      </c>
      <c r="I18" s="8">
        <v>9</v>
      </c>
    </row>
    <row r="19" spans="1:9" x14ac:dyDescent="0.25">
      <c r="A19" s="14">
        <v>1</v>
      </c>
      <c r="B19" s="11" t="s">
        <v>887</v>
      </c>
      <c r="C19" s="11">
        <v>8.5500000000000007</v>
      </c>
      <c r="D19" s="16">
        <v>-16338.99</v>
      </c>
      <c r="E19" s="13">
        <v>334539.71999999997</v>
      </c>
      <c r="F19" s="14">
        <v>317592.12</v>
      </c>
      <c r="G19" s="16">
        <f t="shared" ref="G19:G25" si="0">E19</f>
        <v>334539.71999999997</v>
      </c>
      <c r="H19" s="12">
        <f>D19+F19-G19</f>
        <v>-33286.589999999967</v>
      </c>
      <c r="I19" s="16">
        <f>H19</f>
        <v>-33286.589999999967</v>
      </c>
    </row>
    <row r="20" spans="1:9" x14ac:dyDescent="0.25">
      <c r="A20" s="66" t="s">
        <v>138</v>
      </c>
      <c r="B20" s="17" t="s">
        <v>37</v>
      </c>
      <c r="C20" s="17">
        <v>3.08</v>
      </c>
      <c r="D20" s="21"/>
      <c r="E20" s="162">
        <f>E19*36/100</f>
        <v>120434.29919999998</v>
      </c>
      <c r="F20" s="20">
        <f>F19*36/100</f>
        <v>114333.16320000001</v>
      </c>
      <c r="G20" s="21">
        <f t="shared" si="0"/>
        <v>120434.29919999998</v>
      </c>
      <c r="H20" s="18"/>
      <c r="I20" s="21"/>
    </row>
    <row r="21" spans="1:9" x14ac:dyDescent="0.25">
      <c r="A21" s="22" t="s">
        <v>38</v>
      </c>
      <c r="B21" s="5" t="s">
        <v>39</v>
      </c>
      <c r="C21" s="5">
        <v>1.51</v>
      </c>
      <c r="D21" s="33"/>
      <c r="E21" s="24">
        <f>E19*17.7/100</f>
        <v>59213.530439999988</v>
      </c>
      <c r="F21" s="25">
        <f>F19*17.7/100</f>
        <v>56213.805239999994</v>
      </c>
      <c r="G21" s="26">
        <f t="shared" si="0"/>
        <v>59213.530439999988</v>
      </c>
      <c r="H21" s="30"/>
      <c r="I21" s="33"/>
    </row>
    <row r="22" spans="1:9" x14ac:dyDescent="0.25">
      <c r="A22" s="22" t="s">
        <v>40</v>
      </c>
      <c r="B22" s="5" t="s">
        <v>41</v>
      </c>
      <c r="C22" s="5">
        <v>1.36</v>
      </c>
      <c r="D22" s="33"/>
      <c r="E22" s="33">
        <f>E19*16/100</f>
        <v>53526.355199999998</v>
      </c>
      <c r="F22" s="25">
        <f>F19*16/100</f>
        <v>50814.739199999996</v>
      </c>
      <c r="G22" s="30">
        <f t="shared" si="0"/>
        <v>53526.355199999998</v>
      </c>
      <c r="H22" s="19"/>
      <c r="I22" s="33"/>
    </row>
    <row r="23" spans="1:9" x14ac:dyDescent="0.25">
      <c r="A23" s="22" t="s">
        <v>42</v>
      </c>
      <c r="B23" s="5" t="s">
        <v>43</v>
      </c>
      <c r="C23" s="5">
        <v>2.6</v>
      </c>
      <c r="D23" s="33"/>
      <c r="E23" s="33">
        <f>E19*30.3/100</f>
        <v>101365.53515999998</v>
      </c>
      <c r="F23" s="25">
        <f>F19*30.3/100</f>
        <v>96230.412360000002</v>
      </c>
      <c r="G23" s="26">
        <f t="shared" si="0"/>
        <v>101365.53515999998</v>
      </c>
      <c r="H23" s="23"/>
      <c r="I23" s="33"/>
    </row>
    <row r="24" spans="1:9" x14ac:dyDescent="0.25">
      <c r="A24" s="22" t="s">
        <v>44</v>
      </c>
      <c r="B24" s="5" t="s">
        <v>47</v>
      </c>
      <c r="C24" s="5" t="s">
        <v>48</v>
      </c>
      <c r="D24" s="5">
        <v>-2920.9</v>
      </c>
      <c r="E24" s="54">
        <v>24413.279999999999</v>
      </c>
      <c r="F24" s="46">
        <v>23542.16</v>
      </c>
      <c r="G24" s="8">
        <f>E24</f>
        <v>24413.279999999999</v>
      </c>
      <c r="H24" s="5">
        <f>D24+F24-G24</f>
        <v>-3792.0200000000004</v>
      </c>
      <c r="I24" s="195">
        <f>H24</f>
        <v>-3792.0200000000004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8">
        <v>-9395.7800000000007</v>
      </c>
      <c r="E25" s="10">
        <v>179985.12</v>
      </c>
      <c r="F25" s="36">
        <v>174042.55</v>
      </c>
      <c r="G25" s="38">
        <f t="shared" si="0"/>
        <v>179985.12</v>
      </c>
      <c r="H25" s="290">
        <f>D25+F25-G25</f>
        <v>-15338.350000000006</v>
      </c>
      <c r="I25" s="38">
        <f>H25</f>
        <v>-15338.350000000006</v>
      </c>
    </row>
    <row r="26" spans="1:9" x14ac:dyDescent="0.25">
      <c r="A26" s="11" t="s">
        <v>51</v>
      </c>
      <c r="B26" s="11" t="s">
        <v>52</v>
      </c>
      <c r="C26" s="11">
        <v>1.65</v>
      </c>
      <c r="D26" s="16">
        <v>64356.22</v>
      </c>
      <c r="E26" s="11">
        <v>64562.16</v>
      </c>
      <c r="F26" s="11">
        <f>F27+F28+F29</f>
        <v>68013.209999999992</v>
      </c>
      <c r="G26" s="39">
        <f>I57</f>
        <v>13200</v>
      </c>
      <c r="H26" s="40">
        <f>D26+F26-G26</f>
        <v>119169.43</v>
      </c>
      <c r="I26" s="16"/>
    </row>
    <row r="27" spans="1:9" x14ac:dyDescent="0.25">
      <c r="A27" s="11"/>
      <c r="B27" s="8" t="s">
        <v>53</v>
      </c>
      <c r="C27" s="13"/>
      <c r="D27" s="15"/>
      <c r="E27" s="11"/>
      <c r="F27" s="11">
        <v>62890.34</v>
      </c>
      <c r="G27" s="36"/>
      <c r="H27" s="38"/>
      <c r="I27" s="16"/>
    </row>
    <row r="28" spans="1:9" x14ac:dyDescent="0.25">
      <c r="A28" s="11"/>
      <c r="B28" s="8" t="s">
        <v>54</v>
      </c>
      <c r="C28" s="13"/>
      <c r="D28" s="15"/>
      <c r="E28" s="11"/>
      <c r="F28" s="11">
        <v>5111.76</v>
      </c>
      <c r="G28" s="36"/>
      <c r="H28" s="38"/>
      <c r="I28" s="16"/>
    </row>
    <row r="29" spans="1:9" x14ac:dyDescent="0.25">
      <c r="A29" s="11"/>
      <c r="B29" s="8" t="s">
        <v>58</v>
      </c>
      <c r="C29" s="13"/>
      <c r="D29" s="15"/>
      <c r="E29" s="11"/>
      <c r="F29" s="11">
        <v>11.11</v>
      </c>
      <c r="G29" s="14"/>
      <c r="H29" s="16"/>
      <c r="I29" s="16"/>
    </row>
    <row r="30" spans="1:9" x14ac:dyDescent="0.25">
      <c r="A30" s="11" t="s">
        <v>56</v>
      </c>
      <c r="B30" s="11" t="s">
        <v>864</v>
      </c>
      <c r="C30" s="13">
        <v>0</v>
      </c>
      <c r="D30" s="16">
        <v>8.9</v>
      </c>
      <c r="E30" s="11">
        <v>0</v>
      </c>
      <c r="F30" s="11">
        <v>-11.11</v>
      </c>
      <c r="G30" s="14">
        <f>G31</f>
        <v>0</v>
      </c>
      <c r="H30" s="16">
        <v>0</v>
      </c>
      <c r="I30" s="16"/>
    </row>
    <row r="31" spans="1:9" x14ac:dyDescent="0.25">
      <c r="A31" s="8"/>
      <c r="B31" s="8" t="s">
        <v>53</v>
      </c>
      <c r="C31" s="9">
        <v>0</v>
      </c>
      <c r="D31" s="20">
        <v>0</v>
      </c>
      <c r="E31" s="8">
        <v>0</v>
      </c>
      <c r="F31" s="8">
        <v>2.21</v>
      </c>
      <c r="G31" s="7">
        <v>0</v>
      </c>
      <c r="H31" s="21"/>
      <c r="I31" s="30"/>
    </row>
    <row r="32" spans="1:9" x14ac:dyDescent="0.25">
      <c r="A32" s="8"/>
      <c r="B32" s="8" t="s">
        <v>58</v>
      </c>
      <c r="C32" s="9"/>
      <c r="D32" s="30"/>
      <c r="E32" s="9"/>
      <c r="F32" s="8">
        <v>11.11</v>
      </c>
      <c r="G32" s="9"/>
      <c r="H32" s="30"/>
      <c r="I32" s="27"/>
    </row>
    <row r="33" spans="1:9" x14ac:dyDescent="0.25">
      <c r="A33" s="1" t="s">
        <v>59</v>
      </c>
      <c r="B33" s="1"/>
      <c r="C33" s="1"/>
      <c r="D33" s="45"/>
      <c r="E33" s="1"/>
      <c r="F33" s="1"/>
      <c r="G33" s="43"/>
      <c r="H33" s="19"/>
      <c r="I33" s="19"/>
    </row>
    <row r="34" spans="1:9" x14ac:dyDescent="0.25">
      <c r="A34" s="1"/>
      <c r="B34" s="1"/>
      <c r="C34" s="1"/>
      <c r="D34" s="45"/>
      <c r="E34" s="1"/>
      <c r="F34" s="1"/>
      <c r="G34" s="43"/>
      <c r="H34" s="19"/>
      <c r="I34" s="19"/>
    </row>
    <row r="35" spans="1:9" x14ac:dyDescent="0.25">
      <c r="A35" s="53" t="s">
        <v>60</v>
      </c>
      <c r="B35" s="46" t="s">
        <v>61</v>
      </c>
      <c r="C35" s="8" t="s">
        <v>62</v>
      </c>
      <c r="D35" s="7" t="s">
        <v>63</v>
      </c>
      <c r="E35" s="7" t="s">
        <v>64</v>
      </c>
      <c r="F35" s="8" t="s">
        <v>62</v>
      </c>
      <c r="G35" s="48"/>
      <c r="H35" s="7" t="s">
        <v>195</v>
      </c>
      <c r="I35" s="48"/>
    </row>
    <row r="36" spans="1:9" x14ac:dyDescent="0.25">
      <c r="A36" s="55"/>
      <c r="B36" s="49"/>
      <c r="C36" s="17" t="s">
        <v>67</v>
      </c>
      <c r="D36" s="7" t="s">
        <v>23</v>
      </c>
      <c r="E36" s="7" t="s">
        <v>68</v>
      </c>
      <c r="F36" s="5" t="s">
        <v>30</v>
      </c>
      <c r="G36" s="47"/>
      <c r="H36" s="61"/>
      <c r="I36" s="51"/>
    </row>
    <row r="37" spans="1:9" x14ac:dyDescent="0.25">
      <c r="A37" s="50"/>
      <c r="B37" s="50" t="s">
        <v>69</v>
      </c>
      <c r="C37" s="21">
        <v>6962.55</v>
      </c>
      <c r="D37" s="29">
        <v>2400</v>
      </c>
      <c r="E37" s="29">
        <f>D37*15%</f>
        <v>360</v>
      </c>
      <c r="F37" s="29">
        <f>C37+(D37-E37)</f>
        <v>9002.5499999999993</v>
      </c>
      <c r="G37" s="27"/>
      <c r="H37" s="162">
        <f>F37-G37</f>
        <v>9002.5499999999993</v>
      </c>
      <c r="I37" s="51"/>
    </row>
    <row r="38" spans="1:9" x14ac:dyDescent="0.25">
      <c r="A38" s="43"/>
      <c r="B38" s="43"/>
      <c r="C38" s="43"/>
      <c r="D38" s="166"/>
      <c r="E38" s="19"/>
      <c r="F38" s="19"/>
      <c r="G38" s="19"/>
      <c r="H38" s="19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46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9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9"/>
      <c r="E43" s="6"/>
      <c r="F43" s="43" t="s">
        <v>88</v>
      </c>
      <c r="G43" s="6" t="s">
        <v>89</v>
      </c>
      <c r="H43" s="43"/>
      <c r="I43" s="6" t="s">
        <v>30</v>
      </c>
    </row>
    <row r="44" spans="1:9" x14ac:dyDescent="0.25">
      <c r="A44" s="6"/>
      <c r="B44" s="49"/>
      <c r="C44" s="6"/>
      <c r="D44" s="50"/>
      <c r="E44" s="17"/>
      <c r="F44" s="61"/>
      <c r="G44" s="226"/>
      <c r="H44" s="61"/>
      <c r="I44" s="17" t="s">
        <v>888</v>
      </c>
    </row>
    <row r="45" spans="1:9" x14ac:dyDescent="0.25">
      <c r="A45" s="8">
        <v>1</v>
      </c>
      <c r="B45" s="8" t="s">
        <v>91</v>
      </c>
      <c r="C45" s="36" t="s">
        <v>92</v>
      </c>
      <c r="D45" s="6">
        <v>-115378.25</v>
      </c>
      <c r="E45" s="252">
        <v>497969.03</v>
      </c>
      <c r="F45" s="49">
        <v>496926.56</v>
      </c>
      <c r="G45" s="6">
        <f>E45</f>
        <v>497969.03</v>
      </c>
      <c r="H45" s="6">
        <f>D45+F45-G45</f>
        <v>-116420.72000000003</v>
      </c>
      <c r="I45" s="56">
        <f>H45</f>
        <v>-116420.72000000003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7"/>
      <c r="G46" s="8"/>
      <c r="H46" s="8"/>
      <c r="I46" s="48"/>
    </row>
    <row r="47" spans="1:9" x14ac:dyDescent="0.25">
      <c r="A47" s="8">
        <v>2</v>
      </c>
      <c r="B47" s="8" t="s">
        <v>99</v>
      </c>
      <c r="C47" s="35" t="s">
        <v>100</v>
      </c>
      <c r="D47" s="8">
        <v>-402458.24</v>
      </c>
      <c r="E47" s="9">
        <v>1178651.1100000001</v>
      </c>
      <c r="F47" s="7">
        <v>1130937.03</v>
      </c>
      <c r="G47" s="17">
        <f>E47</f>
        <v>1178651.1100000001</v>
      </c>
      <c r="H47" s="17">
        <f>D47+F47-G47</f>
        <v>-450172.32000000007</v>
      </c>
      <c r="I47" s="48">
        <f>H47</f>
        <v>-450172.32000000007</v>
      </c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47"/>
      <c r="G50" s="5" t="s">
        <v>105</v>
      </c>
      <c r="H50" s="47" t="s">
        <v>106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56"/>
      <c r="G51" s="6"/>
      <c r="H51" s="56"/>
      <c r="I51" s="6" t="s">
        <v>109</v>
      </c>
    </row>
    <row r="52" spans="1:9" x14ac:dyDescent="0.25">
      <c r="A52" s="49"/>
      <c r="B52" s="17"/>
      <c r="C52" s="50"/>
      <c r="D52" s="61"/>
      <c r="E52" s="61"/>
      <c r="F52" s="51"/>
      <c r="G52" s="6"/>
      <c r="H52" s="56"/>
      <c r="I52" s="6"/>
    </row>
    <row r="53" spans="1:9" x14ac:dyDescent="0.25">
      <c r="A53" s="62"/>
      <c r="B53" s="63"/>
      <c r="C53" s="55" t="s">
        <v>110</v>
      </c>
      <c r="D53" s="4"/>
      <c r="E53" s="4"/>
      <c r="F53" s="43"/>
      <c r="G53" s="5"/>
      <c r="H53" s="47"/>
      <c r="I53" s="5"/>
    </row>
    <row r="54" spans="1:9" x14ac:dyDescent="0.25">
      <c r="A54" s="64"/>
      <c r="B54" s="6"/>
      <c r="C54" s="49"/>
      <c r="D54" s="43"/>
      <c r="E54" s="43"/>
      <c r="F54" s="43"/>
      <c r="G54" s="26"/>
      <c r="H54" s="56"/>
      <c r="I54" s="6" t="s">
        <v>72</v>
      </c>
    </row>
    <row r="55" spans="1:9" x14ac:dyDescent="0.25">
      <c r="A55" s="64" t="s">
        <v>111</v>
      </c>
      <c r="B55" s="65">
        <v>43186</v>
      </c>
      <c r="C55" s="49" t="s">
        <v>237</v>
      </c>
      <c r="D55" s="43"/>
      <c r="E55" s="43"/>
      <c r="F55" s="43"/>
      <c r="G55" s="26" t="s">
        <v>113</v>
      </c>
      <c r="H55" s="56">
        <v>63</v>
      </c>
      <c r="I55" s="6">
        <v>12000</v>
      </c>
    </row>
    <row r="56" spans="1:9" x14ac:dyDescent="0.25">
      <c r="A56" s="64" t="s">
        <v>114</v>
      </c>
      <c r="B56" s="65">
        <v>43248</v>
      </c>
      <c r="C56" s="49" t="s">
        <v>254</v>
      </c>
      <c r="D56" s="43"/>
      <c r="E56" s="43"/>
      <c r="F56" s="43"/>
      <c r="G56" s="26" t="s">
        <v>255</v>
      </c>
      <c r="H56" s="56">
        <v>1</v>
      </c>
      <c r="I56" s="6">
        <v>1200</v>
      </c>
    </row>
    <row r="57" spans="1:9" x14ac:dyDescent="0.25">
      <c r="A57" s="66"/>
      <c r="B57" s="17"/>
      <c r="C57" s="14" t="s">
        <v>117</v>
      </c>
      <c r="D57" s="13"/>
      <c r="E57" s="13"/>
      <c r="F57" s="13"/>
      <c r="G57" s="16"/>
      <c r="H57" s="67"/>
      <c r="I57" s="11">
        <f>SUM(I55:I56)</f>
        <v>13200</v>
      </c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2" t="s">
        <v>206</v>
      </c>
      <c r="B59" s="2"/>
      <c r="C59" s="2"/>
      <c r="D59" s="2" t="s">
        <v>119</v>
      </c>
      <c r="F59" s="2" t="s">
        <v>120</v>
      </c>
      <c r="H59" s="2" t="s">
        <v>889</v>
      </c>
      <c r="I59" s="2" t="s">
        <v>281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A53" sqref="A53:B54"/>
    </sheetView>
  </sheetViews>
  <sheetFormatPr defaultRowHeight="15" x14ac:dyDescent="0.25"/>
  <cols>
    <col min="1" max="1" width="5.28515625" style="71" customWidth="1"/>
    <col min="2" max="2" width="36" style="71" customWidth="1"/>
    <col min="3" max="3" width="13.140625" style="71" customWidth="1"/>
    <col min="4" max="4" width="11.140625" style="71" customWidth="1"/>
    <col min="5" max="5" width="10" style="71" customWidth="1"/>
    <col min="6" max="6" width="11.42578125" style="71" customWidth="1"/>
    <col min="7" max="7" width="9.140625" style="71"/>
    <col min="8" max="8" width="12.5703125" style="71" customWidth="1"/>
    <col min="9" max="9" width="17.7109375" style="71" customWidth="1"/>
    <col min="10" max="16384" width="9.140625" style="71"/>
  </cols>
  <sheetData>
    <row r="1" spans="1:9" x14ac:dyDescent="0.25">
      <c r="A1" s="72" t="s">
        <v>0</v>
      </c>
      <c r="B1" s="72"/>
      <c r="C1" s="72"/>
      <c r="D1" s="72"/>
      <c r="E1" s="72"/>
      <c r="F1" s="72"/>
      <c r="G1" s="72"/>
      <c r="H1" s="72"/>
      <c r="I1" s="73"/>
    </row>
    <row r="2" spans="1:9" x14ac:dyDescent="0.25">
      <c r="A2" s="72" t="s">
        <v>1</v>
      </c>
      <c r="B2" s="72"/>
      <c r="C2" s="72"/>
      <c r="D2" s="72"/>
      <c r="E2" s="72"/>
      <c r="F2" s="72"/>
      <c r="G2" s="72"/>
      <c r="H2" s="72"/>
      <c r="I2" s="172"/>
    </row>
    <row r="3" spans="1:9" x14ac:dyDescent="0.25">
      <c r="A3" s="72" t="s">
        <v>2</v>
      </c>
      <c r="B3" s="72"/>
      <c r="C3" s="72"/>
      <c r="D3" s="72"/>
      <c r="E3" s="72"/>
      <c r="F3" s="72"/>
      <c r="G3" s="72"/>
      <c r="H3" s="72"/>
      <c r="I3" s="73"/>
    </row>
    <row r="4" spans="1:9" x14ac:dyDescent="0.25">
      <c r="A4" s="72" t="s">
        <v>3</v>
      </c>
      <c r="B4" s="72"/>
      <c r="C4" s="72"/>
      <c r="D4" s="72"/>
      <c r="E4" s="72"/>
      <c r="F4" s="72"/>
      <c r="G4" s="72"/>
      <c r="H4" s="72"/>
      <c r="I4" s="73"/>
    </row>
    <row r="5" spans="1:9" x14ac:dyDescent="0.25">
      <c r="A5" s="72" t="s">
        <v>4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2" t="s">
        <v>239</v>
      </c>
      <c r="B7" s="72"/>
      <c r="C7" s="72"/>
      <c r="D7" s="72"/>
      <c r="E7" s="73"/>
      <c r="F7" s="73"/>
      <c r="G7" s="73"/>
      <c r="H7" s="73"/>
      <c r="I7" s="73"/>
    </row>
    <row r="8" spans="1:9" x14ac:dyDescent="0.25">
      <c r="A8" s="73" t="s">
        <v>240</v>
      </c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3" t="s">
        <v>241</v>
      </c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3" t="s">
        <v>242</v>
      </c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3"/>
      <c r="B11" s="73"/>
      <c r="C11" s="73"/>
      <c r="D11" s="72" t="s">
        <v>243</v>
      </c>
      <c r="E11" s="73"/>
      <c r="F11" s="73"/>
      <c r="H11" s="73"/>
      <c r="I11" s="73"/>
    </row>
    <row r="12" spans="1:9" x14ac:dyDescent="0.25">
      <c r="A12" s="72" t="s">
        <v>10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74" t="s">
        <v>11</v>
      </c>
      <c r="B13" s="73"/>
      <c r="C13" s="73"/>
      <c r="D13" s="73"/>
      <c r="E13" s="73"/>
      <c r="F13" s="73"/>
      <c r="G13" s="73"/>
      <c r="H13" s="73"/>
      <c r="I13" s="73"/>
    </row>
    <row r="14" spans="1:9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x14ac:dyDescent="0.25">
      <c r="A15" s="75" t="s">
        <v>12</v>
      </c>
      <c r="B15" s="75" t="s">
        <v>13</v>
      </c>
      <c r="C15" s="75" t="s">
        <v>14</v>
      </c>
      <c r="D15" s="75" t="s">
        <v>15</v>
      </c>
      <c r="E15" s="75" t="s">
        <v>16</v>
      </c>
      <c r="F15" s="75" t="s">
        <v>17</v>
      </c>
      <c r="G15" s="75" t="s">
        <v>18</v>
      </c>
      <c r="H15" s="75" t="s">
        <v>15</v>
      </c>
      <c r="I15" s="75" t="s">
        <v>19</v>
      </c>
    </row>
    <row r="16" spans="1:9" x14ac:dyDescent="0.25">
      <c r="A16" s="76" t="s">
        <v>20</v>
      </c>
      <c r="B16" s="76"/>
      <c r="C16" s="76" t="s">
        <v>214</v>
      </c>
      <c r="D16" s="76" t="s">
        <v>22</v>
      </c>
      <c r="E16" s="76" t="s">
        <v>23</v>
      </c>
      <c r="F16" s="76" t="s">
        <v>23</v>
      </c>
      <c r="G16" s="76" t="s">
        <v>24</v>
      </c>
      <c r="H16" s="76" t="s">
        <v>25</v>
      </c>
      <c r="I16" s="76" t="s">
        <v>26</v>
      </c>
    </row>
    <row r="17" spans="1:9" x14ac:dyDescent="0.25">
      <c r="A17" s="76"/>
      <c r="B17" s="76"/>
      <c r="C17" s="76" t="s">
        <v>27</v>
      </c>
      <c r="D17" s="76" t="s">
        <v>28</v>
      </c>
      <c r="E17" s="76"/>
      <c r="F17" s="76"/>
      <c r="G17" s="76" t="s">
        <v>29</v>
      </c>
      <c r="H17" s="76" t="s">
        <v>30</v>
      </c>
      <c r="I17" s="76" t="s">
        <v>31</v>
      </c>
    </row>
    <row r="18" spans="1:9" x14ac:dyDescent="0.25">
      <c r="A18" s="76"/>
      <c r="B18" s="76"/>
      <c r="C18" s="76" t="s">
        <v>32</v>
      </c>
      <c r="D18" s="76" t="s">
        <v>33</v>
      </c>
      <c r="E18" s="76" t="s">
        <v>33</v>
      </c>
      <c r="F18" s="76" t="s">
        <v>33</v>
      </c>
      <c r="G18" s="76" t="s">
        <v>33</v>
      </c>
      <c r="H18" s="76" t="s">
        <v>33</v>
      </c>
      <c r="I18" s="76" t="s">
        <v>34</v>
      </c>
    </row>
    <row r="19" spans="1:9" x14ac:dyDescent="0.25">
      <c r="A19" s="97">
        <v>1</v>
      </c>
      <c r="B19" s="78">
        <v>2</v>
      </c>
      <c r="C19" s="97">
        <v>3</v>
      </c>
      <c r="D19" s="78">
        <v>4</v>
      </c>
      <c r="E19" s="97">
        <v>5</v>
      </c>
      <c r="F19" s="78">
        <v>6</v>
      </c>
      <c r="G19" s="97">
        <v>7</v>
      </c>
      <c r="H19" s="78">
        <v>8</v>
      </c>
      <c r="I19" s="78">
        <v>9</v>
      </c>
    </row>
    <row r="20" spans="1:9" x14ac:dyDescent="0.25">
      <c r="A20" s="105">
        <v>1</v>
      </c>
      <c r="B20" s="103" t="s">
        <v>244</v>
      </c>
      <c r="C20" s="103">
        <v>8.9600000000000009</v>
      </c>
      <c r="D20" s="110">
        <v>-36972.65</v>
      </c>
      <c r="E20" s="99">
        <v>414199.68</v>
      </c>
      <c r="F20" s="101">
        <v>400958.69</v>
      </c>
      <c r="G20" s="99">
        <f>E20</f>
        <v>414199.68</v>
      </c>
      <c r="H20" s="110">
        <f>D20+F20-G20</f>
        <v>-50213.640000000014</v>
      </c>
      <c r="I20" s="99">
        <f>H20</f>
        <v>-50213.640000000014</v>
      </c>
    </row>
    <row r="21" spans="1:9" x14ac:dyDescent="0.25">
      <c r="A21" s="76" t="s">
        <v>36</v>
      </c>
      <c r="B21" s="76" t="s">
        <v>217</v>
      </c>
      <c r="C21" s="117"/>
      <c r="D21" s="118"/>
      <c r="E21" s="76"/>
      <c r="F21" s="147"/>
      <c r="G21" s="76" t="s">
        <v>72</v>
      </c>
      <c r="H21" s="118"/>
      <c r="I21" s="92"/>
    </row>
    <row r="22" spans="1:9" x14ac:dyDescent="0.25">
      <c r="A22" s="85"/>
      <c r="B22" s="85" t="s">
        <v>218</v>
      </c>
      <c r="C22" s="86">
        <v>3.08</v>
      </c>
      <c r="D22" s="94"/>
      <c r="E22" s="173">
        <f>E20*34.4%</f>
        <v>142484.68991999998</v>
      </c>
      <c r="F22" s="88">
        <f>F20*34.4%</f>
        <v>137929.78936</v>
      </c>
      <c r="G22" s="88">
        <f t="shared" ref="G22:G28" si="0">E22</f>
        <v>142484.68991999998</v>
      </c>
      <c r="H22" s="94"/>
      <c r="I22" s="88"/>
    </row>
    <row r="23" spans="1:9" x14ac:dyDescent="0.25">
      <c r="A23" s="91" t="s">
        <v>38</v>
      </c>
      <c r="B23" s="75" t="s">
        <v>39</v>
      </c>
      <c r="C23" s="79">
        <v>1.47</v>
      </c>
      <c r="D23" s="93"/>
      <c r="E23" s="92">
        <f>E20*16.4%</f>
        <v>67928.74751999999</v>
      </c>
      <c r="F23" s="92">
        <f>F20*16.4%</f>
        <v>65757.225159999987</v>
      </c>
      <c r="G23" s="92">
        <f t="shared" si="0"/>
        <v>67928.74751999999</v>
      </c>
      <c r="H23" s="93"/>
      <c r="I23" s="92"/>
    </row>
    <row r="24" spans="1:9" x14ac:dyDescent="0.25">
      <c r="A24" s="91" t="s">
        <v>40</v>
      </c>
      <c r="B24" s="75" t="s">
        <v>41</v>
      </c>
      <c r="C24" s="79">
        <v>1.81</v>
      </c>
      <c r="D24" s="174"/>
      <c r="E24" s="92">
        <f>E20*20.2%</f>
        <v>83668.335359999997</v>
      </c>
      <c r="F24" s="92">
        <f>F20*20.2%</f>
        <v>80993.655379999997</v>
      </c>
      <c r="G24" s="92">
        <f t="shared" si="0"/>
        <v>83668.335359999997</v>
      </c>
      <c r="H24" s="174"/>
      <c r="I24" s="92"/>
    </row>
    <row r="25" spans="1:9" x14ac:dyDescent="0.25">
      <c r="A25" s="91" t="s">
        <v>42</v>
      </c>
      <c r="B25" s="75" t="s">
        <v>43</v>
      </c>
      <c r="C25" s="79">
        <v>2.6</v>
      </c>
      <c r="D25" s="93"/>
      <c r="E25" s="92">
        <f>E20*29%</f>
        <v>120117.90719999999</v>
      </c>
      <c r="F25" s="92">
        <f>F20*29%</f>
        <v>116278.02009999999</v>
      </c>
      <c r="G25" s="87">
        <f t="shared" si="0"/>
        <v>120117.90719999999</v>
      </c>
      <c r="H25" s="93"/>
      <c r="I25" s="87"/>
    </row>
    <row r="26" spans="1:9" x14ac:dyDescent="0.25">
      <c r="A26" s="91" t="s">
        <v>44</v>
      </c>
      <c r="B26" s="75" t="s">
        <v>245</v>
      </c>
      <c r="C26" s="79">
        <v>1755.25</v>
      </c>
      <c r="D26" s="93">
        <v>1198.93</v>
      </c>
      <c r="E26" s="92">
        <v>12653.19</v>
      </c>
      <c r="F26" s="92">
        <v>12567.72</v>
      </c>
      <c r="G26" s="124">
        <f t="shared" si="0"/>
        <v>12653.19</v>
      </c>
      <c r="H26" s="93">
        <f>D26+F26-G26</f>
        <v>1113.4599999999991</v>
      </c>
      <c r="I26" s="87"/>
    </row>
    <row r="27" spans="1:9" x14ac:dyDescent="0.25">
      <c r="A27" s="91" t="s">
        <v>46</v>
      </c>
      <c r="B27" s="75" t="s">
        <v>47</v>
      </c>
      <c r="C27" s="139" t="s">
        <v>48</v>
      </c>
      <c r="D27" s="93">
        <v>-4116.07</v>
      </c>
      <c r="E27" s="78">
        <v>28515.599999999999</v>
      </c>
      <c r="F27" s="123">
        <v>28384</v>
      </c>
      <c r="G27" s="97">
        <f>E27</f>
        <v>28515.599999999999</v>
      </c>
      <c r="H27" s="87">
        <f>D27-E27+F27</f>
        <v>-4247.6699999999983</v>
      </c>
      <c r="I27" s="78">
        <f>H27</f>
        <v>-4247.6699999999983</v>
      </c>
    </row>
    <row r="28" spans="1:9" x14ac:dyDescent="0.25">
      <c r="A28" s="81" t="s">
        <v>49</v>
      </c>
      <c r="B28" s="81" t="s">
        <v>50</v>
      </c>
      <c r="C28" s="81">
        <v>4.5999999999999996</v>
      </c>
      <c r="D28" s="80">
        <v>-19107.669999999998</v>
      </c>
      <c r="E28" s="81">
        <v>212646.96</v>
      </c>
      <c r="F28" s="81">
        <v>208003.03</v>
      </c>
      <c r="G28" s="104">
        <f t="shared" si="0"/>
        <v>212646.96</v>
      </c>
      <c r="H28" s="80">
        <f>D28+F28-G28</f>
        <v>-23751.600000000006</v>
      </c>
      <c r="I28" s="82">
        <f>H28</f>
        <v>-23751.600000000006</v>
      </c>
    </row>
    <row r="29" spans="1:9" x14ac:dyDescent="0.25">
      <c r="A29" s="103" t="s">
        <v>51</v>
      </c>
      <c r="B29" s="103" t="s">
        <v>52</v>
      </c>
      <c r="C29" s="101">
        <v>1.82</v>
      </c>
      <c r="D29" s="105">
        <v>443626.25</v>
      </c>
      <c r="E29" s="103">
        <v>84133.8</v>
      </c>
      <c r="F29" s="103">
        <f>F30+F31</f>
        <v>83189.08</v>
      </c>
      <c r="G29" s="103">
        <f>I60</f>
        <v>100907.7</v>
      </c>
      <c r="H29" s="105">
        <f>D29+F29-G29</f>
        <v>425907.62999999995</v>
      </c>
      <c r="I29" s="99"/>
    </row>
    <row r="30" spans="1:9" x14ac:dyDescent="0.25">
      <c r="A30" s="103"/>
      <c r="B30" s="78" t="s">
        <v>53</v>
      </c>
      <c r="C30" s="74"/>
      <c r="D30" s="108" t="s">
        <v>72</v>
      </c>
      <c r="E30" s="107"/>
      <c r="F30" s="107">
        <v>82463.45</v>
      </c>
      <c r="G30" s="74">
        <f>I65</f>
        <v>0</v>
      </c>
      <c r="H30" s="108"/>
      <c r="I30" s="169"/>
    </row>
    <row r="31" spans="1:9" x14ac:dyDescent="0.25">
      <c r="A31" s="103"/>
      <c r="B31" s="78" t="s">
        <v>54</v>
      </c>
      <c r="C31" s="80"/>
      <c r="D31" s="80"/>
      <c r="E31" s="81"/>
      <c r="F31" s="81">
        <v>725.63</v>
      </c>
      <c r="G31" s="104"/>
      <c r="H31" s="80"/>
      <c r="I31" s="82"/>
    </row>
    <row r="32" spans="1:9" x14ac:dyDescent="0.25">
      <c r="A32" s="103" t="s">
        <v>56</v>
      </c>
      <c r="B32" s="103" t="s">
        <v>246</v>
      </c>
      <c r="C32" s="82">
        <v>0</v>
      </c>
      <c r="D32" s="80">
        <v>162066.23999999999</v>
      </c>
      <c r="E32" s="81">
        <f>E33</f>
        <v>0</v>
      </c>
      <c r="F32" s="81">
        <f>F33</f>
        <v>0.16</v>
      </c>
      <c r="G32" s="104">
        <f>I64</f>
        <v>136740.41</v>
      </c>
      <c r="H32" s="80">
        <f>D32+F32-G32</f>
        <v>25325.989999999991</v>
      </c>
      <c r="I32" s="82"/>
    </row>
    <row r="33" spans="1:9" x14ac:dyDescent="0.25">
      <c r="A33" s="78"/>
      <c r="B33" s="78" t="s">
        <v>53</v>
      </c>
      <c r="C33" s="124"/>
      <c r="D33" s="77">
        <v>0</v>
      </c>
      <c r="E33" s="81">
        <v>0</v>
      </c>
      <c r="F33" s="81">
        <v>0.16</v>
      </c>
      <c r="G33" s="97">
        <v>0</v>
      </c>
      <c r="H33" s="77"/>
      <c r="I33" s="87"/>
    </row>
    <row r="34" spans="1:9" x14ac:dyDescent="0.25">
      <c r="A34" s="72" t="s">
        <v>59</v>
      </c>
      <c r="B34" s="73"/>
      <c r="C34" s="73"/>
      <c r="E34" s="73"/>
      <c r="F34" s="73"/>
      <c r="G34" s="73"/>
      <c r="H34" s="73"/>
      <c r="I34" s="73"/>
    </row>
    <row r="35" spans="1:9" x14ac:dyDescent="0.25">
      <c r="A35" s="114" t="s">
        <v>60</v>
      </c>
      <c r="B35" s="79"/>
      <c r="C35" s="115" t="s">
        <v>148</v>
      </c>
      <c r="D35" s="75" t="s">
        <v>149</v>
      </c>
      <c r="E35" s="116" t="s">
        <v>150</v>
      </c>
      <c r="F35" s="79" t="s">
        <v>151</v>
      </c>
      <c r="G35" s="75" t="s">
        <v>15</v>
      </c>
      <c r="H35" s="79"/>
      <c r="I35" s="75" t="s">
        <v>15</v>
      </c>
    </row>
    <row r="36" spans="1:9" x14ac:dyDescent="0.25">
      <c r="A36" s="76"/>
      <c r="B36" s="117"/>
      <c r="C36" s="118" t="s">
        <v>28</v>
      </c>
      <c r="D36" s="76" t="s">
        <v>29</v>
      </c>
      <c r="E36" s="119" t="s">
        <v>152</v>
      </c>
      <c r="F36" s="117" t="s">
        <v>153</v>
      </c>
      <c r="G36" s="76" t="s">
        <v>154</v>
      </c>
      <c r="H36" s="117" t="s">
        <v>72</v>
      </c>
      <c r="I36" s="76" t="s">
        <v>30</v>
      </c>
    </row>
    <row r="37" spans="1:9" x14ac:dyDescent="0.25">
      <c r="A37" s="85"/>
      <c r="B37" s="86"/>
      <c r="C37" s="120"/>
      <c r="D37" s="121"/>
      <c r="E37" s="122"/>
      <c r="F37" s="86"/>
      <c r="G37" s="85"/>
      <c r="H37" s="86"/>
      <c r="I37" s="85"/>
    </row>
    <row r="38" spans="1:9" x14ac:dyDescent="0.25">
      <c r="A38" s="85"/>
      <c r="B38" s="78" t="s">
        <v>247</v>
      </c>
      <c r="C38" s="120"/>
      <c r="D38" s="121"/>
      <c r="E38" s="86"/>
      <c r="F38" s="78"/>
      <c r="G38" s="85"/>
      <c r="H38" s="78"/>
      <c r="I38" s="122"/>
    </row>
    <row r="39" spans="1:9" x14ac:dyDescent="0.25">
      <c r="A39" s="78"/>
      <c r="B39" s="85" t="s">
        <v>69</v>
      </c>
      <c r="C39" s="120">
        <v>16534.46</v>
      </c>
      <c r="D39" s="85">
        <v>8400</v>
      </c>
      <c r="E39" s="102">
        <f>D39*15%</f>
        <v>1260</v>
      </c>
      <c r="F39" s="85">
        <v>0</v>
      </c>
      <c r="G39" s="88">
        <f>C39+(D39-E39)</f>
        <v>23674.46</v>
      </c>
      <c r="H39" s="88"/>
      <c r="I39" s="90">
        <f>G39</f>
        <v>23674.46</v>
      </c>
    </row>
    <row r="40" spans="1:9" x14ac:dyDescent="0.25">
      <c r="A40" s="72" t="s">
        <v>248</v>
      </c>
      <c r="B40" s="72"/>
      <c r="C40" s="72"/>
      <c r="D40" s="113"/>
      <c r="E40" s="72"/>
      <c r="F40" s="72"/>
      <c r="G40" s="72"/>
      <c r="H40" s="72"/>
      <c r="I40" s="72"/>
    </row>
    <row r="41" spans="1:9" x14ac:dyDescent="0.25">
      <c r="A41" s="75" t="s">
        <v>72</v>
      </c>
      <c r="B41" s="129" t="s">
        <v>73</v>
      </c>
      <c r="C41" s="75" t="s">
        <v>74</v>
      </c>
      <c r="D41" s="79" t="s">
        <v>75</v>
      </c>
      <c r="E41" s="75" t="s">
        <v>76</v>
      </c>
      <c r="F41" s="79" t="s">
        <v>77</v>
      </c>
      <c r="G41" s="75" t="s">
        <v>249</v>
      </c>
      <c r="H41" s="75" t="s">
        <v>79</v>
      </c>
      <c r="I41" s="75" t="s">
        <v>19</v>
      </c>
    </row>
    <row r="42" spans="1:9" x14ac:dyDescent="0.25">
      <c r="A42" s="76"/>
      <c r="B42" s="108" t="s">
        <v>80</v>
      </c>
      <c r="C42" s="76" t="s">
        <v>81</v>
      </c>
      <c r="D42" s="117" t="s">
        <v>82</v>
      </c>
      <c r="E42" s="76" t="s">
        <v>83</v>
      </c>
      <c r="F42" s="117" t="s">
        <v>84</v>
      </c>
      <c r="G42" s="76" t="s">
        <v>85</v>
      </c>
      <c r="H42" s="76" t="s">
        <v>86</v>
      </c>
      <c r="I42" s="76" t="s">
        <v>87</v>
      </c>
    </row>
    <row r="43" spans="1:9" x14ac:dyDescent="0.25">
      <c r="A43" s="76"/>
      <c r="B43" s="118"/>
      <c r="C43" s="76"/>
      <c r="D43" s="117"/>
      <c r="E43" s="76"/>
      <c r="F43" s="117" t="s">
        <v>88</v>
      </c>
      <c r="G43" s="76" t="s">
        <v>89</v>
      </c>
      <c r="H43" s="76"/>
      <c r="I43" s="76" t="s">
        <v>30</v>
      </c>
    </row>
    <row r="44" spans="1:9" x14ac:dyDescent="0.25">
      <c r="A44" s="78"/>
      <c r="B44" s="77"/>
      <c r="C44" s="77"/>
      <c r="D44" s="78"/>
      <c r="E44" s="123"/>
      <c r="F44" s="123"/>
      <c r="G44" s="97"/>
      <c r="H44" s="78"/>
      <c r="I44" s="78"/>
    </row>
    <row r="45" spans="1:9" x14ac:dyDescent="0.25">
      <c r="A45" s="76">
        <v>1</v>
      </c>
      <c r="B45" s="76" t="s">
        <v>91</v>
      </c>
      <c r="C45" s="74" t="s">
        <v>92</v>
      </c>
      <c r="D45" s="76">
        <v>-17955.87</v>
      </c>
      <c r="E45" s="175">
        <v>193839.7</v>
      </c>
      <c r="F45" s="76">
        <v>176622.57</v>
      </c>
      <c r="G45" s="175">
        <f>E45</f>
        <v>193839.7</v>
      </c>
      <c r="H45" s="76">
        <f>D45+F45-G45</f>
        <v>-35173</v>
      </c>
      <c r="I45" s="76">
        <f>H45</f>
        <v>-35173</v>
      </c>
    </row>
    <row r="46" spans="1:9" x14ac:dyDescent="0.25">
      <c r="A46" s="78"/>
      <c r="B46" s="78" t="s">
        <v>93</v>
      </c>
      <c r="C46" s="104" t="s">
        <v>94</v>
      </c>
      <c r="D46" s="78"/>
      <c r="E46" s="155"/>
      <c r="F46" s="78"/>
      <c r="G46" s="155"/>
      <c r="H46" s="78"/>
      <c r="I46" s="78"/>
    </row>
    <row r="47" spans="1:9" x14ac:dyDescent="0.25">
      <c r="A47" s="76">
        <v>2</v>
      </c>
      <c r="B47" s="76" t="s">
        <v>95</v>
      </c>
      <c r="C47" s="72" t="s">
        <v>96</v>
      </c>
      <c r="D47" s="76">
        <v>-87435.97</v>
      </c>
      <c r="E47" s="73">
        <v>318855.71000000002</v>
      </c>
      <c r="F47" s="76">
        <v>292524.42</v>
      </c>
      <c r="G47" s="73">
        <f>E47</f>
        <v>318855.71000000002</v>
      </c>
      <c r="H47" s="76">
        <f>D47+F47-G47</f>
        <v>-113767.26000000004</v>
      </c>
      <c r="I47" s="76">
        <f>H47</f>
        <v>-113767.26000000004</v>
      </c>
    </row>
    <row r="48" spans="1:9" x14ac:dyDescent="0.25">
      <c r="A48" s="78"/>
      <c r="B48" s="78" t="s">
        <v>97</v>
      </c>
      <c r="C48" s="104"/>
      <c r="D48" s="78"/>
      <c r="E48" s="97"/>
      <c r="F48" s="78"/>
      <c r="G48" s="97"/>
      <c r="H48" s="75" t="s">
        <v>72</v>
      </c>
      <c r="I48" s="78"/>
    </row>
    <row r="49" spans="1:9" x14ac:dyDescent="0.25">
      <c r="A49" s="78"/>
      <c r="B49" s="78" t="s">
        <v>250</v>
      </c>
      <c r="C49" s="104" t="s">
        <v>94</v>
      </c>
      <c r="D49" s="78"/>
      <c r="E49" s="97"/>
      <c r="F49" s="78"/>
      <c r="G49" s="97"/>
      <c r="H49" s="75"/>
      <c r="I49" s="78"/>
    </row>
    <row r="50" spans="1:9" x14ac:dyDescent="0.25">
      <c r="A50" s="78">
        <v>3</v>
      </c>
      <c r="B50" s="78" t="s">
        <v>99</v>
      </c>
      <c r="C50" s="104" t="s">
        <v>100</v>
      </c>
      <c r="D50" s="78">
        <v>-205909.2</v>
      </c>
      <c r="E50" s="97">
        <v>821601.75</v>
      </c>
      <c r="F50" s="78">
        <v>785537.01</v>
      </c>
      <c r="G50" s="97">
        <f>E50</f>
        <v>821601.75</v>
      </c>
      <c r="H50" s="78">
        <f>D50+F50-G50</f>
        <v>-241973.93999999994</v>
      </c>
      <c r="I50" s="78">
        <f>H50</f>
        <v>-241973.93999999994</v>
      </c>
    </row>
    <row r="51" spans="1:9" x14ac:dyDescent="0.25">
      <c r="A51" s="72" t="s">
        <v>251</v>
      </c>
      <c r="B51" s="73"/>
      <c r="C51" s="73"/>
      <c r="D51" s="73"/>
      <c r="E51" s="73"/>
      <c r="F51" s="73"/>
      <c r="G51" s="73"/>
      <c r="H51" s="73"/>
      <c r="I51" s="73"/>
    </row>
    <row r="52" spans="1:9" x14ac:dyDescent="0.25">
      <c r="A52" s="74" t="s">
        <v>252</v>
      </c>
      <c r="B52" s="73"/>
      <c r="C52" s="73"/>
      <c r="D52" s="73"/>
      <c r="E52" s="73"/>
      <c r="F52" s="73"/>
      <c r="G52" s="73"/>
      <c r="H52" s="73"/>
      <c r="I52" s="73"/>
    </row>
    <row r="53" spans="1:9" x14ac:dyDescent="0.25">
      <c r="A53" s="115" t="s">
        <v>12</v>
      </c>
      <c r="B53" s="75" t="s">
        <v>103</v>
      </c>
      <c r="C53" s="115" t="s">
        <v>104</v>
      </c>
      <c r="D53" s="79"/>
      <c r="E53" s="79"/>
      <c r="F53" s="116"/>
      <c r="G53" s="75" t="s">
        <v>199</v>
      </c>
      <c r="H53" s="75" t="s">
        <v>106</v>
      </c>
      <c r="I53" s="75" t="s">
        <v>107</v>
      </c>
    </row>
    <row r="54" spans="1:9" x14ac:dyDescent="0.25">
      <c r="A54" s="120" t="s">
        <v>108</v>
      </c>
      <c r="B54" s="85"/>
      <c r="C54" s="120"/>
      <c r="D54" s="86"/>
      <c r="E54" s="86"/>
      <c r="F54" s="122"/>
      <c r="G54" s="85" t="s">
        <v>201</v>
      </c>
      <c r="H54" s="85"/>
      <c r="I54" s="85" t="s">
        <v>109</v>
      </c>
    </row>
    <row r="55" spans="1:9" x14ac:dyDescent="0.25">
      <c r="A55" s="130" t="s">
        <v>111</v>
      </c>
      <c r="B55" s="156">
        <v>43250</v>
      </c>
      <c r="C55" s="118" t="s">
        <v>253</v>
      </c>
      <c r="D55" s="117"/>
      <c r="E55" s="117"/>
      <c r="F55" s="119" t="s">
        <v>72</v>
      </c>
      <c r="G55" s="147" t="s">
        <v>205</v>
      </c>
      <c r="H55" s="76">
        <v>6</v>
      </c>
      <c r="I55" s="76">
        <v>7654</v>
      </c>
    </row>
    <row r="56" spans="1:9" x14ac:dyDescent="0.25">
      <c r="A56" s="130" t="s">
        <v>114</v>
      </c>
      <c r="B56" s="156">
        <v>43342</v>
      </c>
      <c r="C56" s="118" t="s">
        <v>254</v>
      </c>
      <c r="D56" s="117"/>
      <c r="E56" s="117"/>
      <c r="F56" s="119"/>
      <c r="G56" s="147" t="s">
        <v>255</v>
      </c>
      <c r="H56" s="76">
        <v>9.5</v>
      </c>
      <c r="I56" s="76">
        <v>12850</v>
      </c>
    </row>
    <row r="57" spans="1:9" x14ac:dyDescent="0.25">
      <c r="A57" s="130" t="s">
        <v>170</v>
      </c>
      <c r="B57" s="176">
        <v>43357</v>
      </c>
      <c r="C57" s="118" t="s">
        <v>254</v>
      </c>
      <c r="D57" s="117"/>
      <c r="E57" s="117"/>
      <c r="F57" s="119"/>
      <c r="G57" s="147" t="s">
        <v>255</v>
      </c>
      <c r="H57" s="76">
        <v>2</v>
      </c>
      <c r="I57" s="76">
        <v>2800</v>
      </c>
    </row>
    <row r="58" spans="1:9" x14ac:dyDescent="0.25">
      <c r="A58" s="130" t="s">
        <v>173</v>
      </c>
      <c r="B58" s="176">
        <v>43371</v>
      </c>
      <c r="C58" s="118" t="s">
        <v>256</v>
      </c>
      <c r="D58" s="117"/>
      <c r="E58" s="117"/>
      <c r="F58" s="119"/>
      <c r="G58" s="147" t="s">
        <v>169</v>
      </c>
      <c r="H58" s="76">
        <v>51</v>
      </c>
      <c r="I58" s="76">
        <v>67003.7</v>
      </c>
    </row>
    <row r="59" spans="1:9" x14ac:dyDescent="0.25">
      <c r="A59" s="130" t="s">
        <v>257</v>
      </c>
      <c r="B59" s="176">
        <v>43404</v>
      </c>
      <c r="C59" s="118" t="s">
        <v>112</v>
      </c>
      <c r="D59" s="117"/>
      <c r="E59" s="117"/>
      <c r="F59" s="119"/>
      <c r="G59" s="147" t="s">
        <v>116</v>
      </c>
      <c r="H59" s="76">
        <v>53</v>
      </c>
      <c r="I59" s="76">
        <v>10600</v>
      </c>
    </row>
    <row r="60" spans="1:9" x14ac:dyDescent="0.25">
      <c r="A60" s="130"/>
      <c r="B60" s="176"/>
      <c r="C60" s="108" t="s">
        <v>117</v>
      </c>
      <c r="D60" s="74"/>
      <c r="E60" s="74"/>
      <c r="F60" s="177"/>
      <c r="G60" s="169"/>
      <c r="H60" s="107"/>
      <c r="I60" s="107">
        <f>SUM(I55:I59)</f>
        <v>100907.7</v>
      </c>
    </row>
    <row r="61" spans="1:9" x14ac:dyDescent="0.25">
      <c r="A61" s="75"/>
      <c r="B61" s="75"/>
      <c r="C61" s="115"/>
      <c r="D61" s="79"/>
      <c r="E61" s="79"/>
      <c r="F61" s="79"/>
      <c r="G61" s="79"/>
      <c r="H61" s="79"/>
      <c r="I61" s="116"/>
    </row>
    <row r="62" spans="1:9" x14ac:dyDescent="0.25">
      <c r="A62" s="115" t="s">
        <v>49</v>
      </c>
      <c r="B62" s="129" t="s">
        <v>258</v>
      </c>
      <c r="C62" s="129" t="s">
        <v>259</v>
      </c>
      <c r="D62" s="79"/>
      <c r="E62" s="79"/>
      <c r="F62" s="116" t="s">
        <v>260</v>
      </c>
      <c r="G62" s="75"/>
      <c r="H62" s="116"/>
      <c r="I62" s="116"/>
    </row>
    <row r="63" spans="1:9" x14ac:dyDescent="0.25">
      <c r="A63" s="130" t="s">
        <v>111</v>
      </c>
      <c r="B63" s="156">
        <v>43280</v>
      </c>
      <c r="C63" s="118" t="s">
        <v>261</v>
      </c>
      <c r="D63" s="117"/>
      <c r="E63" s="117"/>
      <c r="F63" s="119"/>
      <c r="G63" s="147" t="s">
        <v>262</v>
      </c>
      <c r="H63" s="76">
        <v>10</v>
      </c>
      <c r="I63" s="76">
        <v>136740.41</v>
      </c>
    </row>
    <row r="64" spans="1:9" x14ac:dyDescent="0.25">
      <c r="A64" s="100"/>
      <c r="B64" s="120" t="s">
        <v>258</v>
      </c>
      <c r="C64" s="105" t="s">
        <v>117</v>
      </c>
      <c r="D64" s="101"/>
      <c r="E64" s="101"/>
      <c r="F64" s="134" t="s">
        <v>72</v>
      </c>
      <c r="G64" s="103"/>
      <c r="H64" s="134"/>
      <c r="I64" s="134">
        <f>SUM(I62:I63)</f>
        <v>136740.41</v>
      </c>
    </row>
    <row r="65" spans="1:9" x14ac:dyDescent="0.25">
      <c r="A65" s="135"/>
      <c r="B65" s="117"/>
      <c r="C65" s="74"/>
      <c r="D65" s="74"/>
      <c r="E65" s="74"/>
      <c r="F65" s="74"/>
      <c r="G65" s="137"/>
      <c r="H65" s="74"/>
      <c r="I65" s="74"/>
    </row>
    <row r="66" spans="1:9" x14ac:dyDescent="0.25">
      <c r="A66" s="73" t="s">
        <v>263</v>
      </c>
      <c r="B66" s="73"/>
      <c r="C66" s="178" t="s">
        <v>119</v>
      </c>
      <c r="E66" s="73" t="s">
        <v>120</v>
      </c>
      <c r="G66" s="73" t="s">
        <v>264</v>
      </c>
      <c r="H66" s="73"/>
      <c r="I66" s="73" t="s">
        <v>265</v>
      </c>
    </row>
    <row r="67" spans="1:9" x14ac:dyDescent="0.25">
      <c r="A67" s="73"/>
      <c r="B67" s="73"/>
    </row>
  </sheetData>
  <pageMargins left="0.7" right="0.7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1" workbookViewId="0">
      <selection activeCell="C63" sqref="C63"/>
    </sheetView>
  </sheetViews>
  <sheetFormatPr defaultRowHeight="15" x14ac:dyDescent="0.25"/>
  <cols>
    <col min="1" max="1" width="5.5703125" customWidth="1"/>
    <col min="2" max="2" width="34.140625" customWidth="1"/>
    <col min="3" max="3" width="13.5703125" customWidth="1"/>
    <col min="4" max="4" width="10.7109375" customWidth="1"/>
    <col min="5" max="5" width="10.5703125" customWidth="1"/>
    <col min="6" max="6" width="17" customWidth="1"/>
    <col min="8" max="8" width="11.85546875" customWidth="1"/>
    <col min="9" max="9" width="17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890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891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892</v>
      </c>
      <c r="B8" s="2"/>
      <c r="C8" s="2"/>
      <c r="D8" s="2"/>
      <c r="E8" s="1"/>
      <c r="F8" s="1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893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323</v>
      </c>
      <c r="C18" s="11">
        <v>8.5500000000000007</v>
      </c>
      <c r="D18" s="16">
        <v>-7907.7</v>
      </c>
      <c r="E18" s="13">
        <v>341157.75</v>
      </c>
      <c r="F18" s="14">
        <v>353424.46</v>
      </c>
      <c r="G18" s="16">
        <f t="shared" ref="G18:G25" si="0">E18</f>
        <v>341157.75</v>
      </c>
      <c r="H18" s="12">
        <f>D18+F18-G18</f>
        <v>4359.0100000000093</v>
      </c>
      <c r="I18" s="16"/>
    </row>
    <row r="19" spans="1:9" x14ac:dyDescent="0.25">
      <c r="A19" s="301" t="s">
        <v>138</v>
      </c>
      <c r="B19" s="17" t="s">
        <v>37</v>
      </c>
      <c r="C19" s="17">
        <v>3.08</v>
      </c>
      <c r="D19" s="18"/>
      <c r="E19" s="162">
        <f>E18*36/100</f>
        <v>122816.79</v>
      </c>
      <c r="F19" s="20">
        <f>F18*36/100</f>
        <v>127232.80560000001</v>
      </c>
      <c r="G19" s="21">
        <f t="shared" si="0"/>
        <v>122816.79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23"/>
      <c r="E20" s="24">
        <f>E18*17.7/100</f>
        <v>60384.921750000001</v>
      </c>
      <c r="F20" s="25">
        <f>F18*17.7/100</f>
        <v>62556.129419999997</v>
      </c>
      <c r="G20" s="26">
        <f t="shared" si="0"/>
        <v>60384.921750000001</v>
      </c>
      <c r="H20" s="23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0"/>
      <c r="E21" s="24">
        <f>E18*16/100</f>
        <v>54585.24</v>
      </c>
      <c r="F21" s="25">
        <f>F18*16/100</f>
        <v>56547.9136</v>
      </c>
      <c r="G21" s="30">
        <f t="shared" si="0"/>
        <v>54585.24</v>
      </c>
      <c r="H21" s="30"/>
      <c r="I21" s="33"/>
    </row>
    <row r="22" spans="1:9" x14ac:dyDescent="0.25">
      <c r="A22" s="31" t="s">
        <v>42</v>
      </c>
      <c r="B22" s="8" t="s">
        <v>43</v>
      </c>
      <c r="C22" s="8">
        <v>2.6</v>
      </c>
      <c r="D22" s="27"/>
      <c r="E22" s="28">
        <f>E18*30.3/100</f>
        <v>103370.79825000001</v>
      </c>
      <c r="F22" s="29">
        <f>F18*30.3/100</f>
        <v>107087.61138</v>
      </c>
      <c r="G22" s="30">
        <f t="shared" si="0"/>
        <v>103370.79825000001</v>
      </c>
      <c r="H22" s="27"/>
      <c r="I22" s="30"/>
    </row>
    <row r="23" spans="1:9" x14ac:dyDescent="0.25">
      <c r="A23" s="31" t="s">
        <v>44</v>
      </c>
      <c r="B23" s="8" t="s">
        <v>47</v>
      </c>
      <c r="C23" s="8" t="s">
        <v>48</v>
      </c>
      <c r="D23" s="5">
        <v>-4062.28</v>
      </c>
      <c r="E23" s="54">
        <v>27063.3</v>
      </c>
      <c r="F23" s="46">
        <v>27059.23</v>
      </c>
      <c r="G23" s="5">
        <f>E23</f>
        <v>27063.3</v>
      </c>
      <c r="H23" s="5">
        <f>D23+F23-G23</f>
        <v>-4066.3499999999985</v>
      </c>
      <c r="I23" s="195">
        <f>H23</f>
        <v>-4066.3499999999985</v>
      </c>
    </row>
    <row r="24" spans="1:9" x14ac:dyDescent="0.25">
      <c r="A24" s="31" t="s">
        <v>472</v>
      </c>
      <c r="B24" s="8" t="s">
        <v>418</v>
      </c>
      <c r="C24" s="8">
        <v>1755.25</v>
      </c>
      <c r="D24" s="27">
        <v>-2274.63</v>
      </c>
      <c r="E24" s="28">
        <v>12403.74</v>
      </c>
      <c r="F24" s="29">
        <v>12073.17</v>
      </c>
      <c r="G24" s="30">
        <f>E24</f>
        <v>12403.74</v>
      </c>
      <c r="H24" s="27">
        <f>D24+F24-E24</f>
        <v>-2605.1999999999989</v>
      </c>
      <c r="I24" s="38">
        <f>H24</f>
        <v>-2605.1999999999989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290">
        <v>-17033.419999999998</v>
      </c>
      <c r="E25" s="10">
        <v>183545.52</v>
      </c>
      <c r="F25" s="36">
        <v>181410.17</v>
      </c>
      <c r="G25" s="38">
        <f t="shared" si="0"/>
        <v>183545.52</v>
      </c>
      <c r="H25" s="290">
        <f>D25+F25-G25</f>
        <v>-19168.76999999999</v>
      </c>
      <c r="I25" s="38">
        <f>H25</f>
        <v>-19168.76999999999</v>
      </c>
    </row>
    <row r="26" spans="1:9" x14ac:dyDescent="0.25">
      <c r="A26" s="11" t="s">
        <v>51</v>
      </c>
      <c r="B26" s="11" t="s">
        <v>310</v>
      </c>
      <c r="C26" s="11">
        <v>1.65</v>
      </c>
      <c r="D26" s="37">
        <v>-43370.3</v>
      </c>
      <c r="E26" s="10">
        <v>65839.47</v>
      </c>
      <c r="F26" s="10">
        <f>F27+F28</f>
        <v>82589.62</v>
      </c>
      <c r="G26" s="10">
        <f>I56</f>
        <v>22142.21</v>
      </c>
      <c r="H26" s="38">
        <f>D26+F26-G26</f>
        <v>17077.109999999993</v>
      </c>
      <c r="I26" s="16"/>
    </row>
    <row r="27" spans="1:9" x14ac:dyDescent="0.25">
      <c r="A27" s="11"/>
      <c r="B27" s="17" t="s">
        <v>894</v>
      </c>
      <c r="C27" s="13"/>
      <c r="D27" s="15"/>
      <c r="E27" s="10"/>
      <c r="F27" s="11">
        <v>73279.58</v>
      </c>
      <c r="G27" s="14"/>
      <c r="H27" s="16"/>
      <c r="I27" s="16"/>
    </row>
    <row r="28" spans="1:9" x14ac:dyDescent="0.25">
      <c r="A28" s="11"/>
      <c r="B28" s="17" t="s">
        <v>296</v>
      </c>
      <c r="C28" s="13"/>
      <c r="D28" s="15"/>
      <c r="E28" s="11"/>
      <c r="F28" s="11">
        <v>9310.0400000000009</v>
      </c>
      <c r="G28" s="14"/>
      <c r="H28" s="16"/>
      <c r="I28" s="16"/>
    </row>
    <row r="29" spans="1:9" x14ac:dyDescent="0.25">
      <c r="A29" s="10" t="s">
        <v>56</v>
      </c>
      <c r="B29" s="10" t="s">
        <v>895</v>
      </c>
      <c r="C29" s="10"/>
      <c r="D29" s="38">
        <v>9268.33</v>
      </c>
      <c r="E29" s="35">
        <f>E30</f>
        <v>0</v>
      </c>
      <c r="F29" s="10">
        <v>-9310.0400000000009</v>
      </c>
      <c r="G29" s="36">
        <v>0</v>
      </c>
      <c r="H29" s="38">
        <v>0</v>
      </c>
      <c r="I29" s="38"/>
    </row>
    <row r="30" spans="1:9" x14ac:dyDescent="0.25">
      <c r="A30" s="8"/>
      <c r="B30" s="8" t="s">
        <v>398</v>
      </c>
      <c r="C30" s="9"/>
      <c r="D30" s="21"/>
      <c r="E30" s="9">
        <v>0</v>
      </c>
      <c r="F30" s="8">
        <v>41.71</v>
      </c>
      <c r="G30" s="7">
        <v>0</v>
      </c>
      <c r="H30" s="21"/>
      <c r="I30" s="30"/>
    </row>
    <row r="31" spans="1:9" x14ac:dyDescent="0.25">
      <c r="A31" s="8"/>
      <c r="B31" s="8" t="s">
        <v>58</v>
      </c>
      <c r="C31" s="9"/>
      <c r="D31" s="30"/>
      <c r="E31" s="9"/>
      <c r="F31" s="8">
        <v>9310.0400000000009</v>
      </c>
      <c r="G31" s="9"/>
      <c r="H31" s="30"/>
      <c r="I31" s="21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4" spans="1:9" x14ac:dyDescent="0.25">
      <c r="A34" s="53" t="s">
        <v>60</v>
      </c>
      <c r="B34" s="46" t="s">
        <v>61</v>
      </c>
      <c r="C34" s="8" t="s">
        <v>62</v>
      </c>
      <c r="D34" s="8" t="s">
        <v>63</v>
      </c>
      <c r="E34" s="8" t="s">
        <v>476</v>
      </c>
      <c r="F34" s="8" t="s">
        <v>62</v>
      </c>
      <c r="G34" s="8"/>
      <c r="H34" s="7" t="s">
        <v>195</v>
      </c>
      <c r="I34" s="48"/>
    </row>
    <row r="35" spans="1:9" x14ac:dyDescent="0.25">
      <c r="A35" s="55"/>
      <c r="B35" s="49"/>
      <c r="C35" s="17" t="s">
        <v>67</v>
      </c>
      <c r="D35" s="51" t="s">
        <v>23</v>
      </c>
      <c r="E35" s="8" t="s">
        <v>312</v>
      </c>
      <c r="F35" s="8" t="s">
        <v>30</v>
      </c>
      <c r="G35" s="48"/>
      <c r="H35" s="61"/>
      <c r="I35" s="51"/>
    </row>
    <row r="36" spans="1:9" x14ac:dyDescent="0.25">
      <c r="A36" s="50"/>
      <c r="B36" s="50" t="s">
        <v>69</v>
      </c>
      <c r="C36" s="30">
        <v>15620.55</v>
      </c>
      <c r="D36" s="51">
        <v>6000</v>
      </c>
      <c r="E36" s="30">
        <f>D36*15%</f>
        <v>900</v>
      </c>
      <c r="F36" s="30">
        <f>C36+(D36-E36)</f>
        <v>20720.55</v>
      </c>
      <c r="G36" s="27"/>
      <c r="H36" s="162">
        <f>F36-G36</f>
        <v>20720.55</v>
      </c>
      <c r="I36" s="51"/>
    </row>
    <row r="37" spans="1:9" x14ac:dyDescent="0.25">
      <c r="A37" s="43"/>
      <c r="B37" s="43"/>
      <c r="C37" s="19"/>
      <c r="D37" s="43"/>
      <c r="E37" s="19"/>
      <c r="F37" s="19"/>
      <c r="G37" s="19"/>
      <c r="H37" s="19"/>
      <c r="I37" s="43"/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896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 t="s">
        <v>33</v>
      </c>
      <c r="I42" s="6" t="s">
        <v>30</v>
      </c>
    </row>
    <row r="43" spans="1:9" x14ac:dyDescent="0.25">
      <c r="A43" s="6"/>
      <c r="B43" s="49"/>
      <c r="C43" s="6"/>
      <c r="D43" s="43"/>
      <c r="E43" s="6"/>
      <c r="F43" s="43"/>
      <c r="G43" s="226"/>
      <c r="H43" s="43"/>
      <c r="I43" s="6" t="s">
        <v>888</v>
      </c>
    </row>
    <row r="44" spans="1:9" x14ac:dyDescent="0.25">
      <c r="A44" s="8">
        <v>1</v>
      </c>
      <c r="B44" s="8" t="s">
        <v>91</v>
      </c>
      <c r="C44" s="36" t="s">
        <v>92</v>
      </c>
      <c r="D44" s="8">
        <v>-80594.38</v>
      </c>
      <c r="E44" s="196">
        <v>505332.19</v>
      </c>
      <c r="F44" s="7">
        <v>480748.64</v>
      </c>
      <c r="G44" s="8">
        <f>E44</f>
        <v>505332.19</v>
      </c>
      <c r="H44" s="8">
        <f>D44+F44-G44</f>
        <v>-105177.93</v>
      </c>
      <c r="I44" s="48">
        <f>H44</f>
        <v>-105177.93</v>
      </c>
    </row>
    <row r="45" spans="1:9" x14ac:dyDescent="0.25">
      <c r="A45" s="8"/>
      <c r="B45" s="8" t="s">
        <v>685</v>
      </c>
      <c r="C45" s="35" t="s">
        <v>94</v>
      </c>
      <c r="D45" s="8"/>
      <c r="E45" s="59"/>
      <c r="F45" s="7"/>
      <c r="G45" s="17"/>
      <c r="H45" s="17"/>
      <c r="I45" s="48"/>
    </row>
    <row r="46" spans="1:9" x14ac:dyDescent="0.25">
      <c r="A46" s="8">
        <v>2</v>
      </c>
      <c r="B46" s="8" t="s">
        <v>99</v>
      </c>
      <c r="C46" s="35" t="s">
        <v>100</v>
      </c>
      <c r="D46" s="8">
        <v>-347019.42</v>
      </c>
      <c r="E46" s="9">
        <v>1096111.53</v>
      </c>
      <c r="F46" s="7">
        <v>1047820.73</v>
      </c>
      <c r="G46" s="17">
        <f>E46</f>
        <v>1096111.53</v>
      </c>
      <c r="H46" s="17">
        <f>D46+F46-G46</f>
        <v>-395310.22</v>
      </c>
      <c r="I46" s="48">
        <f>H46</f>
        <v>-395310.22</v>
      </c>
    </row>
    <row r="47" spans="1:9" x14ac:dyDescent="0.25">
      <c r="A47" s="1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54" t="s">
        <v>199</v>
      </c>
      <c r="H49" s="5" t="s">
        <v>106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56"/>
      <c r="G50" s="43" t="s">
        <v>201</v>
      </c>
      <c r="H50" s="6"/>
      <c r="I50" s="6" t="s">
        <v>897</v>
      </c>
    </row>
    <row r="51" spans="1:9" x14ac:dyDescent="0.25">
      <c r="A51" s="49"/>
      <c r="B51" s="17"/>
      <c r="C51" s="50"/>
      <c r="D51" s="61"/>
      <c r="E51" s="61"/>
      <c r="F51" s="51"/>
      <c r="G51" s="43"/>
      <c r="H51" s="6"/>
      <c r="I51" s="6"/>
    </row>
    <row r="52" spans="1:9" x14ac:dyDescent="0.25">
      <c r="A52" s="62"/>
      <c r="B52" s="53"/>
      <c r="C52" s="55" t="s">
        <v>110</v>
      </c>
      <c r="D52" s="4"/>
      <c r="E52" s="4"/>
      <c r="F52" s="56"/>
      <c r="G52" s="54"/>
      <c r="H52" s="5"/>
      <c r="I52" s="5"/>
    </row>
    <row r="53" spans="1:9" x14ac:dyDescent="0.25">
      <c r="A53" s="64" t="s">
        <v>111</v>
      </c>
      <c r="B53" s="232">
        <v>43159</v>
      </c>
      <c r="C53" s="49" t="s">
        <v>898</v>
      </c>
      <c r="D53" s="43"/>
      <c r="E53" s="43"/>
      <c r="F53" s="56" t="s">
        <v>72</v>
      </c>
      <c r="G53" s="19" t="s">
        <v>116</v>
      </c>
      <c r="H53" s="6">
        <v>1.75</v>
      </c>
      <c r="I53" s="6">
        <v>1630.98</v>
      </c>
    </row>
    <row r="54" spans="1:9" x14ac:dyDescent="0.25">
      <c r="A54" s="64" t="s">
        <v>114</v>
      </c>
      <c r="B54" s="69">
        <v>43186</v>
      </c>
      <c r="C54" s="49" t="s">
        <v>237</v>
      </c>
      <c r="D54" s="43"/>
      <c r="E54" s="43"/>
      <c r="F54" s="56"/>
      <c r="G54" s="19" t="s">
        <v>113</v>
      </c>
      <c r="H54" s="6">
        <v>78</v>
      </c>
      <c r="I54" s="6">
        <v>15600</v>
      </c>
    </row>
    <row r="55" spans="1:9" x14ac:dyDescent="0.25">
      <c r="A55" s="64" t="s">
        <v>170</v>
      </c>
      <c r="B55" s="232">
        <v>43376</v>
      </c>
      <c r="C55" s="49" t="s">
        <v>899</v>
      </c>
      <c r="D55" s="43"/>
      <c r="E55" s="43"/>
      <c r="F55" s="32"/>
      <c r="G55" s="19" t="s">
        <v>205</v>
      </c>
      <c r="H55" s="6">
        <v>1</v>
      </c>
      <c r="I55" s="6">
        <v>4911.2299999999996</v>
      </c>
    </row>
    <row r="56" spans="1:9" x14ac:dyDescent="0.25">
      <c r="A56" s="66"/>
      <c r="B56" s="50"/>
      <c r="C56" s="14" t="s">
        <v>117</v>
      </c>
      <c r="D56" s="13"/>
      <c r="E56" s="13"/>
      <c r="F56" s="67"/>
      <c r="G56" s="161"/>
      <c r="H56" s="11"/>
      <c r="I56" s="11">
        <f>SUM(I53:I55)</f>
        <v>22142.21</v>
      </c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2"/>
      <c r="B58" s="2"/>
      <c r="C58" s="2" t="s">
        <v>72</v>
      </c>
      <c r="E58" s="2"/>
      <c r="F58" s="2"/>
      <c r="G58" s="2"/>
      <c r="H58" s="2"/>
      <c r="I58" s="2"/>
    </row>
    <row r="59" spans="1:9" x14ac:dyDescent="0.25">
      <c r="A59" s="2" t="s">
        <v>900</v>
      </c>
      <c r="B59" s="2"/>
      <c r="C59" s="2" t="s">
        <v>207</v>
      </c>
      <c r="D59" s="2" t="s">
        <v>119</v>
      </c>
      <c r="E59" s="2"/>
      <c r="F59" s="2" t="s">
        <v>120</v>
      </c>
      <c r="G59" s="2" t="s">
        <v>72</v>
      </c>
      <c r="H59" s="2" t="s">
        <v>121</v>
      </c>
      <c r="I59" s="2" t="s">
        <v>857</v>
      </c>
    </row>
  </sheetData>
  <pageMargins left="0.7" right="0.7" top="0.75" bottom="0.75" header="0.3" footer="0.3"/>
  <pageSetup paperSize="9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8" workbookViewId="0">
      <selection activeCell="B1" sqref="B1:B1048576"/>
    </sheetView>
  </sheetViews>
  <sheetFormatPr defaultRowHeight="15" x14ac:dyDescent="0.25"/>
  <cols>
    <col min="1" max="1" width="4.85546875" customWidth="1"/>
    <col min="2" max="2" width="33.85546875" customWidth="1"/>
    <col min="3" max="3" width="12" customWidth="1"/>
    <col min="5" max="5" width="11.140625" customWidth="1"/>
    <col min="6" max="6" width="14.42578125" customWidth="1"/>
    <col min="7" max="7" width="10.5703125" customWidth="1"/>
    <col min="8" max="8" width="12.42578125" customWidth="1"/>
    <col min="9" max="9" width="21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901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902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903</v>
      </c>
      <c r="B8" s="2"/>
      <c r="C8" s="2"/>
      <c r="D8" s="2"/>
      <c r="E8" s="1"/>
      <c r="F8" s="1"/>
      <c r="G8" s="2"/>
      <c r="H8" s="2"/>
      <c r="I8" s="2"/>
    </row>
    <row r="9" spans="1:9" x14ac:dyDescent="0.25">
      <c r="A9" s="2" t="s">
        <v>904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483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484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905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 t="s">
        <v>344</v>
      </c>
      <c r="B18" s="11" t="s">
        <v>323</v>
      </c>
      <c r="C18" s="10">
        <v>8.5500000000000007</v>
      </c>
      <c r="D18" s="16">
        <v>-42056.88</v>
      </c>
      <c r="E18" s="13">
        <v>333517.96000000002</v>
      </c>
      <c r="F18" s="14">
        <v>327861.25</v>
      </c>
      <c r="G18" s="16">
        <f t="shared" ref="G18:G24" si="0">E18</f>
        <v>333517.96000000002</v>
      </c>
      <c r="H18" s="12">
        <f>D18+F18-G18</f>
        <v>-47713.590000000026</v>
      </c>
      <c r="I18" s="16">
        <f>H18</f>
        <v>-47713.590000000026</v>
      </c>
    </row>
    <row r="19" spans="1:9" x14ac:dyDescent="0.25">
      <c r="A19" s="66" t="s">
        <v>138</v>
      </c>
      <c r="B19" s="17" t="s">
        <v>37</v>
      </c>
      <c r="C19" s="17">
        <v>3.08</v>
      </c>
      <c r="D19" s="21"/>
      <c r="E19" s="162">
        <f>E18*36/100</f>
        <v>120066.46560000001</v>
      </c>
      <c r="F19" s="20">
        <f>F18*36/100</f>
        <v>118030.05</v>
      </c>
      <c r="G19" s="21">
        <f t="shared" si="0"/>
        <v>120066.46560000001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33"/>
      <c r="E20" s="24">
        <f>E18*17.7/100</f>
        <v>59032.678919999998</v>
      </c>
      <c r="F20" s="25">
        <f>F18*17.7/100</f>
        <v>58031.441250000003</v>
      </c>
      <c r="G20" s="26">
        <f t="shared" si="0"/>
        <v>59032.678919999998</v>
      </c>
      <c r="H20" s="23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3"/>
      <c r="E21" s="24">
        <f>E18*16%</f>
        <v>53362.873600000006</v>
      </c>
      <c r="F21" s="25">
        <f>F18*16/100</f>
        <v>52457.8</v>
      </c>
      <c r="G21" s="30">
        <f t="shared" si="0"/>
        <v>53362.873600000006</v>
      </c>
      <c r="H21" s="27"/>
      <c r="I21" s="33"/>
    </row>
    <row r="22" spans="1:9" x14ac:dyDescent="0.25">
      <c r="A22" s="22" t="s">
        <v>42</v>
      </c>
      <c r="B22" s="5" t="s">
        <v>43</v>
      </c>
      <c r="C22" s="5">
        <v>2.6</v>
      </c>
      <c r="D22" s="33"/>
      <c r="E22" s="24">
        <f>E18*30.3/100</f>
        <v>101055.94188000001</v>
      </c>
      <c r="F22" s="25">
        <f>F18*30.3/100</f>
        <v>99341.958750000005</v>
      </c>
      <c r="G22" s="26">
        <f t="shared" si="0"/>
        <v>101055.94188000001</v>
      </c>
      <c r="H22" s="32"/>
      <c r="I22" s="33"/>
    </row>
    <row r="23" spans="1:9" x14ac:dyDescent="0.25">
      <c r="A23" s="22" t="s">
        <v>44</v>
      </c>
      <c r="B23" s="5" t="s">
        <v>47</v>
      </c>
      <c r="C23" s="5" t="s">
        <v>48</v>
      </c>
      <c r="D23" s="5">
        <v>-4240.95</v>
      </c>
      <c r="E23" s="54">
        <v>27364.560000000001</v>
      </c>
      <c r="F23" s="46">
        <v>27141.35</v>
      </c>
      <c r="G23" s="8">
        <f>E23</f>
        <v>27364.560000000001</v>
      </c>
      <c r="H23" s="8">
        <f>D23+F23-G23</f>
        <v>-4464.1600000000035</v>
      </c>
      <c r="I23" s="47">
        <f>H23</f>
        <v>-4464.1600000000035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-25951.88</v>
      </c>
      <c r="E24" s="35">
        <v>179560.08</v>
      </c>
      <c r="F24" s="36">
        <v>177757.59</v>
      </c>
      <c r="G24" s="38">
        <f t="shared" si="0"/>
        <v>179560.08</v>
      </c>
      <c r="H24" s="290">
        <f>D24+F24-G24</f>
        <v>-27754.369999999995</v>
      </c>
      <c r="I24" s="38">
        <f>H24</f>
        <v>-27754.369999999995</v>
      </c>
    </row>
    <row r="25" spans="1:9" x14ac:dyDescent="0.25">
      <c r="A25" s="39" t="s">
        <v>51</v>
      </c>
      <c r="B25" s="39" t="s">
        <v>192</v>
      </c>
      <c r="C25" s="39">
        <v>1.65</v>
      </c>
      <c r="D25" s="38">
        <v>85673.81</v>
      </c>
      <c r="E25" s="39">
        <v>64319.68</v>
      </c>
      <c r="F25" s="194">
        <f>F26+F27+F28</f>
        <v>63334.38</v>
      </c>
      <c r="G25" s="39">
        <f>I57</f>
        <v>22864</v>
      </c>
      <c r="H25" s="40">
        <f>D25+F25-G25</f>
        <v>126144.19</v>
      </c>
      <c r="I25" s="16"/>
    </row>
    <row r="26" spans="1:9" x14ac:dyDescent="0.25">
      <c r="A26" s="10"/>
      <c r="B26" s="8" t="s">
        <v>53</v>
      </c>
      <c r="C26" s="10"/>
      <c r="D26" s="12"/>
      <c r="E26" s="10"/>
      <c r="F26" s="42">
        <v>64118.21</v>
      </c>
      <c r="G26" s="36">
        <f>I57</f>
        <v>22864</v>
      </c>
      <c r="H26" s="38"/>
      <c r="I26" s="12"/>
    </row>
    <row r="27" spans="1:9" x14ac:dyDescent="0.25">
      <c r="A27" s="11"/>
      <c r="B27" s="8" t="s">
        <v>54</v>
      </c>
      <c r="C27" s="11"/>
      <c r="D27" s="12"/>
      <c r="E27" s="11"/>
      <c r="F27" s="67">
        <v>2272.9299999999998</v>
      </c>
      <c r="G27" s="10"/>
      <c r="H27" s="38"/>
      <c r="I27" s="12"/>
    </row>
    <row r="28" spans="1:9" x14ac:dyDescent="0.25">
      <c r="A28" s="11"/>
      <c r="B28" s="8" t="s">
        <v>58</v>
      </c>
      <c r="C28" s="11"/>
      <c r="D28" s="12"/>
      <c r="E28" s="11"/>
      <c r="F28" s="42">
        <v>-3056.76</v>
      </c>
      <c r="G28" s="36"/>
      <c r="H28" s="38"/>
      <c r="I28" s="12"/>
    </row>
    <row r="29" spans="1:9" x14ac:dyDescent="0.25">
      <c r="A29" s="10" t="s">
        <v>56</v>
      </c>
      <c r="B29" s="10" t="s">
        <v>144</v>
      </c>
      <c r="C29" s="10"/>
      <c r="D29" s="34"/>
      <c r="E29" s="10"/>
      <c r="F29" s="209"/>
      <c r="G29" s="36"/>
      <c r="H29" s="38"/>
      <c r="I29" s="34"/>
    </row>
    <row r="30" spans="1:9" x14ac:dyDescent="0.25">
      <c r="A30" s="11"/>
      <c r="B30" s="11" t="s">
        <v>906</v>
      </c>
      <c r="C30" s="11">
        <v>0</v>
      </c>
      <c r="D30" s="12">
        <v>-3056.76</v>
      </c>
      <c r="E30" s="11">
        <v>0</v>
      </c>
      <c r="F30" s="67">
        <v>-3056.76</v>
      </c>
      <c r="G30" s="14">
        <v>0</v>
      </c>
      <c r="H30" s="16">
        <v>0</v>
      </c>
      <c r="I30" s="12"/>
    </row>
    <row r="31" spans="1:9" x14ac:dyDescent="0.25">
      <c r="A31" s="8"/>
      <c r="B31" s="8" t="s">
        <v>53</v>
      </c>
      <c r="C31" s="8"/>
      <c r="D31" s="27"/>
      <c r="E31" s="8">
        <v>0</v>
      </c>
      <c r="F31" s="48"/>
      <c r="G31" s="7">
        <v>0</v>
      </c>
      <c r="H31" s="21"/>
      <c r="I31" s="27"/>
    </row>
    <row r="32" spans="1:9" x14ac:dyDescent="0.25">
      <c r="A32" s="8"/>
      <c r="B32" s="8" t="s">
        <v>907</v>
      </c>
      <c r="C32" s="8"/>
      <c r="D32" s="18"/>
      <c r="E32" s="8"/>
      <c r="F32" s="48">
        <v>-3056.76</v>
      </c>
      <c r="G32" s="9"/>
      <c r="H32" s="30"/>
      <c r="I32" s="18"/>
    </row>
    <row r="33" spans="1:9" x14ac:dyDescent="0.25">
      <c r="A33" s="1" t="s">
        <v>59</v>
      </c>
      <c r="B33" s="1"/>
      <c r="C33" s="1"/>
      <c r="D33" s="45"/>
      <c r="E33" s="1"/>
      <c r="F33" s="1"/>
      <c r="G33" s="43"/>
      <c r="H33" s="19"/>
      <c r="I33" s="19"/>
    </row>
    <row r="34" spans="1:9" x14ac:dyDescent="0.25">
      <c r="A34" s="1"/>
      <c r="B34" s="1"/>
      <c r="C34" s="1"/>
      <c r="D34" s="45"/>
      <c r="E34" s="1"/>
      <c r="F34" s="1"/>
      <c r="G34" s="43"/>
      <c r="H34" s="19"/>
      <c r="I34" s="19"/>
    </row>
    <row r="35" spans="1:9" x14ac:dyDescent="0.25">
      <c r="A35" s="46" t="s">
        <v>60</v>
      </c>
      <c r="B35" s="46" t="s">
        <v>61</v>
      </c>
      <c r="C35" s="8" t="s">
        <v>62</v>
      </c>
      <c r="D35" s="8" t="s">
        <v>63</v>
      </c>
      <c r="E35" s="9" t="s">
        <v>476</v>
      </c>
      <c r="F35" s="8" t="s">
        <v>62</v>
      </c>
      <c r="G35" s="8"/>
      <c r="H35" s="7" t="s">
        <v>195</v>
      </c>
      <c r="I35" s="48"/>
    </row>
    <row r="36" spans="1:9" x14ac:dyDescent="0.25">
      <c r="A36" s="49"/>
      <c r="B36" s="49"/>
      <c r="C36" s="17" t="s">
        <v>67</v>
      </c>
      <c r="D36" s="51" t="s">
        <v>23</v>
      </c>
      <c r="E36" s="7" t="s">
        <v>312</v>
      </c>
      <c r="F36" s="17" t="s">
        <v>30</v>
      </c>
      <c r="G36" s="8"/>
      <c r="H36" s="61"/>
      <c r="I36" s="51"/>
    </row>
    <row r="37" spans="1:9" x14ac:dyDescent="0.25">
      <c r="A37" s="50"/>
      <c r="B37" s="50" t="s">
        <v>69</v>
      </c>
      <c r="C37" s="21">
        <v>15620.55</v>
      </c>
      <c r="D37" s="51">
        <v>12000</v>
      </c>
      <c r="E37" s="29">
        <f>D37*15%</f>
        <v>1800</v>
      </c>
      <c r="F37" s="30">
        <f>C37+(D37-E37)</f>
        <v>25820.55</v>
      </c>
      <c r="G37" s="30"/>
      <c r="H37" s="162">
        <f>F37-G37</f>
        <v>25820.55</v>
      </c>
      <c r="I37" s="51"/>
    </row>
    <row r="38" spans="1:9" x14ac:dyDescent="0.25">
      <c r="A38" s="43"/>
      <c r="B38" s="43"/>
      <c r="C38" s="43"/>
      <c r="D38" s="166"/>
      <c r="E38" s="19"/>
      <c r="F38" s="19"/>
      <c r="G38" s="19"/>
      <c r="H38" s="19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46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9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50"/>
      <c r="E43" s="17"/>
      <c r="F43" s="61" t="s">
        <v>88</v>
      </c>
      <c r="G43" s="17" t="s">
        <v>89</v>
      </c>
      <c r="H43" s="61"/>
      <c r="I43" s="17" t="s">
        <v>221</v>
      </c>
    </row>
    <row r="44" spans="1:9" x14ac:dyDescent="0.25">
      <c r="A44" s="8">
        <v>1</v>
      </c>
      <c r="B44" s="8" t="s">
        <v>91</v>
      </c>
      <c r="C44" s="36" t="s">
        <v>92</v>
      </c>
      <c r="D44" s="6">
        <v>-86184.45</v>
      </c>
      <c r="E44" s="231">
        <v>455276.36</v>
      </c>
      <c r="F44" s="50">
        <v>442680.13</v>
      </c>
      <c r="G44" s="17">
        <f>E44</f>
        <v>455276.36</v>
      </c>
      <c r="H44" s="17">
        <f>D44+F44-G44</f>
        <v>-98780.68</v>
      </c>
      <c r="I44" s="56">
        <f>H44</f>
        <v>-98780.68</v>
      </c>
    </row>
    <row r="45" spans="1:9" x14ac:dyDescent="0.25">
      <c r="A45" s="8"/>
      <c r="B45" s="8" t="s">
        <v>908</v>
      </c>
      <c r="C45" s="35" t="s">
        <v>94</v>
      </c>
      <c r="D45" s="8"/>
      <c r="E45" s="59"/>
      <c r="F45" s="7"/>
      <c r="G45" s="17"/>
      <c r="H45" s="17"/>
      <c r="I45" s="8"/>
    </row>
    <row r="46" spans="1:9" x14ac:dyDescent="0.25">
      <c r="A46" s="8">
        <v>2</v>
      </c>
      <c r="B46" s="8" t="s">
        <v>99</v>
      </c>
      <c r="C46" s="35" t="s">
        <v>100</v>
      </c>
      <c r="D46" s="8">
        <v>-418765</v>
      </c>
      <c r="E46" s="9">
        <v>1173170.52</v>
      </c>
      <c r="F46" s="7">
        <v>1167276.33</v>
      </c>
      <c r="G46" s="17">
        <f>E46</f>
        <v>1173170.52</v>
      </c>
      <c r="H46" s="17">
        <f>D46+F46-G46</f>
        <v>-424659.18999999994</v>
      </c>
      <c r="I46" s="48">
        <f>H46</f>
        <v>-424659.18999999994</v>
      </c>
    </row>
    <row r="47" spans="1:9" x14ac:dyDescent="0.25">
      <c r="A47" s="1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54"/>
      <c r="G49" s="5" t="s">
        <v>105</v>
      </c>
      <c r="H49" s="47" t="s">
        <v>165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43"/>
      <c r="G50" s="6"/>
      <c r="H50" s="56" t="s">
        <v>85</v>
      </c>
      <c r="I50" s="6" t="s">
        <v>109</v>
      </c>
    </row>
    <row r="51" spans="1:9" x14ac:dyDescent="0.25">
      <c r="A51" s="49"/>
      <c r="B51" s="6"/>
      <c r="C51" s="49"/>
      <c r="D51" s="43"/>
      <c r="E51" s="43"/>
      <c r="F51" s="43"/>
      <c r="G51" s="6"/>
      <c r="H51" s="56"/>
      <c r="I51" s="6"/>
    </row>
    <row r="52" spans="1:9" x14ac:dyDescent="0.25">
      <c r="A52" s="62" t="s">
        <v>72</v>
      </c>
      <c r="B52" s="63"/>
      <c r="C52" s="53" t="s">
        <v>110</v>
      </c>
      <c r="D52" s="159"/>
      <c r="E52" s="159"/>
      <c r="F52" s="54"/>
      <c r="G52" s="5"/>
      <c r="H52" s="47"/>
      <c r="I52" s="5"/>
    </row>
    <row r="53" spans="1:9" x14ac:dyDescent="0.25">
      <c r="A53" s="64" t="s">
        <v>111</v>
      </c>
      <c r="B53" s="65">
        <v>43186</v>
      </c>
      <c r="C53" s="49" t="s">
        <v>640</v>
      </c>
      <c r="D53" s="43"/>
      <c r="E53" s="43"/>
      <c r="F53" s="43"/>
      <c r="G53" s="26" t="s">
        <v>113</v>
      </c>
      <c r="H53" s="56">
        <v>89</v>
      </c>
      <c r="I53" s="6">
        <v>17800</v>
      </c>
    </row>
    <row r="54" spans="1:9" x14ac:dyDescent="0.25">
      <c r="A54" s="64" t="s">
        <v>114</v>
      </c>
      <c r="B54" s="65">
        <v>43382</v>
      </c>
      <c r="C54" s="49" t="s">
        <v>254</v>
      </c>
      <c r="D54" s="43"/>
      <c r="E54" s="43"/>
      <c r="F54" s="43"/>
      <c r="G54" s="26" t="s">
        <v>255</v>
      </c>
      <c r="H54" s="56">
        <v>1</v>
      </c>
      <c r="I54" s="6">
        <v>1300</v>
      </c>
    </row>
    <row r="55" spans="1:9" x14ac:dyDescent="0.25">
      <c r="A55" s="64" t="s">
        <v>170</v>
      </c>
      <c r="B55" s="65">
        <v>43434</v>
      </c>
      <c r="C55" s="49" t="s">
        <v>909</v>
      </c>
      <c r="D55" s="43"/>
      <c r="E55" s="43"/>
      <c r="F55" s="43"/>
      <c r="G55" s="26" t="s">
        <v>116</v>
      </c>
      <c r="H55" s="56">
        <v>3.45</v>
      </c>
      <c r="I55" s="6">
        <v>3764</v>
      </c>
    </row>
    <row r="56" spans="1:9" x14ac:dyDescent="0.25">
      <c r="A56" s="64"/>
      <c r="B56" s="65"/>
      <c r="C56" s="49"/>
      <c r="D56" s="43"/>
      <c r="E56" s="43"/>
      <c r="F56" s="43"/>
      <c r="G56" s="26"/>
      <c r="H56" s="56"/>
      <c r="I56" s="6"/>
    </row>
    <row r="57" spans="1:9" x14ac:dyDescent="0.25">
      <c r="A57" s="66"/>
      <c r="B57" s="17"/>
      <c r="C57" s="14" t="s">
        <v>117</v>
      </c>
      <c r="D57" s="13"/>
      <c r="E57" s="13"/>
      <c r="F57" s="13"/>
      <c r="G57" s="16" t="s">
        <v>72</v>
      </c>
      <c r="H57" s="67"/>
      <c r="I57" s="11">
        <f>SUM(I52:I56)</f>
        <v>22864</v>
      </c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43"/>
      <c r="B59" s="4"/>
      <c r="C59" s="4"/>
      <c r="D59" s="43"/>
      <c r="E59" s="43"/>
      <c r="F59" s="43"/>
      <c r="G59" s="43"/>
      <c r="H59" s="43"/>
      <c r="I59" s="43"/>
    </row>
    <row r="60" spans="1:9" x14ac:dyDescent="0.25">
      <c r="A60" s="2" t="s">
        <v>665</v>
      </c>
      <c r="B60" s="2"/>
      <c r="C60" s="2" t="s">
        <v>910</v>
      </c>
      <c r="D60" s="2"/>
      <c r="E60" s="2" t="s">
        <v>911</v>
      </c>
      <c r="H60" s="2" t="s">
        <v>121</v>
      </c>
      <c r="I60" s="2" t="s">
        <v>912</v>
      </c>
    </row>
  </sheetData>
  <pageMargins left="0.7" right="0.7" top="0.75" bottom="0.75" header="0.3" footer="0.3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19" workbookViewId="0">
      <selection activeCell="A33" sqref="A33"/>
    </sheetView>
  </sheetViews>
  <sheetFormatPr defaultRowHeight="15" x14ac:dyDescent="0.25"/>
  <cols>
    <col min="1" max="1" width="5" customWidth="1"/>
    <col min="2" max="2" width="32.5703125" customWidth="1"/>
    <col min="3" max="3" width="13.28515625" customWidth="1"/>
    <col min="5" max="5" width="13.5703125" customWidth="1"/>
    <col min="6" max="6" width="11.5703125" customWidth="1"/>
    <col min="8" max="8" width="13" customWidth="1"/>
    <col min="9" max="9" width="20.5703125" customWidth="1"/>
  </cols>
  <sheetData>
    <row r="1" spans="1:9" x14ac:dyDescent="0.25">
      <c r="A1" s="1" t="s">
        <v>913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286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914</v>
      </c>
      <c r="B5" s="1"/>
      <c r="C5" s="1"/>
      <c r="D5" s="1"/>
      <c r="E5" s="1"/>
      <c r="F5" s="1"/>
      <c r="G5" s="2"/>
      <c r="H5" s="2"/>
      <c r="I5" s="2"/>
    </row>
    <row r="6" spans="1:9" x14ac:dyDescent="0.25">
      <c r="A6" s="2" t="s">
        <v>915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916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917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517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518</v>
      </c>
    </row>
    <row r="15" spans="1:9" x14ac:dyDescent="0.25">
      <c r="A15" s="6"/>
      <c r="B15" s="6"/>
      <c r="C15" s="6" t="s">
        <v>135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519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7">
        <v>7</v>
      </c>
      <c r="H16" s="8">
        <v>8</v>
      </c>
      <c r="I16" s="8">
        <v>9</v>
      </c>
    </row>
    <row r="17" spans="1:9" x14ac:dyDescent="0.25">
      <c r="A17" s="14">
        <v>1</v>
      </c>
      <c r="B17" s="11" t="s">
        <v>580</v>
      </c>
      <c r="C17" s="11">
        <v>8.5500000000000007</v>
      </c>
      <c r="D17" s="16">
        <v>-39963.15</v>
      </c>
      <c r="E17" s="13">
        <v>331707.96000000002</v>
      </c>
      <c r="F17" s="14">
        <v>325806.17</v>
      </c>
      <c r="G17" s="16">
        <f t="shared" ref="G17:G24" si="0">E17</f>
        <v>331707.96000000002</v>
      </c>
      <c r="H17" s="12">
        <f>D17+F17-G17</f>
        <v>-45864.940000000061</v>
      </c>
      <c r="I17" s="16">
        <f>H17</f>
        <v>-45864.940000000061</v>
      </c>
    </row>
    <row r="18" spans="1:9" x14ac:dyDescent="0.25">
      <c r="A18" s="66" t="s">
        <v>138</v>
      </c>
      <c r="B18" s="17" t="s">
        <v>37</v>
      </c>
      <c r="C18" s="17">
        <v>3.08</v>
      </c>
      <c r="D18" s="21"/>
      <c r="E18" s="162">
        <f>E17*36/100</f>
        <v>119414.8656</v>
      </c>
      <c r="F18" s="20">
        <f>F17*36/100</f>
        <v>117290.22119999999</v>
      </c>
      <c r="G18" s="21">
        <f t="shared" si="0"/>
        <v>119414.8656</v>
      </c>
      <c r="H18" s="18"/>
      <c r="I18" s="21"/>
    </row>
    <row r="19" spans="1:9" x14ac:dyDescent="0.25">
      <c r="A19" s="31" t="s">
        <v>38</v>
      </c>
      <c r="B19" s="8" t="s">
        <v>39</v>
      </c>
      <c r="C19" s="8">
        <v>1.51</v>
      </c>
      <c r="D19" s="33"/>
      <c r="E19" s="28">
        <f>E17*17.7/100</f>
        <v>58712.308920000003</v>
      </c>
      <c r="F19" s="29">
        <f>F17*17.7/100</f>
        <v>57667.692089999997</v>
      </c>
      <c r="G19" s="30">
        <f t="shared" si="0"/>
        <v>58712.308920000003</v>
      </c>
      <c r="H19" s="27"/>
      <c r="I19" s="30"/>
    </row>
    <row r="20" spans="1:9" x14ac:dyDescent="0.25">
      <c r="A20" s="22" t="s">
        <v>40</v>
      </c>
      <c r="B20" s="5" t="s">
        <v>41</v>
      </c>
      <c r="C20" s="5">
        <v>1.36</v>
      </c>
      <c r="D20" s="33"/>
      <c r="E20" s="27">
        <f>E17*16/100</f>
        <v>53073.2736</v>
      </c>
      <c r="F20" s="29">
        <f>F17*16/100</f>
        <v>52128.987199999996</v>
      </c>
      <c r="G20" s="30">
        <f t="shared" si="0"/>
        <v>53073.2736</v>
      </c>
      <c r="H20" s="30"/>
      <c r="I20" s="33"/>
    </row>
    <row r="21" spans="1:9" x14ac:dyDescent="0.25">
      <c r="A21" s="31" t="s">
        <v>42</v>
      </c>
      <c r="B21" s="8" t="s">
        <v>43</v>
      </c>
      <c r="C21" s="8">
        <v>2.6</v>
      </c>
      <c r="D21" s="30"/>
      <c r="E21" s="28">
        <f>E17*30.3/100</f>
        <v>100507.51188000001</v>
      </c>
      <c r="F21" s="29">
        <f>F17*30.3/100</f>
        <v>98719.269509999998</v>
      </c>
      <c r="G21" s="30">
        <f t="shared" si="0"/>
        <v>100507.51188000001</v>
      </c>
      <c r="H21" s="27"/>
      <c r="I21" s="33"/>
    </row>
    <row r="22" spans="1:9" x14ac:dyDescent="0.25">
      <c r="A22" s="31" t="s">
        <v>44</v>
      </c>
      <c r="B22" s="8" t="s">
        <v>45</v>
      </c>
      <c r="C22" s="8">
        <v>1755.25</v>
      </c>
      <c r="D22" s="30">
        <v>1170.07</v>
      </c>
      <c r="E22" s="28">
        <v>12181.23</v>
      </c>
      <c r="F22" s="29">
        <v>13503.11</v>
      </c>
      <c r="G22" s="30">
        <f t="shared" si="0"/>
        <v>12181.23</v>
      </c>
      <c r="H22" s="30">
        <f>D22+F22-G22</f>
        <v>2491.9500000000007</v>
      </c>
      <c r="I22" s="30"/>
    </row>
    <row r="23" spans="1:9" x14ac:dyDescent="0.25">
      <c r="A23" s="31" t="s">
        <v>46</v>
      </c>
      <c r="B23" s="8" t="s">
        <v>47</v>
      </c>
      <c r="C23" s="10" t="s">
        <v>48</v>
      </c>
      <c r="D23" s="8">
        <v>-4779.87</v>
      </c>
      <c r="E23" s="9">
        <v>27037.98</v>
      </c>
      <c r="F23" s="7">
        <v>26669.99</v>
      </c>
      <c r="G23" s="8">
        <f>E23</f>
        <v>27037.98</v>
      </c>
      <c r="H23" s="8">
        <f>D23+F23-G23</f>
        <v>-5147.8599999999969</v>
      </c>
      <c r="I23" s="42">
        <f>H23</f>
        <v>-5147.8599999999969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-12946.03</v>
      </c>
      <c r="E24" s="35">
        <v>178461.6</v>
      </c>
      <c r="F24" s="36">
        <v>176666.64</v>
      </c>
      <c r="G24" s="38">
        <f t="shared" si="0"/>
        <v>178461.6</v>
      </c>
      <c r="H24" s="302">
        <f>D24+F24-G24</f>
        <v>-14740.989999999991</v>
      </c>
      <c r="I24" s="38">
        <f>H24</f>
        <v>-14740.989999999991</v>
      </c>
    </row>
    <row r="25" spans="1:9" x14ac:dyDescent="0.25">
      <c r="A25" s="63" t="s">
        <v>51</v>
      </c>
      <c r="B25" s="11" t="s">
        <v>52</v>
      </c>
      <c r="C25" s="11">
        <v>1.65</v>
      </c>
      <c r="D25" s="16">
        <v>33753.22</v>
      </c>
      <c r="E25" s="11">
        <v>64015.56</v>
      </c>
      <c r="F25" s="11">
        <f>F26+F27+F28+F29</f>
        <v>123402.19</v>
      </c>
      <c r="G25" s="39">
        <f>I56</f>
        <v>33025.72</v>
      </c>
      <c r="H25" s="40">
        <f>D25+F25-G25</f>
        <v>124129.69</v>
      </c>
      <c r="I25" s="16" t="s">
        <v>72</v>
      </c>
    </row>
    <row r="26" spans="1:9" x14ac:dyDescent="0.25">
      <c r="A26" s="63"/>
      <c r="B26" s="8" t="s">
        <v>53</v>
      </c>
      <c r="C26" s="13"/>
      <c r="D26" s="16"/>
      <c r="E26" s="13"/>
      <c r="F26" s="11">
        <v>63905</v>
      </c>
      <c r="G26" s="36">
        <f>I56</f>
        <v>33025.72</v>
      </c>
      <c r="H26" s="38"/>
      <c r="I26" s="226"/>
    </row>
    <row r="27" spans="1:9" x14ac:dyDescent="0.25">
      <c r="A27" s="63"/>
      <c r="B27" s="8" t="s">
        <v>54</v>
      </c>
      <c r="C27" s="13"/>
      <c r="D27" s="16"/>
      <c r="E27" s="13"/>
      <c r="F27" s="11">
        <v>889.2</v>
      </c>
      <c r="G27" s="36"/>
      <c r="H27" s="38"/>
      <c r="I27" s="226"/>
    </row>
    <row r="28" spans="1:9" x14ac:dyDescent="0.25">
      <c r="A28" s="63"/>
      <c r="B28" s="8" t="s">
        <v>918</v>
      </c>
      <c r="C28" s="13"/>
      <c r="D28" s="16"/>
      <c r="E28" s="13"/>
      <c r="F28" s="11">
        <v>83.35</v>
      </c>
      <c r="G28" s="36"/>
      <c r="H28" s="38"/>
      <c r="I28" s="226"/>
    </row>
    <row r="29" spans="1:9" x14ac:dyDescent="0.25">
      <c r="A29" s="63"/>
      <c r="B29" s="8" t="s">
        <v>58</v>
      </c>
      <c r="C29" s="13"/>
      <c r="D29" s="16"/>
      <c r="E29" s="13"/>
      <c r="F29" s="39">
        <v>58524.639999999999</v>
      </c>
      <c r="G29" s="55"/>
      <c r="H29" s="40"/>
      <c r="I29" s="226"/>
    </row>
    <row r="30" spans="1:9" x14ac:dyDescent="0.25">
      <c r="A30" s="10" t="s">
        <v>56</v>
      </c>
      <c r="B30" s="11" t="s">
        <v>919</v>
      </c>
      <c r="C30" s="67"/>
      <c r="D30" s="16">
        <v>58509.26</v>
      </c>
      <c r="E30" s="35">
        <v>0</v>
      </c>
      <c r="F30" s="10">
        <v>-58524.639999999999</v>
      </c>
      <c r="G30" s="36">
        <v>0</v>
      </c>
      <c r="H30" s="38">
        <v>0</v>
      </c>
      <c r="I30" s="16"/>
    </row>
    <row r="31" spans="1:9" x14ac:dyDescent="0.25">
      <c r="A31" s="8"/>
      <c r="B31" s="8" t="s">
        <v>53</v>
      </c>
      <c r="C31" s="9"/>
      <c r="D31" s="38"/>
      <c r="E31" s="35">
        <f>E30</f>
        <v>0</v>
      </c>
      <c r="F31" s="10">
        <v>15.38</v>
      </c>
      <c r="G31" s="10">
        <v>0</v>
      </c>
      <c r="H31" s="38"/>
      <c r="I31" s="30"/>
    </row>
    <row r="32" spans="1:9" x14ac:dyDescent="0.25">
      <c r="A32" s="50"/>
      <c r="B32" s="8" t="s">
        <v>58</v>
      </c>
      <c r="C32" s="7"/>
      <c r="D32" s="37"/>
      <c r="E32" s="10"/>
      <c r="F32" s="42">
        <v>58524.639999999999</v>
      </c>
      <c r="G32" s="42"/>
      <c r="H32" s="34"/>
      <c r="I32" s="18"/>
    </row>
    <row r="33" spans="1:9" x14ac:dyDescent="0.25">
      <c r="A33" s="1" t="s">
        <v>59</v>
      </c>
      <c r="B33" s="1"/>
      <c r="C33" s="1"/>
      <c r="D33" s="45"/>
      <c r="E33" s="1"/>
      <c r="F33" s="1"/>
      <c r="G33" s="1"/>
      <c r="H33" s="19"/>
      <c r="I33" s="19"/>
    </row>
    <row r="34" spans="1:9" x14ac:dyDescent="0.25">
      <c r="A34" s="1"/>
      <c r="B34" s="1"/>
      <c r="C34" s="1"/>
      <c r="D34" s="45"/>
      <c r="E34" s="1"/>
      <c r="F34" s="1"/>
      <c r="G34" s="1"/>
      <c r="H34" s="19"/>
      <c r="I34" s="19"/>
    </row>
    <row r="35" spans="1:9" x14ac:dyDescent="0.25">
      <c r="A35" s="63" t="s">
        <v>60</v>
      </c>
      <c r="B35" s="46" t="s">
        <v>920</v>
      </c>
      <c r="C35" s="30" t="s">
        <v>710</v>
      </c>
      <c r="D35" s="47" t="s">
        <v>63</v>
      </c>
      <c r="E35" s="48" t="s">
        <v>711</v>
      </c>
      <c r="F35" s="25" t="s">
        <v>748</v>
      </c>
      <c r="G35" s="25"/>
      <c r="H35" s="5"/>
      <c r="I35" s="33" t="s">
        <v>710</v>
      </c>
    </row>
    <row r="36" spans="1:9" x14ac:dyDescent="0.25">
      <c r="A36" s="39"/>
      <c r="B36" s="49"/>
      <c r="C36" s="33" t="s">
        <v>67</v>
      </c>
      <c r="D36" s="47" t="s">
        <v>921</v>
      </c>
      <c r="E36" s="303">
        <v>0.15</v>
      </c>
      <c r="F36" s="8" t="s">
        <v>154</v>
      </c>
      <c r="G36" s="54"/>
      <c r="H36" s="33"/>
      <c r="I36" s="5" t="s">
        <v>154</v>
      </c>
    </row>
    <row r="37" spans="1:9" x14ac:dyDescent="0.25">
      <c r="A37" s="17"/>
      <c r="B37" s="50" t="s">
        <v>922</v>
      </c>
      <c r="C37" s="30">
        <v>6962.55</v>
      </c>
      <c r="D37" s="48">
        <v>2400</v>
      </c>
      <c r="E37" s="61">
        <f>D37*15%</f>
        <v>360</v>
      </c>
      <c r="F37" s="30">
        <f>C37+(D37-E37)</f>
        <v>9002.5499999999993</v>
      </c>
      <c r="G37" s="28"/>
      <c r="H37" s="30"/>
      <c r="I37" s="30">
        <f>F37-G37</f>
        <v>9002.5499999999993</v>
      </c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/>
      <c r="I42" s="6" t="s">
        <v>221</v>
      </c>
    </row>
    <row r="43" spans="1:9" x14ac:dyDescent="0.25">
      <c r="A43" s="8">
        <v>1</v>
      </c>
      <c r="B43" s="8" t="s">
        <v>923</v>
      </c>
      <c r="C43" s="36" t="s">
        <v>92</v>
      </c>
      <c r="D43" s="8">
        <v>-139564.35</v>
      </c>
      <c r="E43" s="196">
        <v>445386.74</v>
      </c>
      <c r="F43" s="7">
        <v>460148.27</v>
      </c>
      <c r="G43" s="8">
        <f>E43</f>
        <v>445386.74</v>
      </c>
      <c r="H43" s="8">
        <f>D43+F43-G43</f>
        <v>-124802.81999999995</v>
      </c>
      <c r="I43" s="8">
        <f>H43</f>
        <v>-124802.81999999995</v>
      </c>
    </row>
    <row r="44" spans="1:9" x14ac:dyDescent="0.25">
      <c r="A44" s="8"/>
      <c r="B44" s="8" t="s">
        <v>924</v>
      </c>
      <c r="C44" s="35" t="s">
        <v>94</v>
      </c>
      <c r="D44" s="6"/>
      <c r="E44" s="59"/>
      <c r="F44" s="7"/>
      <c r="G44" s="17"/>
      <c r="H44" s="17"/>
      <c r="I44" s="56"/>
    </row>
    <row r="45" spans="1:9" x14ac:dyDescent="0.25">
      <c r="A45" s="8">
        <v>2</v>
      </c>
      <c r="B45" s="8" t="s">
        <v>99</v>
      </c>
      <c r="C45" s="35" t="s">
        <v>100</v>
      </c>
      <c r="D45" s="8">
        <v>-332217.38</v>
      </c>
      <c r="E45" s="9">
        <v>1029271.48</v>
      </c>
      <c r="F45" s="7">
        <v>985701.94</v>
      </c>
      <c r="G45" s="17">
        <f>E45</f>
        <v>1029271.48</v>
      </c>
      <c r="H45" s="17">
        <f>D45+F45-G45</f>
        <v>-375786.92000000004</v>
      </c>
      <c r="I45" s="48">
        <f>H45</f>
        <v>-375786.92000000004</v>
      </c>
    </row>
    <row r="46" spans="1:9" x14ac:dyDescent="0.25">
      <c r="A46" s="1" t="s">
        <v>101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" t="s">
        <v>102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6" t="s">
        <v>12</v>
      </c>
      <c r="B48" s="5" t="s">
        <v>103</v>
      </c>
      <c r="C48" s="46" t="s">
        <v>104</v>
      </c>
      <c r="D48" s="54"/>
      <c r="E48" s="54"/>
      <c r="F48" s="54"/>
      <c r="G48" s="5" t="s">
        <v>105</v>
      </c>
      <c r="H48" s="47" t="s">
        <v>165</v>
      </c>
      <c r="I48" s="5" t="s">
        <v>107</v>
      </c>
    </row>
    <row r="49" spans="1:9" x14ac:dyDescent="0.25">
      <c r="A49" s="49" t="s">
        <v>108</v>
      </c>
      <c r="B49" s="6" t="s">
        <v>72</v>
      </c>
      <c r="C49" s="49"/>
      <c r="D49" s="43"/>
      <c r="E49" s="43"/>
      <c r="F49" s="43"/>
      <c r="G49" s="6"/>
      <c r="H49" s="56" t="s">
        <v>85</v>
      </c>
      <c r="I49" s="6" t="s">
        <v>109</v>
      </c>
    </row>
    <row r="50" spans="1:9" x14ac:dyDescent="0.25">
      <c r="A50" s="49"/>
      <c r="B50" s="17"/>
      <c r="C50" s="50"/>
      <c r="D50" s="61"/>
      <c r="E50" s="61"/>
      <c r="F50" s="61"/>
      <c r="G50" s="6"/>
      <c r="H50" s="56"/>
      <c r="I50" s="6"/>
    </row>
    <row r="51" spans="1:9" x14ac:dyDescent="0.25">
      <c r="A51" s="62"/>
      <c r="B51" s="63"/>
      <c r="C51" s="53"/>
      <c r="D51" s="159"/>
      <c r="E51" s="159"/>
      <c r="F51" s="47"/>
      <c r="G51" s="5"/>
      <c r="H51" s="47"/>
      <c r="I51" s="5"/>
    </row>
    <row r="52" spans="1:9" x14ac:dyDescent="0.25">
      <c r="A52" s="64" t="s">
        <v>111</v>
      </c>
      <c r="B52" s="65">
        <v>43186</v>
      </c>
      <c r="C52" s="49" t="s">
        <v>237</v>
      </c>
      <c r="D52" s="43"/>
      <c r="E52" s="43"/>
      <c r="F52" s="56"/>
      <c r="G52" s="26" t="s">
        <v>203</v>
      </c>
      <c r="H52" s="56">
        <v>74</v>
      </c>
      <c r="I52" s="6">
        <v>14800</v>
      </c>
    </row>
    <row r="53" spans="1:9" x14ac:dyDescent="0.25">
      <c r="A53" s="64" t="s">
        <v>114</v>
      </c>
      <c r="B53" s="65">
        <v>43185</v>
      </c>
      <c r="C53" s="49" t="s">
        <v>572</v>
      </c>
      <c r="D53" s="43"/>
      <c r="E53" s="43"/>
      <c r="F53" s="56"/>
      <c r="G53" s="26" t="s">
        <v>205</v>
      </c>
      <c r="H53" s="56">
        <v>2</v>
      </c>
      <c r="I53" s="6">
        <v>9022.7199999999993</v>
      </c>
    </row>
    <row r="54" spans="1:9" x14ac:dyDescent="0.25">
      <c r="A54" s="64" t="s">
        <v>170</v>
      </c>
      <c r="B54" s="65">
        <v>43367</v>
      </c>
      <c r="C54" s="49" t="s">
        <v>772</v>
      </c>
      <c r="D54" s="43"/>
      <c r="E54" s="43"/>
      <c r="F54" s="56"/>
      <c r="G54" s="26" t="s">
        <v>205</v>
      </c>
      <c r="H54" s="56">
        <v>4</v>
      </c>
      <c r="I54" s="6">
        <v>3200</v>
      </c>
    </row>
    <row r="55" spans="1:9" x14ac:dyDescent="0.25">
      <c r="A55" s="64" t="s">
        <v>173</v>
      </c>
      <c r="B55" s="65">
        <v>43395</v>
      </c>
      <c r="C55" s="49" t="s">
        <v>925</v>
      </c>
      <c r="D55" s="43"/>
      <c r="E55" s="43"/>
      <c r="F55" s="56"/>
      <c r="G55" s="26" t="s">
        <v>205</v>
      </c>
      <c r="H55" s="56">
        <v>1</v>
      </c>
      <c r="I55" s="6">
        <v>6003</v>
      </c>
    </row>
    <row r="56" spans="1:9" x14ac:dyDescent="0.25">
      <c r="A56" s="66"/>
      <c r="B56" s="17"/>
      <c r="C56" s="14" t="s">
        <v>117</v>
      </c>
      <c r="D56" s="13"/>
      <c r="E56" s="13"/>
      <c r="F56" s="67"/>
      <c r="G56" s="16"/>
      <c r="H56" s="67"/>
      <c r="I56" s="11">
        <f>SUM(I51:I55)</f>
        <v>33025.72</v>
      </c>
    </row>
    <row r="57" spans="1:9" x14ac:dyDescent="0.25">
      <c r="A57" s="2"/>
      <c r="B57" s="2"/>
      <c r="C57" s="2" t="s">
        <v>72</v>
      </c>
      <c r="E57" s="2"/>
      <c r="F57" s="2"/>
      <c r="G57" s="2"/>
      <c r="H57" s="2"/>
      <c r="I57" s="2"/>
    </row>
    <row r="58" spans="1:9" x14ac:dyDescent="0.25">
      <c r="A58" s="2" t="s">
        <v>375</v>
      </c>
      <c r="B58" s="2"/>
      <c r="C58" s="2"/>
      <c r="D58" s="2" t="s">
        <v>119</v>
      </c>
      <c r="E58" s="2"/>
      <c r="F58" s="2" t="s">
        <v>120</v>
      </c>
      <c r="H58" s="2" t="s">
        <v>121</v>
      </c>
      <c r="I58" s="2" t="s">
        <v>122</v>
      </c>
    </row>
  </sheetData>
  <pageMargins left="0.7" right="0.7" top="0.75" bottom="0.75" header="0.3" footer="0.3"/>
  <pageSetup paperSize="9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6" workbookViewId="0">
      <selection activeCell="B34" sqref="B34:B35"/>
    </sheetView>
  </sheetViews>
  <sheetFormatPr defaultRowHeight="15" x14ac:dyDescent="0.25"/>
  <cols>
    <col min="1" max="1" width="5.140625" customWidth="1"/>
    <col min="2" max="2" width="33" customWidth="1"/>
    <col min="3" max="3" width="13" customWidth="1"/>
    <col min="5" max="5" width="11.140625" customWidth="1"/>
    <col min="6" max="6" width="13.85546875" customWidth="1"/>
    <col min="8" max="8" width="11.28515625" customWidth="1"/>
    <col min="9" max="9" width="22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926</v>
      </c>
      <c r="B5" s="2"/>
      <c r="C5" s="2"/>
      <c r="D5" s="2"/>
      <c r="E5" s="1"/>
      <c r="F5" s="1"/>
      <c r="G5" s="2"/>
      <c r="H5" s="2"/>
      <c r="I5" s="2"/>
    </row>
    <row r="6" spans="1:9" x14ac:dyDescent="0.25">
      <c r="A6" s="2" t="s">
        <v>927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928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929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517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518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519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7">
        <v>7</v>
      </c>
      <c r="H16" s="8">
        <v>8</v>
      </c>
      <c r="I16" s="8">
        <v>9</v>
      </c>
    </row>
    <row r="17" spans="1:9" x14ac:dyDescent="0.25">
      <c r="A17" s="14" t="s">
        <v>344</v>
      </c>
      <c r="B17" s="11" t="s">
        <v>323</v>
      </c>
      <c r="C17" s="11">
        <v>8.9600000000000009</v>
      </c>
      <c r="D17" s="16">
        <v>-16202.23</v>
      </c>
      <c r="E17" s="13">
        <v>237597.96</v>
      </c>
      <c r="F17" s="14">
        <v>230572.53</v>
      </c>
      <c r="G17" s="16">
        <f>E17</f>
        <v>237597.96</v>
      </c>
      <c r="H17" s="12">
        <f>D17+F17-G17</f>
        <v>-23227.660000000003</v>
      </c>
      <c r="I17" s="16">
        <f>H17+H22</f>
        <v>-23329.800000000003</v>
      </c>
    </row>
    <row r="18" spans="1:9" x14ac:dyDescent="0.25">
      <c r="A18" s="6" t="s">
        <v>36</v>
      </c>
      <c r="B18" s="17" t="s">
        <v>37</v>
      </c>
      <c r="C18" s="17">
        <v>3.08</v>
      </c>
      <c r="D18" s="21"/>
      <c r="E18" s="162">
        <f>E17*34.4/100</f>
        <v>81733.698239999998</v>
      </c>
      <c r="F18" s="20">
        <f>F17*34.4%</f>
        <v>79316.950319999989</v>
      </c>
      <c r="G18" s="21">
        <f t="shared" ref="G18:G24" si="0">E18</f>
        <v>81733.698239999998</v>
      </c>
      <c r="H18" s="18"/>
      <c r="I18" s="21"/>
    </row>
    <row r="19" spans="1:9" x14ac:dyDescent="0.25">
      <c r="A19" s="22" t="s">
        <v>38</v>
      </c>
      <c r="B19" s="5" t="s">
        <v>39</v>
      </c>
      <c r="C19" s="5">
        <v>1.47</v>
      </c>
      <c r="D19" s="33"/>
      <c r="E19" s="24">
        <f>E17*16.4/100</f>
        <v>38966.065439999998</v>
      </c>
      <c r="F19" s="25">
        <f>F17*16.4/100</f>
        <v>37813.894919999999</v>
      </c>
      <c r="G19" s="26">
        <f t="shared" si="0"/>
        <v>38966.065439999998</v>
      </c>
      <c r="H19" s="23"/>
      <c r="I19" s="33"/>
    </row>
    <row r="20" spans="1:9" x14ac:dyDescent="0.25">
      <c r="A20" s="31" t="s">
        <v>40</v>
      </c>
      <c r="B20" s="8" t="s">
        <v>41</v>
      </c>
      <c r="C20" s="8">
        <v>1.81</v>
      </c>
      <c r="D20" s="30"/>
      <c r="E20" s="28">
        <f>E17*20.2/100</f>
        <v>47994.787919999995</v>
      </c>
      <c r="F20" s="29">
        <f>F17*20.2/100</f>
        <v>46575.651059999997</v>
      </c>
      <c r="G20" s="30">
        <f t="shared" si="0"/>
        <v>47994.787919999995</v>
      </c>
      <c r="H20" s="28"/>
      <c r="I20" s="30"/>
    </row>
    <row r="21" spans="1:9" x14ac:dyDescent="0.25">
      <c r="A21" s="31" t="s">
        <v>42</v>
      </c>
      <c r="B21" s="8" t="s">
        <v>43</v>
      </c>
      <c r="C21" s="8">
        <v>2.6</v>
      </c>
      <c r="D21" s="30"/>
      <c r="E21" s="28">
        <f>E17*29/100</f>
        <v>68903.4084</v>
      </c>
      <c r="F21" s="29">
        <f>F17*29/100</f>
        <v>66866.0337</v>
      </c>
      <c r="G21" s="30">
        <f t="shared" si="0"/>
        <v>68903.4084</v>
      </c>
      <c r="H21" s="27"/>
      <c r="I21" s="30"/>
    </row>
    <row r="22" spans="1:9" x14ac:dyDescent="0.25">
      <c r="A22" s="237" t="s">
        <v>44</v>
      </c>
      <c r="B22" s="17" t="s">
        <v>45</v>
      </c>
      <c r="C22" s="51">
        <v>1755.25</v>
      </c>
      <c r="D22" s="21">
        <v>-94.02</v>
      </c>
      <c r="E22" s="162">
        <v>438.72</v>
      </c>
      <c r="F22" s="20">
        <v>430.6</v>
      </c>
      <c r="G22" s="21">
        <f>E22</f>
        <v>438.72</v>
      </c>
      <c r="H22" s="18">
        <f>D22+F22-G22</f>
        <v>-102.13999999999999</v>
      </c>
      <c r="I22" s="16">
        <f>H22</f>
        <v>-102.13999999999999</v>
      </c>
    </row>
    <row r="23" spans="1:9" x14ac:dyDescent="0.25">
      <c r="A23" s="237" t="s">
        <v>46</v>
      </c>
      <c r="B23" s="17" t="s">
        <v>276</v>
      </c>
      <c r="C23" s="51" t="s">
        <v>48</v>
      </c>
      <c r="D23" s="8">
        <v>-2898.95</v>
      </c>
      <c r="E23" s="9">
        <v>18418.919999999998</v>
      </c>
      <c r="F23" s="7">
        <v>18019.560000000001</v>
      </c>
      <c r="G23" s="8">
        <f>E23</f>
        <v>18418.919999999998</v>
      </c>
      <c r="H23" s="8">
        <f>D23+F23-G23</f>
        <v>-3298.3099999999977</v>
      </c>
      <c r="I23" s="42">
        <f>H23</f>
        <v>-3298.3099999999977</v>
      </c>
    </row>
    <row r="24" spans="1:9" x14ac:dyDescent="0.25">
      <c r="A24" s="10" t="s">
        <v>49</v>
      </c>
      <c r="B24" s="11" t="s">
        <v>50</v>
      </c>
      <c r="C24" s="10">
        <v>4.5999999999999996</v>
      </c>
      <c r="D24" s="38">
        <v>-14132.11</v>
      </c>
      <c r="E24" s="35">
        <v>121980.96</v>
      </c>
      <c r="F24" s="36">
        <v>119657.96</v>
      </c>
      <c r="G24" s="38">
        <f t="shared" si="0"/>
        <v>121980.96</v>
      </c>
      <c r="H24" s="290">
        <f>D24+F24-G24</f>
        <v>-16455.11</v>
      </c>
      <c r="I24" s="38">
        <f>H24</f>
        <v>-16455.11</v>
      </c>
    </row>
    <row r="25" spans="1:9" x14ac:dyDescent="0.25">
      <c r="A25" s="11" t="s">
        <v>51</v>
      </c>
      <c r="B25" s="11" t="s">
        <v>930</v>
      </c>
      <c r="C25" s="11">
        <v>1.82</v>
      </c>
      <c r="D25" s="40">
        <v>12285.54</v>
      </c>
      <c r="E25" s="63">
        <v>48262.2</v>
      </c>
      <c r="F25" s="41">
        <f>F26+F27+F29+F28</f>
        <v>56673.289999999994</v>
      </c>
      <c r="G25" s="39">
        <f>G26</f>
        <v>22800</v>
      </c>
      <c r="H25" s="40">
        <f>D25+F25-G25</f>
        <v>46158.829999999987</v>
      </c>
      <c r="I25" s="16"/>
    </row>
    <row r="26" spans="1:9" x14ac:dyDescent="0.25">
      <c r="A26" s="11"/>
      <c r="B26" s="8" t="s">
        <v>53</v>
      </c>
      <c r="C26" s="13"/>
      <c r="D26" s="38"/>
      <c r="E26" s="10"/>
      <c r="F26" s="10">
        <v>47365.45</v>
      </c>
      <c r="G26" s="36">
        <f>I53</f>
        <v>22800</v>
      </c>
      <c r="H26" s="38"/>
      <c r="I26" s="16"/>
    </row>
    <row r="27" spans="1:9" x14ac:dyDescent="0.25">
      <c r="A27" s="10"/>
      <c r="B27" s="8" t="s">
        <v>54</v>
      </c>
      <c r="C27" s="35"/>
      <c r="D27" s="37"/>
      <c r="E27" s="10"/>
      <c r="F27" s="10">
        <v>0</v>
      </c>
      <c r="G27" s="36"/>
      <c r="H27" s="38"/>
      <c r="I27" s="38"/>
    </row>
    <row r="28" spans="1:9" x14ac:dyDescent="0.25">
      <c r="A28" s="13"/>
      <c r="B28" s="8" t="s">
        <v>931</v>
      </c>
      <c r="C28" s="13"/>
      <c r="D28" s="37"/>
      <c r="E28" s="13"/>
      <c r="F28" s="10">
        <v>0.34</v>
      </c>
      <c r="G28" s="36"/>
      <c r="H28" s="38"/>
      <c r="I28" s="38"/>
    </row>
    <row r="29" spans="1:9" x14ac:dyDescent="0.25">
      <c r="A29" s="13"/>
      <c r="B29" s="8" t="s">
        <v>932</v>
      </c>
      <c r="C29" s="13"/>
      <c r="D29" s="38"/>
      <c r="E29" s="13"/>
      <c r="F29" s="10">
        <v>9307.5</v>
      </c>
      <c r="G29" s="10"/>
      <c r="H29" s="161"/>
      <c r="I29" s="38"/>
    </row>
    <row r="30" spans="1:9" x14ac:dyDescent="0.25">
      <c r="A30" s="4"/>
      <c r="B30" s="43"/>
      <c r="C30" s="4"/>
      <c r="D30" s="165"/>
      <c r="E30" s="4"/>
      <c r="F30" s="4"/>
      <c r="G30" s="4"/>
      <c r="H30" s="165"/>
      <c r="I30" s="165"/>
    </row>
    <row r="31" spans="1:9" x14ac:dyDescent="0.25">
      <c r="A31" s="53" t="s">
        <v>355</v>
      </c>
      <c r="B31" s="53" t="s">
        <v>61</v>
      </c>
      <c r="C31" s="8" t="s">
        <v>65</v>
      </c>
      <c r="D31" s="5" t="s">
        <v>63</v>
      </c>
      <c r="E31" s="48" t="s">
        <v>64</v>
      </c>
      <c r="F31" s="5" t="s">
        <v>62</v>
      </c>
      <c r="G31" s="8" t="s">
        <v>151</v>
      </c>
      <c r="H31" s="7" t="s">
        <v>195</v>
      </c>
      <c r="I31" s="48"/>
    </row>
    <row r="32" spans="1:9" x14ac:dyDescent="0.25">
      <c r="A32" s="49"/>
      <c r="B32" s="14" t="s">
        <v>69</v>
      </c>
      <c r="C32" s="8" t="s">
        <v>67</v>
      </c>
      <c r="D32" s="8" t="s">
        <v>23</v>
      </c>
      <c r="E32" s="9" t="s">
        <v>312</v>
      </c>
      <c r="F32" s="259" t="s">
        <v>30</v>
      </c>
      <c r="G32" s="259"/>
      <c r="H32" s="304"/>
      <c r="I32" s="51"/>
    </row>
    <row r="33" spans="1:9" x14ac:dyDescent="0.25">
      <c r="A33" s="50"/>
      <c r="B33" s="209"/>
      <c r="C33" s="29">
        <v>14027.55</v>
      </c>
      <c r="D33" s="17">
        <v>6000</v>
      </c>
      <c r="E33" s="28">
        <f>D33*15%</f>
        <v>900</v>
      </c>
      <c r="F33" s="260">
        <f>C33+(D33-E33)</f>
        <v>19127.55</v>
      </c>
      <c r="G33" s="260">
        <v>12176.64</v>
      </c>
      <c r="H33" s="162">
        <f>F33-G33</f>
        <v>6950.91</v>
      </c>
      <c r="I33" s="51"/>
    </row>
    <row r="34" spans="1:9" x14ac:dyDescent="0.25">
      <c r="A34" s="4" t="s">
        <v>70</v>
      </c>
      <c r="B34" s="4"/>
      <c r="C34" s="4"/>
      <c r="D34" s="52"/>
      <c r="E34" s="4"/>
      <c r="F34" s="4"/>
      <c r="G34" s="4"/>
      <c r="H34" s="4"/>
      <c r="I34" s="4"/>
    </row>
    <row r="35" spans="1:9" x14ac:dyDescent="0.25">
      <c r="A35" s="1" t="s">
        <v>71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5" t="s">
        <v>72</v>
      </c>
      <c r="B36" s="53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5" t="s">
        <v>78</v>
      </c>
      <c r="H36" s="54" t="s">
        <v>79</v>
      </c>
      <c r="I36" s="5" t="s">
        <v>19</v>
      </c>
    </row>
    <row r="37" spans="1:9" x14ac:dyDescent="0.25">
      <c r="A37" s="6"/>
      <c r="B37" s="55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6" t="s">
        <v>85</v>
      </c>
      <c r="H37" s="43" t="s">
        <v>86</v>
      </c>
      <c r="I37" s="6" t="s">
        <v>87</v>
      </c>
    </row>
    <row r="38" spans="1:9" x14ac:dyDescent="0.25">
      <c r="A38" s="6"/>
      <c r="B38" s="55"/>
      <c r="C38" s="6"/>
      <c r="D38" s="43"/>
      <c r="E38" s="6"/>
      <c r="F38" s="43" t="s">
        <v>88</v>
      </c>
      <c r="G38" s="6" t="s">
        <v>89</v>
      </c>
      <c r="H38" s="43"/>
      <c r="I38" s="6" t="s">
        <v>221</v>
      </c>
    </row>
    <row r="39" spans="1:9" x14ac:dyDescent="0.25">
      <c r="A39" s="8">
        <v>1</v>
      </c>
      <c r="B39" s="8" t="s">
        <v>91</v>
      </c>
      <c r="C39" s="36" t="s">
        <v>92</v>
      </c>
      <c r="D39" s="5">
        <v>-17808.37</v>
      </c>
      <c r="E39" s="196">
        <v>154370.98000000001</v>
      </c>
      <c r="F39" s="7">
        <v>151424.07999999999</v>
      </c>
      <c r="G39" s="8">
        <f>E39</f>
        <v>154370.98000000001</v>
      </c>
      <c r="H39" s="8">
        <f>D39+F39-G39</f>
        <v>-20755.270000000019</v>
      </c>
      <c r="I39" s="47">
        <f>H39</f>
        <v>-20755.270000000019</v>
      </c>
    </row>
    <row r="40" spans="1:9" x14ac:dyDescent="0.25">
      <c r="A40" s="8"/>
      <c r="B40" s="8" t="s">
        <v>93</v>
      </c>
      <c r="C40" s="35" t="s">
        <v>94</v>
      </c>
      <c r="D40" s="5"/>
      <c r="E40" s="59"/>
      <c r="F40" s="7"/>
      <c r="G40" s="17"/>
      <c r="H40" s="17"/>
      <c r="I40" s="47"/>
    </row>
    <row r="41" spans="1:9" x14ac:dyDescent="0.25">
      <c r="A41" s="8">
        <v>2</v>
      </c>
      <c r="B41" s="8" t="s">
        <v>160</v>
      </c>
      <c r="C41" s="35" t="s">
        <v>96</v>
      </c>
      <c r="D41" s="8">
        <v>-62599.519999999997</v>
      </c>
      <c r="E41" s="59">
        <v>259015.56</v>
      </c>
      <c r="F41" s="7">
        <v>254263.33</v>
      </c>
      <c r="G41" s="17">
        <f>E41</f>
        <v>259015.56</v>
      </c>
      <c r="H41" s="17">
        <f>D41+F41-G41</f>
        <v>-67351.75</v>
      </c>
      <c r="I41" s="47">
        <f>H41</f>
        <v>-67351.75</v>
      </c>
    </row>
    <row r="42" spans="1:9" x14ac:dyDescent="0.25">
      <c r="A42" s="8"/>
      <c r="B42" s="8" t="s">
        <v>198</v>
      </c>
      <c r="C42" s="35" t="s">
        <v>94</v>
      </c>
      <c r="D42" s="8"/>
      <c r="E42" s="59"/>
      <c r="F42" s="7"/>
      <c r="G42" s="17"/>
      <c r="H42" s="17"/>
      <c r="I42" s="47"/>
    </row>
    <row r="43" spans="1:9" x14ac:dyDescent="0.25">
      <c r="A43" s="8">
        <v>3</v>
      </c>
      <c r="B43" s="8" t="s">
        <v>99</v>
      </c>
      <c r="C43" s="35" t="s">
        <v>100</v>
      </c>
      <c r="D43" s="8">
        <v>-217722.26</v>
      </c>
      <c r="E43" s="9">
        <v>798489.31</v>
      </c>
      <c r="F43" s="7">
        <v>779535.95</v>
      </c>
      <c r="G43" s="17">
        <f>E43</f>
        <v>798489.31</v>
      </c>
      <c r="H43" s="17">
        <f>D43+F43-G43</f>
        <v>-236675.62000000011</v>
      </c>
      <c r="I43" s="8">
        <f>H43</f>
        <v>-236675.62000000011</v>
      </c>
    </row>
    <row r="44" spans="1:9" x14ac:dyDescent="0.25">
      <c r="A44" s="1" t="s">
        <v>101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" t="s">
        <v>102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6" t="s">
        <v>12</v>
      </c>
      <c r="B46" s="5" t="s">
        <v>103</v>
      </c>
      <c r="C46" s="46" t="s">
        <v>104</v>
      </c>
      <c r="D46" s="54"/>
      <c r="E46" s="54"/>
      <c r="F46" s="47"/>
      <c r="G46" s="47" t="s">
        <v>105</v>
      </c>
      <c r="H46" s="47" t="s">
        <v>165</v>
      </c>
      <c r="I46" s="5" t="s">
        <v>107</v>
      </c>
    </row>
    <row r="47" spans="1:9" x14ac:dyDescent="0.25">
      <c r="A47" s="49" t="s">
        <v>108</v>
      </c>
      <c r="B47" s="6"/>
      <c r="C47" s="49"/>
      <c r="D47" s="43"/>
      <c r="E47" s="43"/>
      <c r="F47" s="56"/>
      <c r="G47" s="56"/>
      <c r="H47" s="56" t="s">
        <v>85</v>
      </c>
      <c r="I47" s="6" t="s">
        <v>109</v>
      </c>
    </row>
    <row r="48" spans="1:9" x14ac:dyDescent="0.25">
      <c r="A48" s="49"/>
      <c r="B48" s="17"/>
      <c r="C48" s="50"/>
      <c r="D48" s="61"/>
      <c r="E48" s="61"/>
      <c r="F48" s="51"/>
      <c r="G48" s="56"/>
      <c r="H48" s="56"/>
      <c r="I48" s="6"/>
    </row>
    <row r="49" spans="1:9" x14ac:dyDescent="0.25">
      <c r="A49" s="62" t="s">
        <v>72</v>
      </c>
      <c r="B49" s="63"/>
      <c r="C49" s="55" t="s">
        <v>597</v>
      </c>
      <c r="D49" s="4"/>
      <c r="E49" s="4"/>
      <c r="F49" s="56"/>
      <c r="G49" s="47"/>
      <c r="H49" s="47"/>
      <c r="I49" s="5"/>
    </row>
    <row r="50" spans="1:9" x14ac:dyDescent="0.25">
      <c r="A50" s="64" t="s">
        <v>111</v>
      </c>
      <c r="B50" s="65">
        <v>43186</v>
      </c>
      <c r="C50" s="232" t="s">
        <v>237</v>
      </c>
      <c r="D50" s="43"/>
      <c r="E50" s="43"/>
      <c r="F50" s="56"/>
      <c r="G50" s="32" t="s">
        <v>113</v>
      </c>
      <c r="H50" s="56">
        <v>114</v>
      </c>
      <c r="I50" s="6">
        <v>22800</v>
      </c>
    </row>
    <row r="51" spans="1:9" x14ac:dyDescent="0.25">
      <c r="A51" s="64"/>
      <c r="B51" s="65"/>
      <c r="C51" s="49"/>
      <c r="D51" s="43"/>
      <c r="E51" s="43"/>
      <c r="F51" s="56"/>
      <c r="G51" s="32"/>
      <c r="H51" s="56"/>
      <c r="I51" s="6"/>
    </row>
    <row r="52" spans="1:9" x14ac:dyDescent="0.25">
      <c r="A52" s="64"/>
      <c r="B52" s="65"/>
      <c r="C52" s="49"/>
      <c r="D52" s="43"/>
      <c r="E52" s="43"/>
      <c r="F52" s="56"/>
      <c r="G52" s="32"/>
      <c r="H52" s="56"/>
      <c r="I52" s="6"/>
    </row>
    <row r="53" spans="1:9" x14ac:dyDescent="0.25">
      <c r="A53" s="66"/>
      <c r="B53" s="17"/>
      <c r="C53" s="14" t="s">
        <v>117</v>
      </c>
      <c r="D53" s="13"/>
      <c r="E53" s="13"/>
      <c r="F53" s="67"/>
      <c r="G53" s="12"/>
      <c r="H53" s="67"/>
      <c r="I53" s="11">
        <f>SUM(I50:I52)</f>
        <v>22800</v>
      </c>
    </row>
    <row r="54" spans="1:9" x14ac:dyDescent="0.25">
      <c r="A54" s="68"/>
      <c r="B54" s="43"/>
      <c r="C54" s="4"/>
      <c r="D54" s="4"/>
      <c r="E54" s="4"/>
      <c r="F54" s="4"/>
      <c r="G54" s="165"/>
      <c r="H54" s="4"/>
      <c r="I54" s="4"/>
    </row>
    <row r="55" spans="1:9" x14ac:dyDescent="0.25">
      <c r="A55" s="2" t="s">
        <v>933</v>
      </c>
      <c r="B55" s="2"/>
      <c r="C55" s="2" t="s">
        <v>119</v>
      </c>
      <c r="D55" s="2"/>
      <c r="E55" s="2" t="s">
        <v>120</v>
      </c>
      <c r="H55" s="2" t="s">
        <v>121</v>
      </c>
      <c r="I55" s="2" t="s">
        <v>122</v>
      </c>
    </row>
    <row r="56" spans="1:9" x14ac:dyDescent="0.25">
      <c r="B56" s="2"/>
    </row>
  </sheetData>
  <pageMargins left="0.7" right="0.7" top="0.75" bottom="0.75" header="0.3" footer="0.3"/>
  <pageSetup paperSize="9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37" workbookViewId="0">
      <selection activeCell="C67" sqref="C67"/>
    </sheetView>
  </sheetViews>
  <sheetFormatPr defaultRowHeight="15" x14ac:dyDescent="0.25"/>
  <cols>
    <col min="1" max="1" width="5.140625" customWidth="1"/>
    <col min="2" max="2" width="33.7109375" customWidth="1"/>
    <col min="3" max="3" width="12.42578125" customWidth="1"/>
    <col min="5" max="5" width="11.7109375" customWidth="1"/>
    <col min="6" max="6" width="14.140625" customWidth="1"/>
    <col min="8" max="8" width="13" customWidth="1"/>
    <col min="9" max="9" width="19.8554687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934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935</v>
      </c>
      <c r="B5" s="2"/>
      <c r="C5" s="2"/>
      <c r="D5" s="2"/>
      <c r="E5" s="1"/>
      <c r="F5" s="1"/>
      <c r="G5" s="2"/>
      <c r="H5" s="2"/>
      <c r="I5" s="2"/>
    </row>
    <row r="6" spans="1:9" x14ac:dyDescent="0.25">
      <c r="A6" s="2" t="s">
        <v>936</v>
      </c>
      <c r="B6" s="2"/>
      <c r="C6" s="2" t="s">
        <v>937</v>
      </c>
      <c r="D6" s="2"/>
      <c r="E6" s="2"/>
      <c r="F6" s="2"/>
      <c r="G6" s="2"/>
      <c r="H6" s="2"/>
      <c r="I6" s="2"/>
    </row>
    <row r="7" spans="1:9" x14ac:dyDescent="0.25">
      <c r="A7" s="2" t="s">
        <v>938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939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517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518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940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7">
        <v>7</v>
      </c>
      <c r="H16" s="8">
        <v>8</v>
      </c>
      <c r="I16" s="8">
        <v>9</v>
      </c>
    </row>
    <row r="17" spans="1:9" x14ac:dyDescent="0.25">
      <c r="A17" s="14" t="s">
        <v>344</v>
      </c>
      <c r="B17" s="11" t="s">
        <v>323</v>
      </c>
      <c r="C17" s="11">
        <v>8.9600000000000009</v>
      </c>
      <c r="D17" s="16">
        <v>-28886.98</v>
      </c>
      <c r="E17" s="13">
        <v>383502.84</v>
      </c>
      <c r="F17" s="14">
        <v>362508.44</v>
      </c>
      <c r="G17" s="16">
        <f>E17</f>
        <v>383502.84</v>
      </c>
      <c r="H17" s="12">
        <f>D17+F17-G17</f>
        <v>-49881.380000000005</v>
      </c>
      <c r="I17" s="16">
        <f>H17</f>
        <v>-49881.380000000005</v>
      </c>
    </row>
    <row r="18" spans="1:9" x14ac:dyDescent="0.25">
      <c r="A18" s="6" t="s">
        <v>36</v>
      </c>
      <c r="B18" s="17" t="s">
        <v>37</v>
      </c>
      <c r="C18" s="17">
        <v>3.08</v>
      </c>
      <c r="D18" s="21"/>
      <c r="E18" s="162">
        <f>E17*34.4/100</f>
        <v>131924.97696</v>
      </c>
      <c r="F18" s="20">
        <f>F17*34.4%</f>
        <v>124702.90336</v>
      </c>
      <c r="G18" s="21">
        <f t="shared" ref="G18:G24" si="0">E18</f>
        <v>131924.97696</v>
      </c>
      <c r="H18" s="18"/>
      <c r="I18" s="21"/>
    </row>
    <row r="19" spans="1:9" x14ac:dyDescent="0.25">
      <c r="A19" s="22" t="s">
        <v>38</v>
      </c>
      <c r="B19" s="5" t="s">
        <v>39</v>
      </c>
      <c r="C19" s="5">
        <v>1.47</v>
      </c>
      <c r="D19" s="33"/>
      <c r="E19" s="24">
        <f>E17*16.4/100</f>
        <v>62894.465759999992</v>
      </c>
      <c r="F19" s="25">
        <f>F17*16.4/100</f>
        <v>59451.384159999994</v>
      </c>
      <c r="G19" s="26">
        <f t="shared" si="0"/>
        <v>62894.465759999992</v>
      </c>
      <c r="H19" s="23"/>
      <c r="I19" s="33"/>
    </row>
    <row r="20" spans="1:9" x14ac:dyDescent="0.25">
      <c r="A20" s="31" t="s">
        <v>40</v>
      </c>
      <c r="B20" s="8" t="s">
        <v>41</v>
      </c>
      <c r="C20" s="8">
        <v>1.81</v>
      </c>
      <c r="D20" s="30"/>
      <c r="E20" s="28">
        <f>E17*20.2/100</f>
        <v>77467.573680000001</v>
      </c>
      <c r="F20" s="29">
        <f>F17*20.2/100</f>
        <v>73226.704880000005</v>
      </c>
      <c r="G20" s="30">
        <f t="shared" si="0"/>
        <v>77467.573680000001</v>
      </c>
      <c r="H20" s="28"/>
      <c r="I20" s="30"/>
    </row>
    <row r="21" spans="1:9" x14ac:dyDescent="0.25">
      <c r="A21" s="31" t="s">
        <v>42</v>
      </c>
      <c r="B21" s="8" t="s">
        <v>43</v>
      </c>
      <c r="C21" s="8">
        <v>2.6</v>
      </c>
      <c r="D21" s="30"/>
      <c r="E21" s="28">
        <f>E17*29%</f>
        <v>111215.8236</v>
      </c>
      <c r="F21" s="29">
        <f>F17*29%</f>
        <v>105127.4476</v>
      </c>
      <c r="G21" s="30">
        <f t="shared" si="0"/>
        <v>111215.8236</v>
      </c>
      <c r="H21" s="27"/>
      <c r="I21" s="30"/>
    </row>
    <row r="22" spans="1:9" x14ac:dyDescent="0.25">
      <c r="A22" s="237" t="s">
        <v>44</v>
      </c>
      <c r="B22" s="17" t="s">
        <v>695</v>
      </c>
      <c r="C22" s="51" t="s">
        <v>48</v>
      </c>
      <c r="D22" s="8">
        <v>-14035.33</v>
      </c>
      <c r="E22" s="9">
        <v>84465.3</v>
      </c>
      <c r="F22" s="7">
        <v>80992.39</v>
      </c>
      <c r="G22" s="8">
        <f>E22</f>
        <v>84465.3</v>
      </c>
      <c r="H22" s="8">
        <f>D22+F22-G22</f>
        <v>-17508.240000000005</v>
      </c>
      <c r="I22" s="42">
        <f>H22</f>
        <v>-17508.240000000005</v>
      </c>
    </row>
    <row r="23" spans="1:9" x14ac:dyDescent="0.25">
      <c r="A23" s="14" t="s">
        <v>49</v>
      </c>
      <c r="B23" s="11" t="s">
        <v>669</v>
      </c>
      <c r="C23" s="67">
        <v>3.43</v>
      </c>
      <c r="D23" s="16">
        <v>-14332.21</v>
      </c>
      <c r="E23" s="161">
        <v>145503.01999999999</v>
      </c>
      <c r="F23" s="15">
        <v>138019.18</v>
      </c>
      <c r="G23" s="16">
        <f t="shared" si="0"/>
        <v>145503.01999999999</v>
      </c>
      <c r="H23" s="12">
        <f>D23+F23-G23</f>
        <v>-21816.049999999988</v>
      </c>
      <c r="I23" s="16">
        <f>H23</f>
        <v>-21816.049999999988</v>
      </c>
    </row>
    <row r="24" spans="1:9" x14ac:dyDescent="0.25">
      <c r="A24" s="10" t="s">
        <v>51</v>
      </c>
      <c r="B24" s="11" t="s">
        <v>50</v>
      </c>
      <c r="C24" s="10">
        <v>4.5999999999999996</v>
      </c>
      <c r="D24" s="38">
        <v>-25248.52</v>
      </c>
      <c r="E24" s="35">
        <v>196887.36</v>
      </c>
      <c r="F24" s="36">
        <v>187923.04</v>
      </c>
      <c r="G24" s="38">
        <f t="shared" si="0"/>
        <v>196887.36</v>
      </c>
      <c r="H24" s="290">
        <f>D24+F24-G24</f>
        <v>-34212.839999999967</v>
      </c>
      <c r="I24" s="38">
        <f>H24</f>
        <v>-34212.839999999967</v>
      </c>
    </row>
    <row r="25" spans="1:9" x14ac:dyDescent="0.25">
      <c r="A25" s="11" t="s">
        <v>56</v>
      </c>
      <c r="B25" s="11" t="s">
        <v>192</v>
      </c>
      <c r="C25" s="11">
        <v>1.82</v>
      </c>
      <c r="D25" s="15">
        <v>75547.94</v>
      </c>
      <c r="E25" s="11">
        <v>77898.960000000006</v>
      </c>
      <c r="F25" s="11">
        <f>F26+F27</f>
        <v>86843.180000000008</v>
      </c>
      <c r="G25" s="11">
        <f>G26</f>
        <v>24733.3</v>
      </c>
      <c r="H25" s="16">
        <f>D25+F25-G25</f>
        <v>137657.82</v>
      </c>
      <c r="I25" s="16"/>
    </row>
    <row r="26" spans="1:9" x14ac:dyDescent="0.25">
      <c r="A26" s="11"/>
      <c r="B26" s="8" t="s">
        <v>53</v>
      </c>
      <c r="C26" s="13"/>
      <c r="D26" s="38"/>
      <c r="E26" s="10"/>
      <c r="F26" s="10">
        <v>74482.3</v>
      </c>
      <c r="G26" s="36">
        <f>I55</f>
        <v>24733.3</v>
      </c>
      <c r="H26" s="38"/>
      <c r="I26" s="16"/>
    </row>
    <row r="27" spans="1:9" x14ac:dyDescent="0.25">
      <c r="A27" s="11"/>
      <c r="B27" s="8" t="s">
        <v>54</v>
      </c>
      <c r="C27" s="13"/>
      <c r="D27" s="40"/>
      <c r="E27" s="11"/>
      <c r="F27" s="39">
        <v>12360.88</v>
      </c>
      <c r="G27" s="55"/>
      <c r="H27" s="40"/>
      <c r="I27" s="16"/>
    </row>
    <row r="28" spans="1:9" x14ac:dyDescent="0.25">
      <c r="A28" s="10" t="s">
        <v>60</v>
      </c>
      <c r="B28" s="11" t="s">
        <v>895</v>
      </c>
      <c r="C28" s="67">
        <v>0</v>
      </c>
      <c r="D28" s="38">
        <v>39976.58</v>
      </c>
      <c r="E28" s="35">
        <v>0</v>
      </c>
      <c r="F28" s="10">
        <f>F29</f>
        <v>0</v>
      </c>
      <c r="G28" s="36">
        <f>G29</f>
        <v>0</v>
      </c>
      <c r="H28" s="38">
        <f>D28+F28-G28</f>
        <v>39976.58</v>
      </c>
      <c r="I28" s="21"/>
    </row>
    <row r="29" spans="1:9" x14ac:dyDescent="0.25">
      <c r="A29" s="8"/>
      <c r="B29" s="8" t="s">
        <v>53</v>
      </c>
      <c r="C29" s="9"/>
      <c r="D29" s="21">
        <v>0</v>
      </c>
      <c r="E29" s="9">
        <v>0</v>
      </c>
      <c r="F29" s="8"/>
      <c r="G29" s="7">
        <f>I59</f>
        <v>0</v>
      </c>
      <c r="H29" s="21"/>
      <c r="I29" s="30"/>
    </row>
    <row r="30" spans="1:9" x14ac:dyDescent="0.25">
      <c r="A30" s="1" t="s">
        <v>59</v>
      </c>
      <c r="B30" s="43"/>
      <c r="C30" s="43"/>
      <c r="D30" s="43"/>
      <c r="E30" s="43"/>
      <c r="F30" s="43"/>
      <c r="G30" s="43"/>
      <c r="H30" s="19"/>
      <c r="I30" s="19"/>
    </row>
    <row r="31" spans="1:9" x14ac:dyDescent="0.25">
      <c r="A31" s="159" t="s">
        <v>355</v>
      </c>
      <c r="B31" s="53" t="s">
        <v>61</v>
      </c>
      <c r="C31" s="8" t="s">
        <v>65</v>
      </c>
      <c r="D31" s="5" t="s">
        <v>63</v>
      </c>
      <c r="E31" s="48" t="s">
        <v>64</v>
      </c>
      <c r="F31" s="5" t="s">
        <v>62</v>
      </c>
      <c r="G31" s="8"/>
      <c r="H31" s="7" t="s">
        <v>195</v>
      </c>
      <c r="I31" s="48"/>
    </row>
    <row r="32" spans="1:9" x14ac:dyDescent="0.25">
      <c r="A32" s="43"/>
      <c r="B32" s="55"/>
      <c r="C32" s="8" t="s">
        <v>67</v>
      </c>
      <c r="D32" s="8" t="s">
        <v>23</v>
      </c>
      <c r="E32" s="9" t="s">
        <v>312</v>
      </c>
      <c r="F32" s="259" t="s">
        <v>30</v>
      </c>
      <c r="G32" s="259"/>
      <c r="H32" s="61"/>
      <c r="I32" s="51"/>
    </row>
    <row r="33" spans="1:9" x14ac:dyDescent="0.25">
      <c r="A33" s="61"/>
      <c r="B33" s="14" t="s">
        <v>69</v>
      </c>
      <c r="C33" s="29">
        <v>9373.7999999999993</v>
      </c>
      <c r="D33" s="17">
        <v>6000</v>
      </c>
      <c r="E33" s="28">
        <f>D33*15%</f>
        <v>900</v>
      </c>
      <c r="F33" s="260">
        <f>C33+(D33-E33)</f>
        <v>14473.8</v>
      </c>
      <c r="G33" s="260"/>
      <c r="H33" s="162">
        <f>F33-G33</f>
        <v>14473.8</v>
      </c>
      <c r="I33" s="51"/>
    </row>
    <row r="34" spans="1:9" x14ac:dyDescent="0.25">
      <c r="A34" s="4" t="s">
        <v>70</v>
      </c>
      <c r="B34" s="4"/>
      <c r="C34" s="4"/>
      <c r="D34" s="52"/>
      <c r="E34" s="4"/>
      <c r="F34" s="4"/>
      <c r="G34" s="4"/>
      <c r="H34" s="4"/>
      <c r="I34" s="4"/>
    </row>
    <row r="35" spans="1:9" x14ac:dyDescent="0.25">
      <c r="A35" s="1" t="s">
        <v>71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5" t="s">
        <v>72</v>
      </c>
      <c r="B36" s="53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5" t="s">
        <v>78</v>
      </c>
      <c r="H36" s="54" t="s">
        <v>79</v>
      </c>
      <c r="I36" s="5" t="s">
        <v>19</v>
      </c>
    </row>
    <row r="37" spans="1:9" x14ac:dyDescent="0.25">
      <c r="A37" s="6"/>
      <c r="B37" s="55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6" t="s">
        <v>85</v>
      </c>
      <c r="H37" s="43" t="s">
        <v>882</v>
      </c>
      <c r="I37" s="6" t="s">
        <v>87</v>
      </c>
    </row>
    <row r="38" spans="1:9" x14ac:dyDescent="0.25">
      <c r="A38" s="6"/>
      <c r="B38" s="55"/>
      <c r="C38" s="6"/>
      <c r="D38" s="43"/>
      <c r="E38" s="6"/>
      <c r="F38" s="43" t="s">
        <v>88</v>
      </c>
      <c r="G38" s="6" t="s">
        <v>89</v>
      </c>
      <c r="H38" s="43" t="s">
        <v>33</v>
      </c>
      <c r="I38" s="6" t="s">
        <v>221</v>
      </c>
    </row>
    <row r="39" spans="1:9" x14ac:dyDescent="0.25">
      <c r="A39" s="17"/>
      <c r="B39" s="17"/>
      <c r="C39" s="13"/>
      <c r="D39" s="6"/>
      <c r="E39" s="61"/>
      <c r="F39" s="50"/>
      <c r="G39" s="6"/>
      <c r="H39" s="6"/>
      <c r="I39" s="56"/>
    </row>
    <row r="40" spans="1:9" x14ac:dyDescent="0.25">
      <c r="A40" s="8">
        <v>1</v>
      </c>
      <c r="B40" s="8" t="s">
        <v>91</v>
      </c>
      <c r="C40" s="36" t="s">
        <v>92</v>
      </c>
      <c r="D40" s="5">
        <v>-28065.53</v>
      </c>
      <c r="E40" s="196">
        <v>240649.18</v>
      </c>
      <c r="F40" s="7">
        <v>226965.93</v>
      </c>
      <c r="G40" s="8">
        <f>E40</f>
        <v>240649.18</v>
      </c>
      <c r="H40" s="8">
        <f>D40+F40-G40</f>
        <v>-41748.78</v>
      </c>
      <c r="I40" s="47">
        <f>H40</f>
        <v>-41748.78</v>
      </c>
    </row>
    <row r="41" spans="1:9" x14ac:dyDescent="0.25">
      <c r="A41" s="8"/>
      <c r="B41" s="8" t="s">
        <v>487</v>
      </c>
      <c r="C41" s="35" t="s">
        <v>94</v>
      </c>
      <c r="D41" s="5"/>
      <c r="E41" s="59"/>
      <c r="F41" s="7"/>
      <c r="G41" s="17"/>
      <c r="H41" s="17"/>
      <c r="I41" s="47"/>
    </row>
    <row r="42" spans="1:9" x14ac:dyDescent="0.25">
      <c r="A42" s="8">
        <v>2</v>
      </c>
      <c r="B42" s="8" t="s">
        <v>160</v>
      </c>
      <c r="C42" s="35" t="s">
        <v>96</v>
      </c>
      <c r="D42" s="8">
        <v>-111032.83</v>
      </c>
      <c r="E42" s="59">
        <v>447659.3</v>
      </c>
      <c r="F42" s="7">
        <v>428046.92</v>
      </c>
      <c r="G42" s="17">
        <f>E42</f>
        <v>447659.3</v>
      </c>
      <c r="H42" s="17">
        <f>D42+F42-G42</f>
        <v>-130645.21000000002</v>
      </c>
      <c r="I42" s="47">
        <f>H42</f>
        <v>-130645.21000000002</v>
      </c>
    </row>
    <row r="43" spans="1:9" x14ac:dyDescent="0.25">
      <c r="A43" s="8"/>
      <c r="B43" s="8" t="s">
        <v>487</v>
      </c>
      <c r="C43" s="35" t="s">
        <v>94</v>
      </c>
      <c r="D43" s="8"/>
      <c r="E43" s="59"/>
      <c r="F43" s="7"/>
      <c r="G43" s="17"/>
      <c r="H43" s="17"/>
      <c r="I43" s="47"/>
    </row>
    <row r="44" spans="1:9" x14ac:dyDescent="0.25">
      <c r="A44" s="8">
        <v>3</v>
      </c>
      <c r="B44" s="8" t="s">
        <v>99</v>
      </c>
      <c r="C44" s="35" t="s">
        <v>100</v>
      </c>
      <c r="D44" s="8">
        <v>-360527.53</v>
      </c>
      <c r="E44" s="9">
        <v>1289250.4099999999</v>
      </c>
      <c r="F44" s="7">
        <v>1227431.3999999999</v>
      </c>
      <c r="G44" s="17">
        <f>E44</f>
        <v>1289250.4099999999</v>
      </c>
      <c r="H44" s="17">
        <f>D44+F44-G44</f>
        <v>-422346.54000000004</v>
      </c>
      <c r="I44" s="8">
        <f>H44</f>
        <v>-422346.54000000004</v>
      </c>
    </row>
    <row r="45" spans="1:9" x14ac:dyDescent="0.25">
      <c r="A45" s="1" t="s">
        <v>101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102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47"/>
      <c r="G47" s="5" t="s">
        <v>105</v>
      </c>
      <c r="H47" s="47" t="s">
        <v>165</v>
      </c>
      <c r="I47" s="5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56"/>
      <c r="G48" s="6"/>
      <c r="H48" s="56" t="s">
        <v>85</v>
      </c>
      <c r="I48" s="6" t="s">
        <v>109</v>
      </c>
    </row>
    <row r="49" spans="1:9" x14ac:dyDescent="0.25">
      <c r="A49" s="49"/>
      <c r="B49" s="17"/>
      <c r="C49" s="50"/>
      <c r="D49" s="61"/>
      <c r="E49" s="61"/>
      <c r="F49" s="51"/>
      <c r="G49" s="6"/>
      <c r="H49" s="56"/>
      <c r="I49" s="6"/>
    </row>
    <row r="50" spans="1:9" x14ac:dyDescent="0.25">
      <c r="A50" s="62"/>
      <c r="B50" s="39"/>
      <c r="C50" s="55" t="s">
        <v>597</v>
      </c>
      <c r="D50" s="4"/>
      <c r="E50" s="4"/>
      <c r="F50" s="43"/>
      <c r="G50" s="5"/>
      <c r="H50" s="47"/>
      <c r="I50" s="5"/>
    </row>
    <row r="51" spans="1:9" x14ac:dyDescent="0.25">
      <c r="A51" s="64" t="s">
        <v>111</v>
      </c>
      <c r="B51" s="65">
        <v>43186</v>
      </c>
      <c r="C51" s="232" t="s">
        <v>237</v>
      </c>
      <c r="D51" s="43"/>
      <c r="E51" s="43"/>
      <c r="F51" s="43"/>
      <c r="G51" s="26" t="s">
        <v>113</v>
      </c>
      <c r="H51" s="56">
        <v>54</v>
      </c>
      <c r="I51" s="6">
        <v>10800</v>
      </c>
    </row>
    <row r="52" spans="1:9" x14ac:dyDescent="0.25">
      <c r="A52" s="64" t="s">
        <v>114</v>
      </c>
      <c r="B52" s="65">
        <v>43328</v>
      </c>
      <c r="C52" s="49" t="s">
        <v>941</v>
      </c>
      <c r="D52" s="43"/>
      <c r="E52" s="43"/>
      <c r="F52" s="43"/>
      <c r="G52" s="26" t="s">
        <v>205</v>
      </c>
      <c r="H52" s="56">
        <v>2</v>
      </c>
      <c r="I52" s="6">
        <v>5162.42</v>
      </c>
    </row>
    <row r="53" spans="1:9" x14ac:dyDescent="0.25">
      <c r="A53" s="64" t="s">
        <v>170</v>
      </c>
      <c r="B53" s="256">
        <v>43434</v>
      </c>
      <c r="C53" s="65" t="s">
        <v>942</v>
      </c>
      <c r="D53" s="43"/>
      <c r="E53" s="43"/>
      <c r="F53" s="43"/>
      <c r="G53" s="26" t="s">
        <v>559</v>
      </c>
      <c r="H53" s="56">
        <v>2</v>
      </c>
      <c r="I53" s="6">
        <v>8770.8799999999992</v>
      </c>
    </row>
    <row r="54" spans="1:9" x14ac:dyDescent="0.25">
      <c r="A54" s="64" t="s">
        <v>173</v>
      </c>
      <c r="B54" s="65"/>
      <c r="C54" s="49"/>
      <c r="D54" s="43"/>
      <c r="E54" s="43"/>
      <c r="F54" s="43"/>
      <c r="G54" s="26"/>
      <c r="H54" s="56"/>
      <c r="I54" s="6"/>
    </row>
    <row r="55" spans="1:9" x14ac:dyDescent="0.25">
      <c r="A55" s="64"/>
      <c r="B55" s="6"/>
      <c r="C55" s="14" t="s">
        <v>117</v>
      </c>
      <c r="D55" s="13"/>
      <c r="E55" s="13"/>
      <c r="F55" s="13"/>
      <c r="G55" s="16"/>
      <c r="H55" s="194"/>
      <c r="I55" s="39">
        <f>SUM(I51:I54)</f>
        <v>24733.3</v>
      </c>
    </row>
    <row r="56" spans="1:9" x14ac:dyDescent="0.25">
      <c r="A56" s="5"/>
      <c r="B56" s="5"/>
      <c r="C56" s="7"/>
      <c r="D56" s="9"/>
      <c r="E56" s="9"/>
      <c r="F56" s="9"/>
      <c r="G56" s="9"/>
      <c r="H56" s="48"/>
      <c r="I56" s="5"/>
    </row>
    <row r="57" spans="1:9" x14ac:dyDescent="0.25">
      <c r="A57" s="5" t="s">
        <v>49</v>
      </c>
      <c r="B57" s="63" t="s">
        <v>258</v>
      </c>
      <c r="C57" s="53" t="s">
        <v>259</v>
      </c>
      <c r="D57" s="54"/>
      <c r="E57" s="54"/>
      <c r="F57" s="54" t="s">
        <v>260</v>
      </c>
      <c r="G57" s="5"/>
      <c r="H57" s="47"/>
      <c r="I57" s="5"/>
    </row>
    <row r="58" spans="1:9" x14ac:dyDescent="0.25">
      <c r="A58" s="64" t="s">
        <v>72</v>
      </c>
      <c r="B58" s="65"/>
      <c r="C58" s="49"/>
      <c r="D58" s="43"/>
      <c r="E58" s="43"/>
      <c r="F58" s="43"/>
      <c r="G58" s="26"/>
      <c r="H58" s="56"/>
      <c r="I58" s="6"/>
    </row>
    <row r="59" spans="1:9" x14ac:dyDescent="0.25">
      <c r="A59" s="66"/>
      <c r="B59" s="17" t="s">
        <v>258</v>
      </c>
      <c r="C59" s="14" t="s">
        <v>117</v>
      </c>
      <c r="D59" s="13"/>
      <c r="E59" s="13"/>
      <c r="F59" s="13" t="s">
        <v>72</v>
      </c>
      <c r="G59" s="16"/>
      <c r="H59" s="67"/>
      <c r="I59" s="11">
        <f>SUM(I58:I58)</f>
        <v>0</v>
      </c>
    </row>
    <row r="60" spans="1:9" x14ac:dyDescent="0.25">
      <c r="A60" s="2" t="s">
        <v>933</v>
      </c>
      <c r="B60" s="2"/>
      <c r="C60" s="2" t="s">
        <v>119</v>
      </c>
      <c r="D60" s="2"/>
      <c r="E60" s="2" t="s">
        <v>120</v>
      </c>
      <c r="H60" s="2" t="s">
        <v>121</v>
      </c>
      <c r="I60" s="2" t="s">
        <v>943</v>
      </c>
    </row>
    <row r="61" spans="1:9" x14ac:dyDescent="0.25">
      <c r="B61" s="2"/>
    </row>
  </sheetData>
  <pageMargins left="0.7" right="0.7" top="0.75" bottom="0.75" header="0.3" footer="0.3"/>
  <pageSetup paperSize="9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7" workbookViewId="0">
      <selection activeCell="C54" sqref="C54"/>
    </sheetView>
  </sheetViews>
  <sheetFormatPr defaultRowHeight="15" x14ac:dyDescent="0.25"/>
  <cols>
    <col min="1" max="1" width="4.85546875" customWidth="1"/>
    <col min="2" max="2" width="33" customWidth="1"/>
    <col min="3" max="3" width="15.42578125" customWidth="1"/>
    <col min="5" max="5" width="12.85546875" customWidth="1"/>
    <col min="8" max="8" width="12.5703125" customWidth="1"/>
    <col min="9" max="9" width="19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944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945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946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1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1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947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948</v>
      </c>
      <c r="C18" s="11">
        <v>8.9600000000000009</v>
      </c>
      <c r="D18" s="16">
        <v>-21518.78</v>
      </c>
      <c r="E18" s="13">
        <v>250510.8</v>
      </c>
      <c r="F18" s="14">
        <v>246266.02</v>
      </c>
      <c r="G18" s="16">
        <f t="shared" ref="G18:G25" si="0">E18</f>
        <v>250510.8</v>
      </c>
      <c r="H18" s="12">
        <f>D18+F18-G18</f>
        <v>-25763.559999999998</v>
      </c>
      <c r="I18" s="16">
        <f>H18</f>
        <v>-25763.559999999998</v>
      </c>
    </row>
    <row r="19" spans="1:9" x14ac:dyDescent="0.25">
      <c r="A19" s="6" t="s">
        <v>36</v>
      </c>
      <c r="B19" s="17" t="s">
        <v>37</v>
      </c>
      <c r="C19" s="17">
        <v>3.08</v>
      </c>
      <c r="D19" s="18"/>
      <c r="E19" s="162">
        <f>E18*34.4/100</f>
        <v>86175.715199999991</v>
      </c>
      <c r="F19" s="20">
        <f>F18*34.4/100</f>
        <v>84715.510880000002</v>
      </c>
      <c r="G19" s="21">
        <f t="shared" si="0"/>
        <v>86175.715199999991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1.47</v>
      </c>
      <c r="D20" s="27"/>
      <c r="E20" s="28">
        <f>E18*16.4/100</f>
        <v>41083.771199999996</v>
      </c>
      <c r="F20" s="29">
        <f>F18*16.4/100</f>
        <v>40387.627279999993</v>
      </c>
      <c r="G20" s="30">
        <f t="shared" si="0"/>
        <v>41083.771199999996</v>
      </c>
      <c r="H20" s="27"/>
      <c r="I20" s="33"/>
    </row>
    <row r="21" spans="1:9" x14ac:dyDescent="0.25">
      <c r="A21" s="22" t="s">
        <v>40</v>
      </c>
      <c r="B21" s="5" t="s">
        <v>41</v>
      </c>
      <c r="C21" s="5">
        <v>1.81</v>
      </c>
      <c r="D21" s="19"/>
      <c r="E21" s="30">
        <f>E18*20.2/100</f>
        <v>50603.181599999989</v>
      </c>
      <c r="F21" s="44">
        <f>F18*20.2/100</f>
        <v>49745.736039999996</v>
      </c>
      <c r="G21" s="26">
        <f t="shared" si="0"/>
        <v>50603.181599999989</v>
      </c>
      <c r="H21" s="19"/>
      <c r="I21" s="33"/>
    </row>
    <row r="22" spans="1:9" x14ac:dyDescent="0.25">
      <c r="A22" s="31" t="s">
        <v>42</v>
      </c>
      <c r="B22" s="8" t="s">
        <v>43</v>
      </c>
      <c r="C22" s="8">
        <v>2.6</v>
      </c>
      <c r="D22" s="23"/>
      <c r="E22" s="28">
        <f>E18*29%</f>
        <v>72648.131999999998</v>
      </c>
      <c r="F22" s="29">
        <f>F18*29/100</f>
        <v>71417.145799999998</v>
      </c>
      <c r="G22" s="30">
        <f t="shared" si="0"/>
        <v>72648.131999999998</v>
      </c>
      <c r="H22" s="23"/>
      <c r="I22" s="33"/>
    </row>
    <row r="23" spans="1:9" x14ac:dyDescent="0.25">
      <c r="A23" s="66" t="s">
        <v>44</v>
      </c>
      <c r="B23" s="17" t="s">
        <v>45</v>
      </c>
      <c r="C23" s="17">
        <v>1755.25</v>
      </c>
      <c r="D23" s="23">
        <v>-12.17</v>
      </c>
      <c r="E23" s="162">
        <v>548.58000000000004</v>
      </c>
      <c r="F23" s="20">
        <v>539.9</v>
      </c>
      <c r="G23" s="21">
        <f>E23</f>
        <v>548.58000000000004</v>
      </c>
      <c r="H23" s="23">
        <f>D23+F23-G23</f>
        <v>-20.850000000000023</v>
      </c>
      <c r="I23" s="38">
        <f>H23</f>
        <v>-20.850000000000023</v>
      </c>
    </row>
    <row r="24" spans="1:9" x14ac:dyDescent="0.25">
      <c r="A24" s="66" t="s">
        <v>46</v>
      </c>
      <c r="B24" s="17" t="s">
        <v>949</v>
      </c>
      <c r="C24" s="11" t="s">
        <v>48</v>
      </c>
      <c r="D24" s="23">
        <v>-2978.17</v>
      </c>
      <c r="E24" s="9">
        <v>28559.88</v>
      </c>
      <c r="F24" s="7">
        <v>29100.51</v>
      </c>
      <c r="G24" s="8">
        <f>E24</f>
        <v>28559.88</v>
      </c>
      <c r="H24" s="30">
        <f>D24+F24-E24</f>
        <v>-2437.5400000000045</v>
      </c>
      <c r="I24" s="194">
        <f>H24</f>
        <v>-2437.5400000000045</v>
      </c>
    </row>
    <row r="25" spans="1:9" x14ac:dyDescent="0.25">
      <c r="A25" s="11" t="s">
        <v>49</v>
      </c>
      <c r="B25" s="11" t="s">
        <v>50</v>
      </c>
      <c r="C25" s="11">
        <v>4.5999999999999996</v>
      </c>
      <c r="D25" s="38">
        <v>-16107.25</v>
      </c>
      <c r="E25" s="13">
        <v>128610.48</v>
      </c>
      <c r="F25" s="14">
        <v>127360.56</v>
      </c>
      <c r="G25" s="16">
        <f t="shared" si="0"/>
        <v>128610.48</v>
      </c>
      <c r="H25" s="290">
        <f>D25+F25-G25</f>
        <v>-17357.169999999998</v>
      </c>
      <c r="I25" s="38">
        <f>H25</f>
        <v>-17357.169999999998</v>
      </c>
    </row>
    <row r="26" spans="1:9" x14ac:dyDescent="0.25">
      <c r="A26" s="10" t="s">
        <v>51</v>
      </c>
      <c r="B26" s="10" t="s">
        <v>310</v>
      </c>
      <c r="C26" s="11">
        <v>1.82</v>
      </c>
      <c r="D26" s="16">
        <v>-11689.31</v>
      </c>
      <c r="E26" s="11">
        <v>50884.800000000003</v>
      </c>
      <c r="F26" s="11">
        <f>F27+F28</f>
        <v>55784.91</v>
      </c>
      <c r="G26" s="11">
        <f>I60</f>
        <v>56850.03</v>
      </c>
      <c r="H26" s="15">
        <f>D26+F26-G26</f>
        <v>-12754.429999999993</v>
      </c>
      <c r="I26" s="16">
        <f>H26</f>
        <v>-12754.429999999993</v>
      </c>
    </row>
    <row r="27" spans="1:9" x14ac:dyDescent="0.25">
      <c r="A27" s="11"/>
      <c r="B27" s="8" t="s">
        <v>53</v>
      </c>
      <c r="C27" s="67"/>
      <c r="D27" s="16"/>
      <c r="E27" s="11"/>
      <c r="F27" s="11">
        <v>50769.05</v>
      </c>
      <c r="G27" s="14"/>
      <c r="H27" s="15"/>
      <c r="I27" s="16"/>
    </row>
    <row r="28" spans="1:9" x14ac:dyDescent="0.25">
      <c r="A28" s="11"/>
      <c r="B28" s="17" t="s">
        <v>58</v>
      </c>
      <c r="C28" s="67"/>
      <c r="D28" s="16"/>
      <c r="E28" s="11"/>
      <c r="F28" s="11">
        <v>5015.8599999999997</v>
      </c>
      <c r="G28" s="14"/>
      <c r="H28" s="15"/>
      <c r="I28" s="16"/>
    </row>
    <row r="29" spans="1:9" x14ac:dyDescent="0.25">
      <c r="A29" s="11" t="s">
        <v>56</v>
      </c>
      <c r="B29" s="11" t="s">
        <v>895</v>
      </c>
      <c r="C29" s="67">
        <v>0</v>
      </c>
      <c r="D29" s="16">
        <v>4952.47</v>
      </c>
      <c r="E29" s="10">
        <v>0</v>
      </c>
      <c r="F29" s="11">
        <v>5015.8599999999997</v>
      </c>
      <c r="G29" s="15">
        <f>G30</f>
        <v>0</v>
      </c>
      <c r="H29" s="16">
        <v>0</v>
      </c>
      <c r="I29" s="16"/>
    </row>
    <row r="30" spans="1:9" x14ac:dyDescent="0.25">
      <c r="A30" s="8"/>
      <c r="B30" s="8" t="s">
        <v>53</v>
      </c>
      <c r="C30" s="9"/>
      <c r="D30" s="21"/>
      <c r="E30" s="9">
        <v>0</v>
      </c>
      <c r="F30" s="8">
        <v>63.39</v>
      </c>
      <c r="G30" s="29">
        <f>I62</f>
        <v>0</v>
      </c>
      <c r="H30" s="21"/>
      <c r="I30" s="30"/>
    </row>
    <row r="31" spans="1:9" x14ac:dyDescent="0.25">
      <c r="A31" s="7"/>
      <c r="B31" s="8" t="s">
        <v>58</v>
      </c>
      <c r="C31" s="9"/>
      <c r="D31" s="30"/>
      <c r="E31" s="7"/>
      <c r="F31" s="7">
        <v>5015.8599999999997</v>
      </c>
      <c r="G31" s="30"/>
      <c r="H31" s="27"/>
      <c r="I31" s="27"/>
    </row>
    <row r="32" spans="1:9" x14ac:dyDescent="0.25">
      <c r="A32" s="1" t="s">
        <v>59</v>
      </c>
      <c r="B32" s="2"/>
      <c r="C32" s="2"/>
      <c r="D32" s="26"/>
      <c r="E32" s="2"/>
      <c r="F32" s="2"/>
      <c r="G32" s="43"/>
      <c r="H32" s="19"/>
      <c r="I32" s="19"/>
    </row>
    <row r="33" spans="1:9" x14ac:dyDescent="0.25">
      <c r="A33" s="1"/>
      <c r="B33" s="2"/>
      <c r="C33" s="2"/>
      <c r="D33" s="26"/>
      <c r="E33" s="2"/>
      <c r="F33" s="2"/>
      <c r="G33" s="43"/>
      <c r="H33" s="19"/>
      <c r="I33" s="19"/>
    </row>
    <row r="34" spans="1:9" x14ac:dyDescent="0.25">
      <c r="A34" s="53" t="s">
        <v>60</v>
      </c>
      <c r="B34" s="46" t="s">
        <v>61</v>
      </c>
      <c r="C34" s="8" t="s">
        <v>62</v>
      </c>
      <c r="D34" s="8" t="s">
        <v>63</v>
      </c>
      <c r="E34" s="8" t="s">
        <v>476</v>
      </c>
      <c r="F34" s="8" t="s">
        <v>62</v>
      </c>
      <c r="G34" s="8"/>
      <c r="H34" s="7" t="s">
        <v>195</v>
      </c>
      <c r="I34" s="48"/>
    </row>
    <row r="35" spans="1:9" x14ac:dyDescent="0.25">
      <c r="A35" s="55"/>
      <c r="B35" s="49"/>
      <c r="C35" s="17" t="s">
        <v>67</v>
      </c>
      <c r="D35" s="51" t="s">
        <v>23</v>
      </c>
      <c r="E35" s="8" t="s">
        <v>312</v>
      </c>
      <c r="F35" s="8" t="s">
        <v>30</v>
      </c>
      <c r="G35" s="8"/>
      <c r="H35" s="61"/>
      <c r="I35" s="51"/>
    </row>
    <row r="36" spans="1:9" x14ac:dyDescent="0.25">
      <c r="A36" s="50"/>
      <c r="B36" s="50" t="s">
        <v>69</v>
      </c>
      <c r="C36" s="29">
        <v>15620.55</v>
      </c>
      <c r="D36" s="8">
        <v>6000</v>
      </c>
      <c r="E36" s="30">
        <f>D36*15%</f>
        <v>900</v>
      </c>
      <c r="F36" s="30">
        <f>C36+(D36-E36)</f>
        <v>20720.55</v>
      </c>
      <c r="G36" s="30"/>
      <c r="H36" s="162">
        <f>F36-G36</f>
        <v>20720.55</v>
      </c>
      <c r="I36" s="51"/>
    </row>
    <row r="37" spans="1:9" x14ac:dyDescent="0.25">
      <c r="A37" s="4" t="s">
        <v>70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1" t="s">
        <v>71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72</v>
      </c>
      <c r="B39" s="53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3" t="s">
        <v>82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49"/>
      <c r="C41" s="6"/>
      <c r="D41" s="43"/>
      <c r="E41" s="6"/>
      <c r="F41" s="43" t="s">
        <v>88</v>
      </c>
      <c r="G41" s="6" t="s">
        <v>89</v>
      </c>
      <c r="H41" s="43"/>
      <c r="I41" s="6" t="s">
        <v>221</v>
      </c>
    </row>
    <row r="42" spans="1:9" x14ac:dyDescent="0.25">
      <c r="A42" s="8">
        <v>1</v>
      </c>
      <c r="B42" s="8" t="s">
        <v>91</v>
      </c>
      <c r="C42" s="36" t="s">
        <v>92</v>
      </c>
      <c r="D42" s="8">
        <v>-45929.04</v>
      </c>
      <c r="E42" s="196">
        <v>180113.45</v>
      </c>
      <c r="F42" s="7">
        <v>175571.17</v>
      </c>
      <c r="G42" s="8">
        <f>E42</f>
        <v>180113.45</v>
      </c>
      <c r="H42" s="8">
        <f>D42+F42-G42</f>
        <v>-50471.320000000007</v>
      </c>
      <c r="I42" s="47">
        <f>H42</f>
        <v>-50471.320000000007</v>
      </c>
    </row>
    <row r="43" spans="1:9" x14ac:dyDescent="0.25">
      <c r="A43" s="8"/>
      <c r="B43" s="8" t="s">
        <v>93</v>
      </c>
      <c r="C43" s="35" t="s">
        <v>94</v>
      </c>
      <c r="D43" s="8"/>
      <c r="E43" s="59"/>
      <c r="F43" s="7"/>
      <c r="G43" s="17"/>
      <c r="H43" s="17"/>
      <c r="I43" s="47"/>
    </row>
    <row r="44" spans="1:9" x14ac:dyDescent="0.25">
      <c r="A44" s="8">
        <v>2</v>
      </c>
      <c r="B44" s="8" t="s">
        <v>95</v>
      </c>
      <c r="C44" s="35" t="s">
        <v>96</v>
      </c>
      <c r="D44" s="8">
        <v>-121834.98</v>
      </c>
      <c r="E44" s="59">
        <v>277688.98</v>
      </c>
      <c r="F44" s="7">
        <v>275488.81</v>
      </c>
      <c r="G44" s="17">
        <f>E44</f>
        <v>277688.98</v>
      </c>
      <c r="H44" s="17">
        <f>D44+F44-G44</f>
        <v>-124035.14999999997</v>
      </c>
      <c r="I44" s="8">
        <f>H44</f>
        <v>-124035.14999999997</v>
      </c>
    </row>
    <row r="45" spans="1:9" x14ac:dyDescent="0.25">
      <c r="A45" s="8" t="s">
        <v>72</v>
      </c>
      <c r="B45" s="8" t="s">
        <v>97</v>
      </c>
      <c r="C45" s="35"/>
      <c r="D45" s="8"/>
      <c r="E45" s="60"/>
      <c r="F45" s="50"/>
      <c r="G45" s="17"/>
      <c r="H45" s="17"/>
      <c r="I45" s="56"/>
    </row>
    <row r="46" spans="1:9" x14ac:dyDescent="0.25">
      <c r="A46" s="8"/>
      <c r="B46" s="8" t="s">
        <v>313</v>
      </c>
      <c r="C46" s="35" t="s">
        <v>94</v>
      </c>
      <c r="D46" s="8"/>
      <c r="E46" s="60"/>
      <c r="F46" s="50"/>
      <c r="G46" s="17"/>
      <c r="H46" s="17"/>
      <c r="I46" s="8"/>
    </row>
    <row r="47" spans="1:9" x14ac:dyDescent="0.25">
      <c r="A47" s="8">
        <v>3</v>
      </c>
      <c r="B47" s="8" t="s">
        <v>99</v>
      </c>
      <c r="C47" s="35" t="s">
        <v>100</v>
      </c>
      <c r="D47" s="8">
        <v>-213458.77</v>
      </c>
      <c r="E47" s="9">
        <v>842219.02</v>
      </c>
      <c r="F47" s="7">
        <v>829153.52</v>
      </c>
      <c r="G47" s="17">
        <f>E47</f>
        <v>842219.02</v>
      </c>
      <c r="H47" s="17">
        <f>D47+F47-G47</f>
        <v>-226524.27000000002</v>
      </c>
      <c r="I47" s="48">
        <f>H47</f>
        <v>-226524.27000000002</v>
      </c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47" t="s">
        <v>106</v>
      </c>
      <c r="I50" s="5" t="s">
        <v>107</v>
      </c>
    </row>
    <row r="51" spans="1:9" x14ac:dyDescent="0.25">
      <c r="A51" s="49" t="s">
        <v>108</v>
      </c>
      <c r="B51" s="6" t="s">
        <v>72</v>
      </c>
      <c r="C51" s="49"/>
      <c r="D51" s="43"/>
      <c r="E51" s="43"/>
      <c r="F51" s="43"/>
      <c r="G51" s="6"/>
      <c r="H51" s="56"/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6"/>
      <c r="H52" s="56"/>
      <c r="I52" s="6"/>
    </row>
    <row r="53" spans="1:9" x14ac:dyDescent="0.25">
      <c r="A53" s="62" t="s">
        <v>72</v>
      </c>
      <c r="B53" s="63"/>
      <c r="C53" s="53" t="s">
        <v>110</v>
      </c>
      <c r="D53" s="159"/>
      <c r="E53" s="159"/>
      <c r="F53" s="47"/>
      <c r="G53" s="5"/>
      <c r="H53" s="47"/>
      <c r="I53" s="5"/>
    </row>
    <row r="54" spans="1:9" x14ac:dyDescent="0.25">
      <c r="A54" s="64"/>
      <c r="B54" s="6"/>
      <c r="C54" s="49" t="s">
        <v>72</v>
      </c>
      <c r="D54" s="43"/>
      <c r="E54" s="43"/>
      <c r="F54" s="56"/>
      <c r="G54" s="26"/>
      <c r="H54" s="56"/>
      <c r="I54" s="6" t="s">
        <v>72</v>
      </c>
    </row>
    <row r="55" spans="1:9" x14ac:dyDescent="0.25">
      <c r="A55" s="64" t="s">
        <v>111</v>
      </c>
      <c r="B55" s="65">
        <v>43186</v>
      </c>
      <c r="C55" s="49" t="s">
        <v>237</v>
      </c>
      <c r="D55" s="43"/>
      <c r="E55" s="43"/>
      <c r="F55" s="56"/>
      <c r="G55" s="26" t="s">
        <v>113</v>
      </c>
      <c r="H55" s="56">
        <v>74</v>
      </c>
      <c r="I55" s="6">
        <v>14800</v>
      </c>
    </row>
    <row r="56" spans="1:9" x14ac:dyDescent="0.25">
      <c r="A56" s="64" t="s">
        <v>114</v>
      </c>
      <c r="B56" s="65">
        <v>43328</v>
      </c>
      <c r="C56" s="49" t="s">
        <v>950</v>
      </c>
      <c r="D56" s="43"/>
      <c r="E56" s="43"/>
      <c r="F56" s="56"/>
      <c r="G56" s="26" t="s">
        <v>172</v>
      </c>
      <c r="H56" s="56">
        <v>1</v>
      </c>
      <c r="I56" s="6">
        <v>1155.03</v>
      </c>
    </row>
    <row r="57" spans="1:9" x14ac:dyDescent="0.25">
      <c r="A57" s="64" t="s">
        <v>170</v>
      </c>
      <c r="B57" s="65">
        <v>43340</v>
      </c>
      <c r="C57" s="49" t="s">
        <v>951</v>
      </c>
      <c r="D57" s="43"/>
      <c r="E57" s="43"/>
      <c r="F57" s="56"/>
      <c r="G57" s="26" t="s">
        <v>116</v>
      </c>
      <c r="H57" s="56">
        <v>12</v>
      </c>
      <c r="I57" s="6">
        <v>16495</v>
      </c>
    </row>
    <row r="58" spans="1:9" x14ac:dyDescent="0.25">
      <c r="A58" s="64" t="s">
        <v>173</v>
      </c>
      <c r="B58" s="65">
        <v>43404</v>
      </c>
      <c r="C58" s="49" t="s">
        <v>237</v>
      </c>
      <c r="D58" s="43"/>
      <c r="E58" s="43"/>
      <c r="F58" s="56"/>
      <c r="G58" s="26" t="s">
        <v>116</v>
      </c>
      <c r="H58" s="56">
        <v>74</v>
      </c>
      <c r="I58" s="6">
        <v>14800</v>
      </c>
    </row>
    <row r="59" spans="1:9" x14ac:dyDescent="0.25">
      <c r="A59" s="64" t="s">
        <v>257</v>
      </c>
      <c r="B59" s="65">
        <v>43460</v>
      </c>
      <c r="C59" s="49" t="s">
        <v>952</v>
      </c>
      <c r="D59" s="43"/>
      <c r="E59" s="43"/>
      <c r="F59" s="56"/>
      <c r="G59" s="26" t="s">
        <v>205</v>
      </c>
      <c r="H59" s="56">
        <v>1</v>
      </c>
      <c r="I59" s="6">
        <v>9600</v>
      </c>
    </row>
    <row r="60" spans="1:9" x14ac:dyDescent="0.25">
      <c r="A60" s="66"/>
      <c r="B60" s="17"/>
      <c r="C60" s="14" t="s">
        <v>117</v>
      </c>
      <c r="D60" s="13"/>
      <c r="E60" s="13"/>
      <c r="F60" s="67"/>
      <c r="G60" s="16"/>
      <c r="H60" s="67"/>
      <c r="I60" s="11">
        <f>SUM(I55:I59)</f>
        <v>56850.03</v>
      </c>
    </row>
    <row r="61" spans="1:9" x14ac:dyDescent="0.25">
      <c r="A61" s="43"/>
      <c r="B61" s="43"/>
      <c r="C61" s="43"/>
      <c r="D61" s="43"/>
      <c r="E61" s="43"/>
      <c r="F61" s="43"/>
      <c r="G61" s="165"/>
      <c r="H61" s="4"/>
      <c r="I61" s="4"/>
    </row>
    <row r="62" spans="1:9" x14ac:dyDescent="0.25">
      <c r="A62" s="68"/>
      <c r="B62" s="43"/>
      <c r="C62" s="4"/>
      <c r="D62" s="4"/>
      <c r="E62" s="4"/>
      <c r="F62" s="4"/>
      <c r="G62" s="165"/>
      <c r="H62" s="4"/>
      <c r="I62" s="4"/>
    </row>
    <row r="63" spans="1:9" x14ac:dyDescent="0.25">
      <c r="A63" s="2" t="s">
        <v>794</v>
      </c>
      <c r="B63" s="2"/>
      <c r="C63" s="2" t="s">
        <v>835</v>
      </c>
      <c r="D63" s="2"/>
      <c r="E63" s="2" t="s">
        <v>953</v>
      </c>
      <c r="H63" s="2" t="s">
        <v>121</v>
      </c>
      <c r="I63" s="2" t="s">
        <v>291</v>
      </c>
    </row>
    <row r="64" spans="1:9" x14ac:dyDescent="0.25">
      <c r="A64" s="2"/>
      <c r="B64" s="2"/>
    </row>
  </sheetData>
  <pageMargins left="0.7" right="0.7" top="0.75" bottom="0.75" header="0.3" footer="0.3"/>
  <pageSetup paperSize="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28" workbookViewId="0">
      <selection activeCell="B63" sqref="B63:B64"/>
    </sheetView>
  </sheetViews>
  <sheetFormatPr defaultRowHeight="15" x14ac:dyDescent="0.25"/>
  <cols>
    <col min="1" max="1" width="4" customWidth="1"/>
    <col min="2" max="2" width="36.140625" customWidth="1"/>
    <col min="3" max="3" width="14" customWidth="1"/>
    <col min="5" max="5" width="11.85546875" customWidth="1"/>
    <col min="6" max="6" width="15" customWidth="1"/>
    <col min="8" max="8" width="11.5703125" customWidth="1"/>
    <col min="9" max="9" width="18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954</v>
      </c>
      <c r="B5" s="2"/>
      <c r="C5" s="2"/>
      <c r="D5" s="2"/>
      <c r="E5" s="1"/>
      <c r="F5" s="1"/>
      <c r="G5" s="2"/>
      <c r="H5" s="2"/>
      <c r="I5" s="2"/>
    </row>
    <row r="6" spans="1:9" x14ac:dyDescent="0.25">
      <c r="A6" s="2" t="s">
        <v>955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956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957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958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132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134</v>
      </c>
    </row>
    <row r="15" spans="1:9" x14ac:dyDescent="0.25">
      <c r="A15" s="6"/>
      <c r="B15" s="6"/>
      <c r="C15" s="6" t="s">
        <v>959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54">
        <v>7</v>
      </c>
      <c r="H16" s="8">
        <v>8</v>
      </c>
      <c r="I16" s="5">
        <v>9</v>
      </c>
    </row>
    <row r="17" spans="1:9" x14ac:dyDescent="0.25">
      <c r="A17" s="13">
        <v>1</v>
      </c>
      <c r="B17" s="11" t="s">
        <v>580</v>
      </c>
      <c r="C17" s="16">
        <v>8.9600000000000009</v>
      </c>
      <c r="D17" s="38">
        <v>-24701.46</v>
      </c>
      <c r="E17" s="13">
        <v>836097.6</v>
      </c>
      <c r="F17" s="14">
        <v>800303.94</v>
      </c>
      <c r="G17" s="38">
        <f>E17</f>
        <v>836097.6</v>
      </c>
      <c r="H17" s="12">
        <f>D17+F17-G17</f>
        <v>-60495.119999999995</v>
      </c>
      <c r="I17" s="38">
        <f>H17</f>
        <v>-60495.119999999995</v>
      </c>
    </row>
    <row r="18" spans="1:9" x14ac:dyDescent="0.25">
      <c r="A18" s="66" t="s">
        <v>138</v>
      </c>
      <c r="B18" s="17" t="s">
        <v>37</v>
      </c>
      <c r="C18" s="21">
        <v>3.08</v>
      </c>
      <c r="D18" s="18"/>
      <c r="E18" s="162">
        <f>E17*34.4/100</f>
        <v>287617.57439999998</v>
      </c>
      <c r="F18" s="20">
        <f>F17*34.4/100</f>
        <v>275304.55536</v>
      </c>
      <c r="G18" s="21">
        <f t="shared" ref="G18:G25" si="0">E18</f>
        <v>287617.57439999998</v>
      </c>
      <c r="H18" s="18"/>
      <c r="I18" s="21"/>
    </row>
    <row r="19" spans="1:9" x14ac:dyDescent="0.25">
      <c r="A19" s="22" t="s">
        <v>38</v>
      </c>
      <c r="B19" s="5" t="s">
        <v>39</v>
      </c>
      <c r="C19" s="33">
        <v>1.47</v>
      </c>
      <c r="D19" s="23"/>
      <c r="E19" s="24">
        <f>E17*16.4/100</f>
        <v>137120.00639999998</v>
      </c>
      <c r="F19" s="25">
        <f>F17*16.4/100</f>
        <v>131249.84615999999</v>
      </c>
      <c r="G19" s="26">
        <f t="shared" si="0"/>
        <v>137120.00639999998</v>
      </c>
      <c r="H19" s="23"/>
      <c r="I19" s="33"/>
    </row>
    <row r="20" spans="1:9" x14ac:dyDescent="0.25">
      <c r="A20" s="22" t="s">
        <v>40</v>
      </c>
      <c r="B20" s="5" t="s">
        <v>41</v>
      </c>
      <c r="C20" s="33">
        <v>1.81</v>
      </c>
      <c r="D20" s="30"/>
      <c r="E20" s="24">
        <f>E17*20.2/100</f>
        <v>168891.71520000001</v>
      </c>
      <c r="F20" s="25">
        <f>F17*20.2/100</f>
        <v>161661.39587999997</v>
      </c>
      <c r="G20" s="30">
        <f t="shared" si="0"/>
        <v>168891.71520000001</v>
      </c>
      <c r="H20" s="30"/>
      <c r="I20" s="33"/>
    </row>
    <row r="21" spans="1:9" x14ac:dyDescent="0.25">
      <c r="A21" s="22" t="s">
        <v>42</v>
      </c>
      <c r="B21" s="5" t="s">
        <v>43</v>
      </c>
      <c r="C21" s="33">
        <v>2.6</v>
      </c>
      <c r="D21" s="23"/>
      <c r="E21" s="24">
        <f>E17*29/100</f>
        <v>242468.30399999997</v>
      </c>
      <c r="F21" s="25">
        <f>F17*29/100</f>
        <v>232088.14259999999</v>
      </c>
      <c r="G21" s="26">
        <f t="shared" si="0"/>
        <v>242468.30399999997</v>
      </c>
      <c r="H21" s="23"/>
      <c r="I21" s="33"/>
    </row>
    <row r="22" spans="1:9" x14ac:dyDescent="0.25">
      <c r="A22" s="22" t="s">
        <v>44</v>
      </c>
      <c r="B22" s="5" t="s">
        <v>47</v>
      </c>
      <c r="C22" s="160" t="s">
        <v>48</v>
      </c>
      <c r="D22" s="23">
        <v>-23995.64</v>
      </c>
      <c r="E22" s="54">
        <v>187378.32</v>
      </c>
      <c r="F22" s="46">
        <v>180738.57</v>
      </c>
      <c r="G22" s="8">
        <f>E22</f>
        <v>187378.32</v>
      </c>
      <c r="H22" s="33">
        <f>D22+F22-E22</f>
        <v>-30635.390000000014</v>
      </c>
      <c r="I22" s="195">
        <f>H22</f>
        <v>-30635.390000000014</v>
      </c>
    </row>
    <row r="23" spans="1:9" x14ac:dyDescent="0.25">
      <c r="A23" s="267" t="s">
        <v>49</v>
      </c>
      <c r="B23" s="10" t="s">
        <v>140</v>
      </c>
      <c r="C23" s="38">
        <v>3.43</v>
      </c>
      <c r="D23" s="34">
        <v>-66524.89</v>
      </c>
      <c r="E23" s="38">
        <v>318615.7</v>
      </c>
      <c r="F23" s="37">
        <v>304687.03000000003</v>
      </c>
      <c r="G23" s="38">
        <f>E23</f>
        <v>318615.7</v>
      </c>
      <c r="H23" s="34">
        <f>D23+F23-G23</f>
        <v>-80453.56</v>
      </c>
      <c r="I23" s="38">
        <f>H23</f>
        <v>-80453.56</v>
      </c>
    </row>
    <row r="24" spans="1:9" x14ac:dyDescent="0.25">
      <c r="A24" s="10" t="s">
        <v>51</v>
      </c>
      <c r="B24" s="11" t="s">
        <v>50</v>
      </c>
      <c r="C24" s="38">
        <v>4.5999999999999996</v>
      </c>
      <c r="D24" s="290">
        <v>-51790.64</v>
      </c>
      <c r="E24" s="35">
        <v>429246.24</v>
      </c>
      <c r="F24" s="36">
        <v>413870.76</v>
      </c>
      <c r="G24" s="38">
        <f>E24</f>
        <v>429246.24</v>
      </c>
      <c r="H24" s="290">
        <f>D24+F24-G24</f>
        <v>-67166.12</v>
      </c>
      <c r="I24" s="38">
        <f>H24</f>
        <v>-67166.12</v>
      </c>
    </row>
    <row r="25" spans="1:9" x14ac:dyDescent="0.25">
      <c r="A25" s="267" t="s">
        <v>56</v>
      </c>
      <c r="B25" s="11" t="s">
        <v>191</v>
      </c>
      <c r="C25" s="38">
        <v>1</v>
      </c>
      <c r="D25" s="34">
        <v>-3488.11</v>
      </c>
      <c r="E25" s="193">
        <v>0</v>
      </c>
      <c r="F25" s="37">
        <v>0.02</v>
      </c>
      <c r="G25" s="38">
        <f t="shared" si="0"/>
        <v>0</v>
      </c>
      <c r="H25" s="34">
        <f>D25+F25-G25</f>
        <v>-3488.09</v>
      </c>
      <c r="I25" s="38">
        <f>H25</f>
        <v>-3488.09</v>
      </c>
    </row>
    <row r="26" spans="1:9" x14ac:dyDescent="0.25">
      <c r="A26" s="11" t="s">
        <v>60</v>
      </c>
      <c r="B26" s="11" t="s">
        <v>192</v>
      </c>
      <c r="C26" s="16">
        <v>1.82</v>
      </c>
      <c r="D26" s="15">
        <v>38476.33</v>
      </c>
      <c r="E26" s="11">
        <v>169832.4</v>
      </c>
      <c r="F26" s="11">
        <f>F27+F29+F28</f>
        <v>96537.069999999992</v>
      </c>
      <c r="G26" s="11">
        <f>I61</f>
        <v>66727</v>
      </c>
      <c r="H26" s="15">
        <f>D26+F26-G26</f>
        <v>68286.399999999994</v>
      </c>
      <c r="I26" s="16"/>
    </row>
    <row r="27" spans="1:9" x14ac:dyDescent="0.25">
      <c r="A27" s="11"/>
      <c r="B27" s="8" t="s">
        <v>53</v>
      </c>
      <c r="C27" s="13"/>
      <c r="D27" s="15"/>
      <c r="E27" s="10"/>
      <c r="F27" s="67">
        <v>164432.06</v>
      </c>
      <c r="G27" s="14"/>
      <c r="H27" s="15"/>
      <c r="I27" s="16"/>
    </row>
    <row r="28" spans="1:9" x14ac:dyDescent="0.25">
      <c r="A28" s="11"/>
      <c r="B28" s="8" t="s">
        <v>54</v>
      </c>
      <c r="C28" s="13"/>
      <c r="D28" s="15"/>
      <c r="E28" s="11"/>
      <c r="F28" s="67">
        <v>62.61</v>
      </c>
      <c r="G28" s="14"/>
      <c r="H28" s="15"/>
      <c r="I28" s="16"/>
    </row>
    <row r="29" spans="1:9" x14ac:dyDescent="0.25">
      <c r="A29" s="11"/>
      <c r="B29" s="8" t="s">
        <v>58</v>
      </c>
      <c r="C29" s="13"/>
      <c r="D29" s="15"/>
      <c r="E29" s="11"/>
      <c r="F29" s="67">
        <v>-67957.600000000006</v>
      </c>
      <c r="G29" s="14"/>
      <c r="H29" s="15"/>
      <c r="I29" s="16"/>
    </row>
    <row r="30" spans="1:9" x14ac:dyDescent="0.25">
      <c r="A30" s="11" t="s">
        <v>355</v>
      </c>
      <c r="B30" s="11" t="s">
        <v>864</v>
      </c>
      <c r="C30" s="13">
        <v>0</v>
      </c>
      <c r="D30" s="15">
        <v>-67957.600000000006</v>
      </c>
      <c r="E30" s="10">
        <v>0</v>
      </c>
      <c r="F30" s="42">
        <v>-67957.600000000006</v>
      </c>
      <c r="G30" s="36">
        <v>0</v>
      </c>
      <c r="H30" s="16">
        <v>0</v>
      </c>
      <c r="I30" s="38"/>
    </row>
    <row r="31" spans="1:9" x14ac:dyDescent="0.25">
      <c r="A31" s="8"/>
      <c r="B31" s="8" t="s">
        <v>53</v>
      </c>
      <c r="C31" s="9">
        <v>0</v>
      </c>
      <c r="D31" s="29"/>
      <c r="E31" s="8"/>
      <c r="F31" s="48"/>
      <c r="G31" s="7"/>
      <c r="H31" s="30"/>
      <c r="I31" s="27"/>
    </row>
    <row r="32" spans="1:9" x14ac:dyDescent="0.25">
      <c r="A32" s="7"/>
      <c r="B32" s="8" t="s">
        <v>58</v>
      </c>
      <c r="C32" s="9"/>
      <c r="D32" s="29"/>
      <c r="E32" s="8"/>
      <c r="F32" s="8">
        <v>-67957.600000000006</v>
      </c>
      <c r="G32" s="48"/>
      <c r="H32" s="27"/>
      <c r="I32" s="27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53" t="s">
        <v>60</v>
      </c>
      <c r="B35" s="46" t="s">
        <v>61</v>
      </c>
      <c r="C35" s="8" t="s">
        <v>65</v>
      </c>
      <c r="D35" s="8" t="s">
        <v>63</v>
      </c>
      <c r="E35" s="8" t="s">
        <v>476</v>
      </c>
      <c r="F35" s="8" t="s">
        <v>62</v>
      </c>
      <c r="G35" s="8"/>
      <c r="H35" s="7" t="s">
        <v>195</v>
      </c>
      <c r="I35" s="48"/>
    </row>
    <row r="36" spans="1:9" x14ac:dyDescent="0.25">
      <c r="A36" s="55"/>
      <c r="B36" s="49"/>
      <c r="C36" s="17" t="s">
        <v>67</v>
      </c>
      <c r="D36" s="51" t="s">
        <v>23</v>
      </c>
      <c r="E36" s="8" t="s">
        <v>312</v>
      </c>
      <c r="F36" s="8" t="s">
        <v>30</v>
      </c>
      <c r="G36" s="8"/>
      <c r="H36" s="61"/>
      <c r="I36" s="51"/>
    </row>
    <row r="37" spans="1:9" x14ac:dyDescent="0.25">
      <c r="A37" s="50"/>
      <c r="B37" s="50" t="s">
        <v>69</v>
      </c>
      <c r="C37" s="29">
        <v>24737.55</v>
      </c>
      <c r="D37" s="8">
        <v>9600</v>
      </c>
      <c r="E37" s="30">
        <f>D37*15%</f>
        <v>1440</v>
      </c>
      <c r="F37" s="30">
        <f>C37+(D37-E37)</f>
        <v>32897.550000000003</v>
      </c>
      <c r="G37" s="30"/>
      <c r="H37" s="162">
        <f>F37-G37</f>
        <v>32897.550000000003</v>
      </c>
      <c r="I37" s="51"/>
    </row>
    <row r="38" spans="1:9" x14ac:dyDescent="0.25">
      <c r="A38" s="43"/>
      <c r="B38" s="43"/>
      <c r="C38" s="19"/>
      <c r="D38" s="43"/>
      <c r="E38" s="19"/>
      <c r="F38" s="19"/>
      <c r="G38" s="19"/>
      <c r="H38" s="19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46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49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/>
      <c r="I43" s="6" t="s">
        <v>221</v>
      </c>
    </row>
    <row r="44" spans="1:9" x14ac:dyDescent="0.25">
      <c r="A44" s="5"/>
      <c r="B44" s="5"/>
      <c r="C44" s="159"/>
      <c r="D44" s="5"/>
      <c r="E44" s="54"/>
      <c r="F44" s="46"/>
      <c r="G44" s="5"/>
      <c r="H44" s="5"/>
      <c r="I44" s="47"/>
    </row>
    <row r="45" spans="1:9" x14ac:dyDescent="0.25">
      <c r="A45" s="8">
        <v>1</v>
      </c>
      <c r="B45" s="8" t="s">
        <v>91</v>
      </c>
      <c r="C45" s="36" t="s">
        <v>92</v>
      </c>
      <c r="D45" s="5">
        <v>-196661.51</v>
      </c>
      <c r="E45" s="196">
        <v>674890.77</v>
      </c>
      <c r="F45" s="7">
        <v>642939.25</v>
      </c>
      <c r="G45" s="8">
        <f>E45</f>
        <v>674890.77</v>
      </c>
      <c r="H45" s="8">
        <f>D45+F45-G45</f>
        <v>-228613.03000000003</v>
      </c>
      <c r="I45" s="47">
        <f>H45</f>
        <v>-228613.03000000003</v>
      </c>
    </row>
    <row r="46" spans="1:9" x14ac:dyDescent="0.25">
      <c r="A46" s="8"/>
      <c r="B46" s="8" t="s">
        <v>93</v>
      </c>
      <c r="C46" s="35" t="s">
        <v>94</v>
      </c>
      <c r="D46" s="5"/>
      <c r="E46" s="59"/>
      <c r="F46" s="7"/>
      <c r="G46" s="17"/>
      <c r="H46" s="17"/>
      <c r="I46" s="47"/>
    </row>
    <row r="47" spans="1:9" x14ac:dyDescent="0.25">
      <c r="A47" s="8">
        <v>2</v>
      </c>
      <c r="B47" s="8" t="s">
        <v>160</v>
      </c>
      <c r="C47" s="35" t="s">
        <v>96</v>
      </c>
      <c r="D47" s="5">
        <v>-540922.99</v>
      </c>
      <c r="E47" s="59">
        <v>1069681.1299999999</v>
      </c>
      <c r="F47" s="7">
        <v>1026552.51</v>
      </c>
      <c r="G47" s="17">
        <f>E47</f>
        <v>1069681.1299999999</v>
      </c>
      <c r="H47" s="17">
        <f>D47+F47-G47</f>
        <v>-584051.60999999987</v>
      </c>
      <c r="I47" s="8">
        <f>H47</f>
        <v>-584051.60999999987</v>
      </c>
    </row>
    <row r="48" spans="1:9" x14ac:dyDescent="0.25">
      <c r="A48" s="8"/>
      <c r="B48" s="8" t="s">
        <v>313</v>
      </c>
      <c r="C48" s="35" t="s">
        <v>94</v>
      </c>
      <c r="D48" s="5"/>
      <c r="E48" s="59"/>
      <c r="F48" s="7"/>
      <c r="G48" s="17"/>
      <c r="H48" s="17"/>
      <c r="I48" s="48"/>
    </row>
    <row r="49" spans="1:9" x14ac:dyDescent="0.25">
      <c r="A49" s="8">
        <v>3</v>
      </c>
      <c r="B49" s="8" t="s">
        <v>99</v>
      </c>
      <c r="C49" s="35" t="s">
        <v>100</v>
      </c>
      <c r="D49" s="8">
        <v>-954967.62</v>
      </c>
      <c r="E49" s="9">
        <v>2810963.63</v>
      </c>
      <c r="F49" s="7">
        <v>2697900.98</v>
      </c>
      <c r="G49" s="17">
        <f>E49</f>
        <v>2810963.63</v>
      </c>
      <c r="H49" s="17">
        <f>D49+F49-G49</f>
        <v>-1068030.27</v>
      </c>
      <c r="I49" s="48">
        <f>H49</f>
        <v>-1068030.27</v>
      </c>
    </row>
    <row r="50" spans="1:9" x14ac:dyDescent="0.25">
      <c r="A50" s="1" t="s">
        <v>101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" t="s">
        <v>102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6" t="s">
        <v>12</v>
      </c>
      <c r="B52" s="5" t="s">
        <v>103</v>
      </c>
      <c r="C52" s="46" t="s">
        <v>104</v>
      </c>
      <c r="D52" s="54"/>
      <c r="E52" s="54"/>
      <c r="F52" s="47"/>
      <c r="G52" s="5" t="s">
        <v>199</v>
      </c>
      <c r="H52" s="47" t="s">
        <v>165</v>
      </c>
      <c r="I52" s="5" t="s">
        <v>107</v>
      </c>
    </row>
    <row r="53" spans="1:9" x14ac:dyDescent="0.25">
      <c r="A53" s="49" t="s">
        <v>108</v>
      </c>
      <c r="B53" s="6"/>
      <c r="C53" s="49"/>
      <c r="D53" s="43"/>
      <c r="E53" s="43"/>
      <c r="F53" s="56"/>
      <c r="G53" s="6" t="s">
        <v>201</v>
      </c>
      <c r="H53" s="56" t="s">
        <v>85</v>
      </c>
      <c r="I53" s="6" t="s">
        <v>109</v>
      </c>
    </row>
    <row r="54" spans="1:9" x14ac:dyDescent="0.25">
      <c r="A54" s="49"/>
      <c r="B54" s="17"/>
      <c r="C54" s="50"/>
      <c r="D54" s="61"/>
      <c r="E54" s="61"/>
      <c r="F54" s="51"/>
      <c r="G54" s="21"/>
      <c r="H54" s="51"/>
      <c r="I54" s="6"/>
    </row>
    <row r="55" spans="1:9" x14ac:dyDescent="0.25">
      <c r="A55" s="62"/>
      <c r="B55" s="63"/>
      <c r="C55" s="53" t="s">
        <v>597</v>
      </c>
      <c r="D55" s="159"/>
      <c r="E55" s="159"/>
      <c r="F55" s="47"/>
      <c r="G55" s="33"/>
      <c r="H55" s="54"/>
      <c r="I55" s="5"/>
    </row>
    <row r="56" spans="1:9" x14ac:dyDescent="0.25">
      <c r="A56" s="64" t="s">
        <v>111</v>
      </c>
      <c r="B56" s="65">
        <v>43182</v>
      </c>
      <c r="C56" s="49" t="s">
        <v>960</v>
      </c>
      <c r="D56" s="43"/>
      <c r="E56" s="43"/>
      <c r="F56" s="56"/>
      <c r="G56" s="26" t="s">
        <v>205</v>
      </c>
      <c r="H56" s="43">
        <v>2</v>
      </c>
      <c r="I56" s="26">
        <v>15901</v>
      </c>
    </row>
    <row r="57" spans="1:9" x14ac:dyDescent="0.25">
      <c r="A57" s="64" t="s">
        <v>114</v>
      </c>
      <c r="B57" s="65">
        <v>43186</v>
      </c>
      <c r="C57" s="49" t="s">
        <v>112</v>
      </c>
      <c r="D57" s="43"/>
      <c r="E57" s="43"/>
      <c r="F57" s="56"/>
      <c r="G57" s="26" t="s">
        <v>113</v>
      </c>
      <c r="H57" s="43">
        <v>68</v>
      </c>
      <c r="I57" s="6">
        <v>13600</v>
      </c>
    </row>
    <row r="58" spans="1:9" x14ac:dyDescent="0.25">
      <c r="A58" s="64" t="s">
        <v>170</v>
      </c>
      <c r="B58" s="65">
        <v>43404</v>
      </c>
      <c r="C58" s="49" t="s">
        <v>112</v>
      </c>
      <c r="D58" s="43"/>
      <c r="E58" s="43"/>
      <c r="F58" s="56"/>
      <c r="G58" s="26" t="s">
        <v>116</v>
      </c>
      <c r="H58" s="43">
        <v>68</v>
      </c>
      <c r="I58" s="6">
        <v>13600</v>
      </c>
    </row>
    <row r="59" spans="1:9" x14ac:dyDescent="0.25">
      <c r="A59" s="64" t="s">
        <v>173</v>
      </c>
      <c r="B59" s="65">
        <v>43454</v>
      </c>
      <c r="C59" s="49" t="s">
        <v>961</v>
      </c>
      <c r="D59" s="43"/>
      <c r="E59" s="43"/>
      <c r="F59" s="56"/>
      <c r="G59" s="26" t="s">
        <v>176</v>
      </c>
      <c r="H59" s="43">
        <v>1</v>
      </c>
      <c r="I59" s="6">
        <v>7126</v>
      </c>
    </row>
    <row r="60" spans="1:9" x14ac:dyDescent="0.25">
      <c r="A60" s="64" t="s">
        <v>257</v>
      </c>
      <c r="B60" s="65">
        <v>43448</v>
      </c>
      <c r="C60" s="49" t="s">
        <v>962</v>
      </c>
      <c r="D60" s="43"/>
      <c r="E60" s="43"/>
      <c r="F60" s="56"/>
      <c r="G60" s="26" t="s">
        <v>421</v>
      </c>
      <c r="H60" s="43">
        <v>16.5</v>
      </c>
      <c r="I60" s="6">
        <v>16500</v>
      </c>
    </row>
    <row r="61" spans="1:9" x14ac:dyDescent="0.25">
      <c r="A61" s="66"/>
      <c r="B61" s="17"/>
      <c r="C61" s="14" t="s">
        <v>117</v>
      </c>
      <c r="D61" s="13"/>
      <c r="E61" s="13"/>
      <c r="F61" s="67"/>
      <c r="G61" s="16">
        <f>SUM(G56:G60)</f>
        <v>0</v>
      </c>
      <c r="H61" s="13"/>
      <c r="I61" s="16">
        <f>SUM(I55:I60)</f>
        <v>66727</v>
      </c>
    </row>
    <row r="62" spans="1:9" x14ac:dyDescent="0.25">
      <c r="A62" s="43"/>
      <c r="B62" s="4"/>
      <c r="C62" s="4"/>
      <c r="D62" s="43"/>
      <c r="E62" s="43"/>
      <c r="F62" s="43"/>
      <c r="G62" s="19"/>
      <c r="H62" s="43"/>
      <c r="I62" s="43"/>
    </row>
    <row r="63" spans="1:9" x14ac:dyDescent="0.25">
      <c r="A63" s="68"/>
      <c r="B63" s="43"/>
      <c r="C63" s="4"/>
      <c r="D63" s="43"/>
      <c r="E63" s="43"/>
      <c r="F63" s="43"/>
      <c r="G63" s="165"/>
      <c r="H63" s="43"/>
      <c r="I63" s="4"/>
    </row>
    <row r="64" spans="1:9" x14ac:dyDescent="0.25">
      <c r="A64" s="2" t="s">
        <v>118</v>
      </c>
      <c r="B64" s="2"/>
      <c r="C64" s="2"/>
      <c r="D64" s="2" t="s">
        <v>119</v>
      </c>
      <c r="F64" s="2" t="s">
        <v>120</v>
      </c>
      <c r="H64" s="2" t="s">
        <v>121</v>
      </c>
      <c r="I64" s="2" t="s">
        <v>122</v>
      </c>
    </row>
    <row r="65" spans="1:2" x14ac:dyDescent="0.25">
      <c r="A65" s="2"/>
      <c r="B65" s="2"/>
    </row>
  </sheetData>
  <pageMargins left="0.7" right="0.7" top="0.75" bottom="0.75" header="0.3" footer="0.3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4" workbookViewId="0">
      <selection activeCell="C56" sqref="C56"/>
    </sheetView>
  </sheetViews>
  <sheetFormatPr defaultRowHeight="15" x14ac:dyDescent="0.25"/>
  <cols>
    <col min="1" max="1" width="5.28515625" customWidth="1"/>
    <col min="2" max="2" width="35.140625" customWidth="1"/>
    <col min="3" max="3" width="12.7109375" customWidth="1"/>
    <col min="5" max="5" width="13.42578125" customWidth="1"/>
    <col min="6" max="6" width="14.85546875" customWidth="1"/>
    <col min="7" max="7" width="10.28515625" customWidth="1"/>
    <col min="8" max="8" width="11.28515625" customWidth="1"/>
    <col min="9" max="9" width="19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963</v>
      </c>
      <c r="B5" s="2"/>
      <c r="C5" s="2"/>
      <c r="D5" s="2"/>
      <c r="E5" s="1"/>
      <c r="F5" s="1"/>
      <c r="G5" s="2"/>
      <c r="H5" s="2"/>
      <c r="I5" s="2"/>
    </row>
    <row r="6" spans="1:9" x14ac:dyDescent="0.25">
      <c r="A6" s="2" t="s">
        <v>964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965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185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132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134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17" t="s">
        <v>592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7">
        <v>7</v>
      </c>
      <c r="H16" s="8">
        <v>8</v>
      </c>
      <c r="I16" s="8">
        <v>9</v>
      </c>
    </row>
    <row r="17" spans="1:9" x14ac:dyDescent="0.25">
      <c r="A17" s="10">
        <v>1</v>
      </c>
      <c r="B17" s="11" t="s">
        <v>966</v>
      </c>
      <c r="C17" s="16">
        <v>8.9600000000000009</v>
      </c>
      <c r="D17" s="16">
        <v>-16484.490000000002</v>
      </c>
      <c r="E17" s="13">
        <v>284777.64</v>
      </c>
      <c r="F17" s="14">
        <v>274888.65000000002</v>
      </c>
      <c r="G17" s="16">
        <f>E17</f>
        <v>284777.64</v>
      </c>
      <c r="H17" s="12">
        <f>D17+F17-G17</f>
        <v>-26373.479999999981</v>
      </c>
      <c r="I17" s="16">
        <f>H17</f>
        <v>-26373.479999999981</v>
      </c>
    </row>
    <row r="18" spans="1:9" x14ac:dyDescent="0.25">
      <c r="A18" s="6" t="s">
        <v>36</v>
      </c>
      <c r="B18" s="17" t="s">
        <v>37</v>
      </c>
      <c r="C18" s="21">
        <v>3.08</v>
      </c>
      <c r="D18" s="21"/>
      <c r="E18" s="162">
        <f>E17*34.4%</f>
        <v>97963.508159999998</v>
      </c>
      <c r="F18" s="20">
        <f>F17*34.4/100</f>
        <v>94561.695600000006</v>
      </c>
      <c r="G18" s="21">
        <f t="shared" ref="G18:G27" si="0">E18</f>
        <v>97963.508159999998</v>
      </c>
      <c r="H18" s="18"/>
      <c r="I18" s="21"/>
    </row>
    <row r="19" spans="1:9" x14ac:dyDescent="0.25">
      <c r="A19" s="22" t="s">
        <v>38</v>
      </c>
      <c r="B19" s="5" t="s">
        <v>39</v>
      </c>
      <c r="C19" s="33">
        <v>1.47</v>
      </c>
      <c r="D19" s="33"/>
      <c r="E19" s="24">
        <f>E17*16.4/100</f>
        <v>46703.532960000004</v>
      </c>
      <c r="F19" s="25">
        <f>F17*16.4/100</f>
        <v>45081.738600000004</v>
      </c>
      <c r="G19" s="26">
        <f t="shared" si="0"/>
        <v>46703.532960000004</v>
      </c>
      <c r="H19" s="23"/>
      <c r="I19" s="33"/>
    </row>
    <row r="20" spans="1:9" x14ac:dyDescent="0.25">
      <c r="A20" s="22" t="s">
        <v>40</v>
      </c>
      <c r="B20" s="5" t="s">
        <v>41</v>
      </c>
      <c r="C20" s="33">
        <v>1.81</v>
      </c>
      <c r="D20" s="33"/>
      <c r="E20" s="30">
        <f>E17*20.2/100</f>
        <v>57525.083279999999</v>
      </c>
      <c r="F20" s="29">
        <f>F17*20.2/100</f>
        <v>55527.507300000005</v>
      </c>
      <c r="G20" s="30">
        <f t="shared" si="0"/>
        <v>57525.083279999999</v>
      </c>
      <c r="H20" s="27"/>
      <c r="I20" s="33"/>
    </row>
    <row r="21" spans="1:9" x14ac:dyDescent="0.25">
      <c r="A21" s="22" t="s">
        <v>42</v>
      </c>
      <c r="B21" s="5" t="s">
        <v>43</v>
      </c>
      <c r="C21" s="33">
        <v>2.6</v>
      </c>
      <c r="D21" s="33"/>
      <c r="E21" s="28">
        <f>E17*29/100</f>
        <v>82585.515599999999</v>
      </c>
      <c r="F21" s="29">
        <f>F17*29/100</f>
        <v>79717.708500000008</v>
      </c>
      <c r="G21" s="30">
        <f t="shared" si="0"/>
        <v>82585.515599999999</v>
      </c>
      <c r="H21" s="27"/>
      <c r="I21" s="33"/>
    </row>
    <row r="22" spans="1:9" x14ac:dyDescent="0.25">
      <c r="A22" s="22" t="s">
        <v>44</v>
      </c>
      <c r="B22" s="5" t="s">
        <v>473</v>
      </c>
      <c r="C22" s="33">
        <v>120</v>
      </c>
      <c r="D22" s="38">
        <v>-1963.23</v>
      </c>
      <c r="E22" s="19">
        <v>77760</v>
      </c>
      <c r="F22" s="44">
        <v>76421.34</v>
      </c>
      <c r="G22" s="26">
        <f>E22</f>
        <v>77760</v>
      </c>
      <c r="H22" s="32">
        <f>D22+F22-E22</f>
        <v>-3301.8899999999994</v>
      </c>
      <c r="I22" s="160">
        <f>H22</f>
        <v>-3301.8899999999994</v>
      </c>
    </row>
    <row r="23" spans="1:9" x14ac:dyDescent="0.25">
      <c r="A23" s="22" t="s">
        <v>46</v>
      </c>
      <c r="B23" s="5" t="s">
        <v>45</v>
      </c>
      <c r="C23" s="33">
        <v>1755.25</v>
      </c>
      <c r="D23" s="160">
        <v>47.22</v>
      </c>
      <c r="E23" s="28">
        <v>438.84</v>
      </c>
      <c r="F23" s="29">
        <v>430.12</v>
      </c>
      <c r="G23" s="30">
        <f>E23</f>
        <v>438.84</v>
      </c>
      <c r="H23" s="27">
        <f>D23+F23-E23</f>
        <v>38.500000000000057</v>
      </c>
      <c r="I23" s="160"/>
    </row>
    <row r="24" spans="1:9" x14ac:dyDescent="0.25">
      <c r="A24" s="22" t="s">
        <v>472</v>
      </c>
      <c r="B24" s="5" t="s">
        <v>276</v>
      </c>
      <c r="C24" s="160" t="s">
        <v>48</v>
      </c>
      <c r="D24" s="160">
        <v>-11449.11</v>
      </c>
      <c r="E24" s="28">
        <v>87508.14</v>
      </c>
      <c r="F24" s="29">
        <v>85237.02</v>
      </c>
      <c r="G24" s="30">
        <f>E24</f>
        <v>87508.14</v>
      </c>
      <c r="H24" s="27">
        <f>D24+F24-E24</f>
        <v>-13720.229999999996</v>
      </c>
      <c r="I24" s="160">
        <f>H24</f>
        <v>-13720.229999999996</v>
      </c>
    </row>
    <row r="25" spans="1:9" x14ac:dyDescent="0.25">
      <c r="A25" s="267" t="s">
        <v>49</v>
      </c>
      <c r="B25" s="10" t="s">
        <v>140</v>
      </c>
      <c r="C25" s="38">
        <v>3.43</v>
      </c>
      <c r="D25" s="38">
        <v>-13688.96</v>
      </c>
      <c r="E25" s="38">
        <v>108725.51</v>
      </c>
      <c r="F25" s="37">
        <v>105168.7</v>
      </c>
      <c r="G25" s="38">
        <f t="shared" si="0"/>
        <v>108725.51</v>
      </c>
      <c r="H25" s="34">
        <f>D25+F25-G25</f>
        <v>-17245.770000000004</v>
      </c>
      <c r="I25" s="38">
        <f>H25</f>
        <v>-17245.770000000004</v>
      </c>
    </row>
    <row r="26" spans="1:9" x14ac:dyDescent="0.25">
      <c r="A26" s="10" t="s">
        <v>51</v>
      </c>
      <c r="B26" s="11" t="s">
        <v>50</v>
      </c>
      <c r="C26" s="38">
        <v>4.5999999999999996</v>
      </c>
      <c r="D26" s="38">
        <v>-13692.98</v>
      </c>
      <c r="E26" s="35">
        <v>146202.72</v>
      </c>
      <c r="F26" s="36">
        <v>142195.4</v>
      </c>
      <c r="G26" s="38">
        <f t="shared" si="0"/>
        <v>146202.72</v>
      </c>
      <c r="H26" s="290">
        <f>D26+F26-G26</f>
        <v>-17700.300000000003</v>
      </c>
      <c r="I26" s="38">
        <f>H26</f>
        <v>-17700.300000000003</v>
      </c>
    </row>
    <row r="27" spans="1:9" x14ac:dyDescent="0.25">
      <c r="A27" s="267" t="s">
        <v>56</v>
      </c>
      <c r="B27" s="11" t="s">
        <v>191</v>
      </c>
      <c r="C27" s="38">
        <v>1</v>
      </c>
      <c r="D27" s="38">
        <v>-76.290000000000006</v>
      </c>
      <c r="E27" s="193">
        <v>0</v>
      </c>
      <c r="F27" s="37">
        <v>0</v>
      </c>
      <c r="G27" s="38">
        <f t="shared" si="0"/>
        <v>0</v>
      </c>
      <c r="H27" s="34">
        <f>D27+F27-G27</f>
        <v>-76.290000000000006</v>
      </c>
      <c r="I27" s="38">
        <f>H27</f>
        <v>-76.290000000000006</v>
      </c>
    </row>
    <row r="28" spans="1:9" x14ac:dyDescent="0.25">
      <c r="A28" s="11" t="s">
        <v>60</v>
      </c>
      <c r="B28" s="11" t="s">
        <v>310</v>
      </c>
      <c r="C28" s="16">
        <v>1.82</v>
      </c>
      <c r="D28" s="161">
        <v>83049.149999999994</v>
      </c>
      <c r="E28" s="11">
        <v>57845.52</v>
      </c>
      <c r="F28" s="13">
        <f>F29+F30</f>
        <v>76602.740000000005</v>
      </c>
      <c r="G28" s="11">
        <f>I59</f>
        <v>20647.599999999999</v>
      </c>
      <c r="H28" s="161">
        <f>D28+F28-G28</f>
        <v>139004.29</v>
      </c>
      <c r="I28" s="16"/>
    </row>
    <row r="29" spans="1:9" x14ac:dyDescent="0.25">
      <c r="A29" s="11"/>
      <c r="B29" s="8" t="s">
        <v>53</v>
      </c>
      <c r="C29" s="11"/>
      <c r="D29" s="161"/>
      <c r="E29" s="11"/>
      <c r="F29" s="13">
        <v>56600.54</v>
      </c>
      <c r="G29" s="11"/>
      <c r="H29" s="161"/>
      <c r="I29" s="16"/>
    </row>
    <row r="30" spans="1:9" x14ac:dyDescent="0.25">
      <c r="A30" s="11"/>
      <c r="B30" s="17" t="s">
        <v>367</v>
      </c>
      <c r="C30" s="11"/>
      <c r="D30" s="161"/>
      <c r="E30" s="11"/>
      <c r="F30" s="13">
        <v>20002.2</v>
      </c>
      <c r="G30" s="11"/>
      <c r="H30" s="161"/>
      <c r="I30" s="16"/>
    </row>
    <row r="31" spans="1:9" x14ac:dyDescent="0.25">
      <c r="A31" s="10" t="s">
        <v>355</v>
      </c>
      <c r="B31" s="11" t="s">
        <v>895</v>
      </c>
      <c r="C31" s="11">
        <v>0</v>
      </c>
      <c r="D31" s="12">
        <v>20002.2</v>
      </c>
      <c r="E31" s="11">
        <v>0</v>
      </c>
      <c r="F31" s="13">
        <v>-20002.2</v>
      </c>
      <c r="G31" s="11">
        <v>0</v>
      </c>
      <c r="H31" s="12">
        <v>0</v>
      </c>
      <c r="I31" s="16"/>
    </row>
    <row r="32" spans="1:9" x14ac:dyDescent="0.25">
      <c r="A32" s="7"/>
      <c r="B32" s="7" t="s">
        <v>58</v>
      </c>
      <c r="C32" s="7"/>
      <c r="D32" s="29"/>
      <c r="E32" s="8"/>
      <c r="F32" s="48">
        <v>20002.2</v>
      </c>
      <c r="G32" s="48"/>
      <c r="H32" s="27"/>
      <c r="I32" s="27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53" t="s">
        <v>193</v>
      </c>
      <c r="B34" s="5"/>
      <c r="C34" s="33" t="s">
        <v>748</v>
      </c>
      <c r="D34" s="5" t="s">
        <v>63</v>
      </c>
      <c r="E34" s="47" t="s">
        <v>711</v>
      </c>
      <c r="F34" s="33" t="s">
        <v>710</v>
      </c>
      <c r="G34" s="5"/>
      <c r="H34" s="25" t="s">
        <v>699</v>
      </c>
      <c r="I34" s="47"/>
    </row>
    <row r="35" spans="1:9" x14ac:dyDescent="0.25">
      <c r="A35" s="55"/>
      <c r="B35" s="6" t="s">
        <v>967</v>
      </c>
      <c r="C35" s="21" t="s">
        <v>67</v>
      </c>
      <c r="D35" s="17" t="s">
        <v>23</v>
      </c>
      <c r="E35" s="305">
        <v>0.15</v>
      </c>
      <c r="F35" s="17" t="s">
        <v>30</v>
      </c>
      <c r="G35" s="17"/>
      <c r="H35" s="20"/>
      <c r="I35" s="51"/>
    </row>
    <row r="36" spans="1:9" x14ac:dyDescent="0.25">
      <c r="A36" s="50"/>
      <c r="B36" s="17" t="s">
        <v>968</v>
      </c>
      <c r="C36" s="21">
        <v>15620.55</v>
      </c>
      <c r="D36" s="17">
        <v>6000</v>
      </c>
      <c r="E36" s="18">
        <f>D36*15%</f>
        <v>900</v>
      </c>
      <c r="F36" s="21">
        <f>C36+(D36-E36)</f>
        <v>20720.55</v>
      </c>
      <c r="G36" s="21"/>
      <c r="H36" s="20">
        <f>F36-G36</f>
        <v>20720.55</v>
      </c>
      <c r="I36" s="51"/>
    </row>
    <row r="37" spans="1:9" x14ac:dyDescent="0.25">
      <c r="A37" s="4" t="s">
        <v>70</v>
      </c>
      <c r="B37" s="4"/>
      <c r="C37" s="4"/>
      <c r="D37" s="52"/>
      <c r="E37" s="4"/>
      <c r="F37" s="4"/>
      <c r="G37" s="4"/>
      <c r="H37" s="4"/>
      <c r="I37" s="4"/>
    </row>
    <row r="38" spans="1:9" x14ac:dyDescent="0.25">
      <c r="A38" s="1" t="s">
        <v>71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72</v>
      </c>
      <c r="B39" s="53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3" t="s">
        <v>82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49"/>
      <c r="C41" s="6"/>
      <c r="D41" s="43"/>
      <c r="E41" s="6"/>
      <c r="F41" s="43" t="s">
        <v>88</v>
      </c>
      <c r="G41" s="6" t="s">
        <v>89</v>
      </c>
      <c r="H41" s="43"/>
      <c r="I41" s="6" t="s">
        <v>221</v>
      </c>
    </row>
    <row r="42" spans="1:9" x14ac:dyDescent="0.25">
      <c r="A42" s="17"/>
      <c r="B42" s="17"/>
      <c r="C42" s="13"/>
      <c r="D42" s="17"/>
      <c r="E42" s="61"/>
      <c r="F42" s="50"/>
      <c r="G42" s="6"/>
      <c r="H42" s="6"/>
      <c r="I42" s="51"/>
    </row>
    <row r="43" spans="1:9" x14ac:dyDescent="0.25">
      <c r="A43" s="8">
        <v>1</v>
      </c>
      <c r="B43" s="8" t="s">
        <v>91</v>
      </c>
      <c r="C43" s="36" t="s">
        <v>92</v>
      </c>
      <c r="D43" s="5">
        <v>-58470.18</v>
      </c>
      <c r="E43" s="196">
        <v>244785.74</v>
      </c>
      <c r="F43" s="7">
        <v>241724.28</v>
      </c>
      <c r="G43" s="8">
        <f>E43</f>
        <v>244785.74</v>
      </c>
      <c r="H43" s="8">
        <f>D43+F43-G43</f>
        <v>-61531.639999999985</v>
      </c>
      <c r="I43" s="47">
        <f>H43</f>
        <v>-61531.639999999985</v>
      </c>
    </row>
    <row r="44" spans="1:9" x14ac:dyDescent="0.25">
      <c r="A44" s="8" t="s">
        <v>72</v>
      </c>
      <c r="B44" s="8" t="s">
        <v>93</v>
      </c>
      <c r="C44" s="35" t="s">
        <v>94</v>
      </c>
      <c r="D44" s="5"/>
      <c r="E44" s="59"/>
      <c r="F44" s="7"/>
      <c r="G44" s="17"/>
      <c r="H44" s="17"/>
      <c r="I44" s="47"/>
    </row>
    <row r="45" spans="1:9" x14ac:dyDescent="0.25">
      <c r="A45" s="8">
        <v>2</v>
      </c>
      <c r="B45" s="8" t="s">
        <v>160</v>
      </c>
      <c r="C45" s="35" t="s">
        <v>96</v>
      </c>
      <c r="D45" s="8">
        <v>-126315.34</v>
      </c>
      <c r="E45" s="59">
        <v>385982.85</v>
      </c>
      <c r="F45" s="7">
        <v>398791.73</v>
      </c>
      <c r="G45" s="17">
        <f>E45</f>
        <v>385982.85</v>
      </c>
      <c r="H45" s="17">
        <f>D45+F45-G45</f>
        <v>-113506.45999999996</v>
      </c>
      <c r="I45" s="8">
        <f>H45</f>
        <v>-113506.45999999996</v>
      </c>
    </row>
    <row r="46" spans="1:9" x14ac:dyDescent="0.25">
      <c r="A46" s="8"/>
      <c r="B46" s="8" t="s">
        <v>313</v>
      </c>
      <c r="C46" s="35" t="s">
        <v>94</v>
      </c>
      <c r="D46" s="8"/>
      <c r="E46" s="59"/>
      <c r="F46" s="7"/>
      <c r="G46" s="17"/>
      <c r="H46" s="17"/>
      <c r="I46" s="48"/>
    </row>
    <row r="47" spans="1:9" x14ac:dyDescent="0.25">
      <c r="A47" s="8">
        <v>3</v>
      </c>
      <c r="B47" s="8" t="s">
        <v>99</v>
      </c>
      <c r="C47" s="35" t="s">
        <v>100</v>
      </c>
      <c r="D47" s="8">
        <v>-202773.01</v>
      </c>
      <c r="E47" s="9">
        <v>957423.57</v>
      </c>
      <c r="F47" s="7">
        <v>925185.95</v>
      </c>
      <c r="G47" s="17">
        <f>E47</f>
        <v>957423.57</v>
      </c>
      <c r="H47" s="17">
        <f>D47+F47-G47</f>
        <v>-235010.63</v>
      </c>
      <c r="I47" s="48">
        <f>H47</f>
        <v>-235010.63</v>
      </c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47" t="s">
        <v>165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/>
      <c r="H51" s="56" t="s">
        <v>85</v>
      </c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6"/>
      <c r="H52" s="56"/>
      <c r="I52" s="6"/>
    </row>
    <row r="53" spans="1:9" x14ac:dyDescent="0.25">
      <c r="A53" s="62" t="s">
        <v>72</v>
      </c>
      <c r="B53" s="63"/>
      <c r="C53" s="53" t="s">
        <v>110</v>
      </c>
      <c r="D53" s="159"/>
      <c r="E53" s="159"/>
      <c r="F53" s="54"/>
      <c r="G53" s="5"/>
      <c r="H53" s="54"/>
      <c r="I53" s="5"/>
    </row>
    <row r="54" spans="1:9" x14ac:dyDescent="0.25">
      <c r="A54" s="64"/>
      <c r="B54" s="6"/>
      <c r="C54" s="49" t="s">
        <v>166</v>
      </c>
      <c r="D54" s="43"/>
      <c r="E54" s="43"/>
      <c r="F54" s="43"/>
      <c r="G54" s="26"/>
      <c r="H54" s="43"/>
      <c r="I54" s="6" t="s">
        <v>72</v>
      </c>
    </row>
    <row r="55" spans="1:9" x14ac:dyDescent="0.25">
      <c r="A55" s="64" t="s">
        <v>111</v>
      </c>
      <c r="B55" s="65">
        <v>43186</v>
      </c>
      <c r="C55" s="49" t="s">
        <v>112</v>
      </c>
      <c r="D55" s="43"/>
      <c r="E55" s="43"/>
      <c r="F55" s="43"/>
      <c r="G55" s="26" t="s">
        <v>203</v>
      </c>
      <c r="H55" s="43">
        <v>45</v>
      </c>
      <c r="I55" s="6">
        <v>9000</v>
      </c>
    </row>
    <row r="56" spans="1:9" x14ac:dyDescent="0.25">
      <c r="A56" s="64" t="s">
        <v>114</v>
      </c>
      <c r="B56" s="64" t="s">
        <v>969</v>
      </c>
      <c r="C56" s="49" t="s">
        <v>970</v>
      </c>
      <c r="D56" s="43"/>
      <c r="E56" s="43"/>
      <c r="F56" s="43"/>
      <c r="G56" s="26" t="s">
        <v>584</v>
      </c>
      <c r="H56" s="43">
        <v>1</v>
      </c>
      <c r="I56" s="6">
        <v>395</v>
      </c>
    </row>
    <row r="57" spans="1:9" x14ac:dyDescent="0.25">
      <c r="A57" s="64" t="s">
        <v>170</v>
      </c>
      <c r="B57" s="65">
        <v>43404</v>
      </c>
      <c r="C57" s="49" t="s">
        <v>112</v>
      </c>
      <c r="D57" s="43"/>
      <c r="E57" s="43"/>
      <c r="F57" s="43"/>
      <c r="G57" s="26" t="s">
        <v>116</v>
      </c>
      <c r="H57" s="43">
        <v>45</v>
      </c>
      <c r="I57" s="6">
        <v>9000</v>
      </c>
    </row>
    <row r="58" spans="1:9" x14ac:dyDescent="0.25">
      <c r="A58" s="64" t="s">
        <v>173</v>
      </c>
      <c r="B58" s="65">
        <v>43463</v>
      </c>
      <c r="C58" s="49" t="s">
        <v>971</v>
      </c>
      <c r="D58" s="69"/>
      <c r="E58" s="69"/>
      <c r="F58" s="43"/>
      <c r="G58" s="26" t="s">
        <v>205</v>
      </c>
      <c r="H58" s="43">
        <v>2</v>
      </c>
      <c r="I58" s="6">
        <v>2252.6</v>
      </c>
    </row>
    <row r="59" spans="1:9" x14ac:dyDescent="0.25">
      <c r="A59" s="66"/>
      <c r="B59" s="17"/>
      <c r="C59" s="14" t="s">
        <v>117</v>
      </c>
      <c r="D59" s="13"/>
      <c r="E59" s="13"/>
      <c r="F59" s="13"/>
      <c r="G59" s="16"/>
      <c r="H59" s="13"/>
      <c r="I59" s="11">
        <f>SUM(I55:I58)</f>
        <v>20647.599999999999</v>
      </c>
    </row>
    <row r="60" spans="1:9" x14ac:dyDescent="0.25">
      <c r="A60" s="43"/>
      <c r="B60" s="43"/>
      <c r="C60" s="43"/>
      <c r="D60" s="43"/>
      <c r="E60" s="43"/>
      <c r="F60" s="43"/>
      <c r="G60" s="43"/>
      <c r="H60" s="43"/>
      <c r="I60" s="166"/>
    </row>
    <row r="61" spans="1:9" x14ac:dyDescent="0.25">
      <c r="A61" s="68"/>
      <c r="B61" s="43"/>
      <c r="C61" s="43"/>
      <c r="D61" s="43"/>
      <c r="E61" s="43"/>
      <c r="F61" s="43"/>
      <c r="G61" s="165"/>
      <c r="H61" s="4"/>
      <c r="I61" s="4"/>
    </row>
    <row r="62" spans="1:9" x14ac:dyDescent="0.25">
      <c r="A62" s="2" t="s">
        <v>972</v>
      </c>
      <c r="B62" s="2"/>
      <c r="C62" s="2" t="s">
        <v>72</v>
      </c>
      <c r="D62" s="2" t="s">
        <v>119</v>
      </c>
      <c r="E62" s="2"/>
      <c r="F62" s="2" t="s">
        <v>120</v>
      </c>
      <c r="H62" s="2" t="s">
        <v>121</v>
      </c>
      <c r="I62" s="2" t="s">
        <v>122</v>
      </c>
    </row>
  </sheetData>
  <pageMargins left="0.7" right="0.7" top="0.75" bottom="0.75" header="0.3" footer="0.3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38.42578125" customWidth="1"/>
    <col min="3" max="3" width="12.7109375" customWidth="1"/>
    <col min="6" max="6" width="11.140625" customWidth="1"/>
    <col min="8" max="8" width="12.28515625" customWidth="1"/>
    <col min="9" max="9" width="18.570312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973</v>
      </c>
      <c r="B5" s="1"/>
      <c r="C5" s="1"/>
      <c r="D5" s="2"/>
      <c r="E5" s="1"/>
      <c r="F5" s="1"/>
      <c r="G5" s="2"/>
      <c r="H5" s="2"/>
      <c r="I5" s="2"/>
    </row>
    <row r="6" spans="1:9" x14ac:dyDescent="0.25">
      <c r="A6" s="2" t="s">
        <v>974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975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976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7">
        <v>7</v>
      </c>
      <c r="H16" s="8">
        <v>8</v>
      </c>
      <c r="I16" s="8">
        <v>9</v>
      </c>
    </row>
    <row r="17" spans="1:9" x14ac:dyDescent="0.25">
      <c r="A17" s="13">
        <v>1</v>
      </c>
      <c r="B17" s="11" t="s">
        <v>323</v>
      </c>
      <c r="C17" s="11">
        <v>8.9600000000000009</v>
      </c>
      <c r="D17" s="12">
        <v>-12192.85</v>
      </c>
      <c r="E17" s="13">
        <v>821409.96</v>
      </c>
      <c r="F17" s="14">
        <v>779780.31</v>
      </c>
      <c r="G17" s="16">
        <f>E17</f>
        <v>821409.96</v>
      </c>
      <c r="H17" s="12">
        <f>D17+F17-G17</f>
        <v>-53822.499999999884</v>
      </c>
      <c r="I17" s="16">
        <f>H17</f>
        <v>-53822.499999999884</v>
      </c>
    </row>
    <row r="18" spans="1:9" x14ac:dyDescent="0.25">
      <c r="A18" s="6" t="s">
        <v>36</v>
      </c>
      <c r="B18" s="17" t="s">
        <v>37</v>
      </c>
      <c r="C18" s="17">
        <v>3.08</v>
      </c>
      <c r="D18" s="18"/>
      <c r="E18" s="162">
        <f>E17*34.4/100</f>
        <v>282565.02623999998</v>
      </c>
      <c r="F18" s="20">
        <f>F17*34.4/100</f>
        <v>268244.42664000002</v>
      </c>
      <c r="G18" s="21">
        <f t="shared" ref="G18:G26" si="0">E18</f>
        <v>282565.02623999998</v>
      </c>
      <c r="H18" s="18"/>
      <c r="I18" s="21"/>
    </row>
    <row r="19" spans="1:9" x14ac:dyDescent="0.25">
      <c r="A19" s="22" t="s">
        <v>38</v>
      </c>
      <c r="B19" s="5" t="s">
        <v>39</v>
      </c>
      <c r="C19" s="5">
        <v>1.47</v>
      </c>
      <c r="D19" s="30"/>
      <c r="E19" s="24">
        <f>E17*16.4/100</f>
        <v>134711.23343999998</v>
      </c>
      <c r="F19" s="25">
        <f>F17*16.4/100</f>
        <v>127883.97084000001</v>
      </c>
      <c r="G19" s="26">
        <f t="shared" si="0"/>
        <v>134711.23343999998</v>
      </c>
      <c r="H19" s="30"/>
      <c r="I19" s="33"/>
    </row>
    <row r="20" spans="1:9" x14ac:dyDescent="0.25">
      <c r="A20" s="22" t="s">
        <v>40</v>
      </c>
      <c r="B20" s="5" t="s">
        <v>41</v>
      </c>
      <c r="C20" s="5">
        <v>1.81</v>
      </c>
      <c r="D20" s="27"/>
      <c r="E20" s="24">
        <f>E17*20.2/100</f>
        <v>165924.81191999998</v>
      </c>
      <c r="F20" s="25">
        <f>F17*20.2/100</f>
        <v>157515.62262000001</v>
      </c>
      <c r="G20" s="30">
        <f t="shared" si="0"/>
        <v>165924.81191999998</v>
      </c>
      <c r="H20" s="27"/>
      <c r="I20" s="33"/>
    </row>
    <row r="21" spans="1:9" x14ac:dyDescent="0.25">
      <c r="A21" s="22" t="s">
        <v>42</v>
      </c>
      <c r="B21" s="5" t="s">
        <v>43</v>
      </c>
      <c r="C21" s="5">
        <v>2.6</v>
      </c>
      <c r="D21" s="32"/>
      <c r="E21" s="24">
        <f>E17*29/100</f>
        <v>238208.8884</v>
      </c>
      <c r="F21" s="25">
        <f>F17*29/100</f>
        <v>226136.28990000003</v>
      </c>
      <c r="G21" s="26">
        <f t="shared" si="0"/>
        <v>238208.8884</v>
      </c>
      <c r="H21" s="32"/>
      <c r="I21" s="33"/>
    </row>
    <row r="22" spans="1:9" x14ac:dyDescent="0.25">
      <c r="A22" s="22" t="s">
        <v>44</v>
      </c>
      <c r="B22" s="5" t="s">
        <v>47</v>
      </c>
      <c r="C22" s="5" t="s">
        <v>48</v>
      </c>
      <c r="D22" s="30">
        <v>-25244.92</v>
      </c>
      <c r="E22" s="7">
        <v>189654.06</v>
      </c>
      <c r="F22" s="7">
        <v>185772.2</v>
      </c>
      <c r="G22" s="8">
        <f>E22</f>
        <v>189654.06</v>
      </c>
      <c r="H22" s="30">
        <f>D22+F22-E22</f>
        <v>-29126.77999999997</v>
      </c>
      <c r="I22" s="42">
        <f>H22</f>
        <v>-29126.77999999997</v>
      </c>
    </row>
    <row r="23" spans="1:9" x14ac:dyDescent="0.25">
      <c r="A23" s="22" t="s">
        <v>46</v>
      </c>
      <c r="B23" s="5" t="s">
        <v>245</v>
      </c>
      <c r="C23" s="5">
        <v>1755.25</v>
      </c>
      <c r="D23" s="32">
        <v>-311.8</v>
      </c>
      <c r="E23" s="19">
        <v>12322.86</v>
      </c>
      <c r="F23" s="44">
        <v>11764.86</v>
      </c>
      <c r="G23" s="26">
        <f>E23</f>
        <v>12322.86</v>
      </c>
      <c r="H23" s="32">
        <f>D23+F23-E23</f>
        <v>-869.79999999999927</v>
      </c>
      <c r="I23" s="160">
        <f>H23</f>
        <v>-869.79999999999927</v>
      </c>
    </row>
    <row r="24" spans="1:9" x14ac:dyDescent="0.25">
      <c r="A24" s="267" t="s">
        <v>49</v>
      </c>
      <c r="B24" s="10" t="s">
        <v>140</v>
      </c>
      <c r="C24" s="10">
        <v>3.43</v>
      </c>
      <c r="D24" s="34">
        <v>-38254.99</v>
      </c>
      <c r="E24" s="38">
        <v>313264.2</v>
      </c>
      <c r="F24" s="37">
        <v>297250.46999999997</v>
      </c>
      <c r="G24" s="38">
        <f t="shared" si="0"/>
        <v>313264.2</v>
      </c>
      <c r="H24" s="34">
        <f>D24+F24-G24</f>
        <v>-54268.72000000003</v>
      </c>
      <c r="I24" s="38">
        <f>H24</f>
        <v>-54268.72000000003</v>
      </c>
    </row>
    <row r="25" spans="1:9" x14ac:dyDescent="0.25">
      <c r="A25" s="10" t="s">
        <v>51</v>
      </c>
      <c r="B25" s="11" t="s">
        <v>50</v>
      </c>
      <c r="C25" s="10">
        <v>4.5999999999999996</v>
      </c>
      <c r="D25" s="290">
        <v>-45497.84</v>
      </c>
      <c r="E25" s="35">
        <v>421705.92</v>
      </c>
      <c r="F25" s="36">
        <v>404488.09</v>
      </c>
      <c r="G25" s="38">
        <f>E25</f>
        <v>421705.92</v>
      </c>
      <c r="H25" s="290">
        <f>D25+F25-G25</f>
        <v>-62715.669999999984</v>
      </c>
      <c r="I25" s="38">
        <f>H25</f>
        <v>-62715.669999999984</v>
      </c>
    </row>
    <row r="26" spans="1:9" x14ac:dyDescent="0.25">
      <c r="A26" s="267" t="s">
        <v>56</v>
      </c>
      <c r="B26" s="11" t="s">
        <v>191</v>
      </c>
      <c r="C26" s="38">
        <v>1</v>
      </c>
      <c r="D26" s="34">
        <v>-2583.4</v>
      </c>
      <c r="E26" s="193">
        <v>91675.199999999997</v>
      </c>
      <c r="F26" s="37">
        <v>87359.5</v>
      </c>
      <c r="G26" s="38">
        <f t="shared" si="0"/>
        <v>91675.199999999997</v>
      </c>
      <c r="H26" s="34">
        <f>D26+F26-G26</f>
        <v>-6899.0999999999913</v>
      </c>
      <c r="I26" s="38">
        <f>H26</f>
        <v>-6899.0999999999913</v>
      </c>
    </row>
    <row r="27" spans="1:9" x14ac:dyDescent="0.25">
      <c r="A27" s="39" t="s">
        <v>60</v>
      </c>
      <c r="B27" s="11" t="s">
        <v>192</v>
      </c>
      <c r="C27" s="11">
        <v>1.82</v>
      </c>
      <c r="D27" s="15">
        <v>64426.47</v>
      </c>
      <c r="E27" s="11">
        <v>166848.6</v>
      </c>
      <c r="F27" s="11">
        <f>F28+F30+F29</f>
        <v>184022.96000000002</v>
      </c>
      <c r="G27" s="14">
        <f>I59</f>
        <v>69320.44</v>
      </c>
      <c r="H27" s="15">
        <f>D27+F27-G27</f>
        <v>179128.99000000002</v>
      </c>
      <c r="I27" s="16"/>
    </row>
    <row r="28" spans="1:9" x14ac:dyDescent="0.25">
      <c r="A28" s="10"/>
      <c r="B28" s="8" t="s">
        <v>53</v>
      </c>
      <c r="C28" s="11"/>
      <c r="D28" s="38"/>
      <c r="E28" s="11">
        <v>0</v>
      </c>
      <c r="F28" s="11">
        <v>160078.94</v>
      </c>
      <c r="G28" s="14"/>
      <c r="H28" s="38"/>
      <c r="I28" s="209"/>
    </row>
    <row r="29" spans="1:9" x14ac:dyDescent="0.25">
      <c r="A29" s="10"/>
      <c r="B29" s="8" t="s">
        <v>54</v>
      </c>
      <c r="C29" s="11"/>
      <c r="D29" s="38"/>
      <c r="E29" s="11"/>
      <c r="F29" s="13">
        <v>1910.38</v>
      </c>
      <c r="G29" s="14"/>
      <c r="H29" s="38"/>
      <c r="I29" s="209"/>
    </row>
    <row r="30" spans="1:9" x14ac:dyDescent="0.25">
      <c r="A30" s="11"/>
      <c r="B30" s="8" t="s">
        <v>367</v>
      </c>
      <c r="C30" s="13"/>
      <c r="D30" s="16"/>
      <c r="E30" s="13"/>
      <c r="F30" s="10">
        <v>22033.64</v>
      </c>
      <c r="G30" s="14"/>
      <c r="H30" s="16"/>
      <c r="I30" s="226"/>
    </row>
    <row r="31" spans="1:9" x14ac:dyDescent="0.25">
      <c r="A31" s="11" t="s">
        <v>355</v>
      </c>
      <c r="B31" s="11" t="s">
        <v>246</v>
      </c>
      <c r="C31" s="13">
        <v>0</v>
      </c>
      <c r="D31" s="16">
        <v>22033.64</v>
      </c>
      <c r="E31" s="13">
        <v>0</v>
      </c>
      <c r="F31" s="11">
        <v>-22033.64</v>
      </c>
      <c r="G31" s="14">
        <f>I63</f>
        <v>0</v>
      </c>
      <c r="H31" s="16">
        <f>D31+F31-G31</f>
        <v>0</v>
      </c>
      <c r="I31" s="16"/>
    </row>
    <row r="32" spans="1:9" x14ac:dyDescent="0.25">
      <c r="A32" s="8"/>
      <c r="B32" s="8" t="s">
        <v>58</v>
      </c>
      <c r="C32" s="9">
        <v>0</v>
      </c>
      <c r="D32" s="21"/>
      <c r="E32" s="9">
        <v>0</v>
      </c>
      <c r="F32" s="8">
        <v>22033.64</v>
      </c>
      <c r="G32" s="7">
        <v>0</v>
      </c>
      <c r="H32" s="21"/>
      <c r="I32" s="30"/>
    </row>
    <row r="33" spans="1:9" x14ac:dyDescent="0.25">
      <c r="A33" s="1" t="s">
        <v>59</v>
      </c>
      <c r="D33" s="21"/>
    </row>
    <row r="34" spans="1:9" x14ac:dyDescent="0.25">
      <c r="A34" s="53" t="s">
        <v>193</v>
      </c>
      <c r="B34" s="46" t="s">
        <v>61</v>
      </c>
      <c r="C34" s="8" t="s">
        <v>65</v>
      </c>
      <c r="D34" s="209" t="s">
        <v>384</v>
      </c>
      <c r="E34" s="8" t="s">
        <v>476</v>
      </c>
      <c r="F34" s="8" t="s">
        <v>62</v>
      </c>
      <c r="G34" s="8"/>
      <c r="H34" s="7" t="s">
        <v>195</v>
      </c>
      <c r="I34" s="48"/>
    </row>
    <row r="35" spans="1:9" x14ac:dyDescent="0.25">
      <c r="A35" s="55"/>
      <c r="B35" s="49"/>
      <c r="C35" s="17" t="s">
        <v>67</v>
      </c>
      <c r="D35" s="51" t="s">
        <v>23</v>
      </c>
      <c r="E35" s="8" t="s">
        <v>312</v>
      </c>
      <c r="F35" s="8" t="s">
        <v>30</v>
      </c>
      <c r="G35" s="8"/>
      <c r="H35" s="61"/>
      <c r="I35" s="51"/>
    </row>
    <row r="36" spans="1:9" x14ac:dyDescent="0.25">
      <c r="A36" s="50"/>
      <c r="B36" s="50" t="s">
        <v>69</v>
      </c>
      <c r="C36" s="30">
        <v>48468.31</v>
      </c>
      <c r="D36" s="51">
        <v>9600</v>
      </c>
      <c r="E36" s="30">
        <f>D36*15%</f>
        <v>1440</v>
      </c>
      <c r="F36" s="30">
        <f>C36+(D36-E36)</f>
        <v>56628.31</v>
      </c>
      <c r="G36" s="30"/>
      <c r="H36" s="162">
        <f>F36-G36</f>
        <v>56628.31</v>
      </c>
      <c r="I36" s="51"/>
    </row>
    <row r="37" spans="1:9" x14ac:dyDescent="0.25">
      <c r="A37" s="43"/>
      <c r="B37" s="43"/>
      <c r="C37" s="19"/>
      <c r="D37" s="43"/>
      <c r="E37" s="19"/>
      <c r="F37" s="19"/>
      <c r="G37" s="19"/>
      <c r="H37" s="19"/>
      <c r="I37" s="43"/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C39" s="1"/>
      <c r="D39" s="1"/>
      <c r="E39" s="4"/>
      <c r="F39" s="4"/>
      <c r="G39" s="4"/>
      <c r="H39" s="4"/>
      <c r="I39" s="4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306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230</v>
      </c>
      <c r="E41" s="6" t="s">
        <v>83</v>
      </c>
      <c r="F41" s="43" t="s">
        <v>84</v>
      </c>
      <c r="G41" s="6" t="s">
        <v>85</v>
      </c>
      <c r="H41" s="43" t="s">
        <v>86</v>
      </c>
      <c r="I41" s="6" t="s">
        <v>87</v>
      </c>
    </row>
    <row r="42" spans="1:9" x14ac:dyDescent="0.25">
      <c r="A42" s="6"/>
      <c r="B42" s="49"/>
      <c r="C42" s="6"/>
      <c r="D42" s="43" t="s">
        <v>33</v>
      </c>
      <c r="E42" s="6"/>
      <c r="F42" s="43" t="s">
        <v>88</v>
      </c>
      <c r="G42" s="6" t="s">
        <v>89</v>
      </c>
      <c r="H42" s="43"/>
      <c r="I42" s="6" t="s">
        <v>221</v>
      </c>
    </row>
    <row r="43" spans="1:9" x14ac:dyDescent="0.25">
      <c r="A43" s="17"/>
      <c r="B43" s="17"/>
      <c r="C43" s="13"/>
      <c r="D43" s="17"/>
      <c r="E43" s="61"/>
      <c r="F43" s="50"/>
      <c r="G43" s="6"/>
      <c r="H43" s="6"/>
      <c r="I43" s="51"/>
    </row>
    <row r="44" spans="1:9" x14ac:dyDescent="0.25">
      <c r="A44" s="8">
        <v>1</v>
      </c>
      <c r="B44" s="8" t="s">
        <v>91</v>
      </c>
      <c r="C44" s="36" t="s">
        <v>92</v>
      </c>
      <c r="D44" s="5">
        <v>-101801.16</v>
      </c>
      <c r="E44" s="196">
        <v>594384.63</v>
      </c>
      <c r="F44" s="7">
        <v>582558.23</v>
      </c>
      <c r="G44" s="8">
        <f>E44</f>
        <v>594384.63</v>
      </c>
      <c r="H44" s="8">
        <f>D44+F44-G44</f>
        <v>-113627.56000000006</v>
      </c>
      <c r="I44" s="47">
        <f>H44</f>
        <v>-113627.56000000006</v>
      </c>
    </row>
    <row r="45" spans="1:9" x14ac:dyDescent="0.25">
      <c r="A45" s="8"/>
      <c r="B45" s="8" t="s">
        <v>93</v>
      </c>
      <c r="C45" s="35" t="s">
        <v>94</v>
      </c>
      <c r="D45" s="5"/>
      <c r="E45" s="59"/>
      <c r="F45" s="7"/>
      <c r="G45" s="17"/>
      <c r="H45" s="17"/>
      <c r="I45" s="47"/>
    </row>
    <row r="46" spans="1:9" x14ac:dyDescent="0.25">
      <c r="A46" s="8">
        <v>2</v>
      </c>
      <c r="B46" s="8" t="s">
        <v>160</v>
      </c>
      <c r="C46" s="35" t="s">
        <v>96</v>
      </c>
      <c r="D46" s="8">
        <v>-319969.02</v>
      </c>
      <c r="E46" s="59">
        <v>934204.16</v>
      </c>
      <c r="F46" s="7">
        <v>945149.06</v>
      </c>
      <c r="G46" s="17">
        <f>E46</f>
        <v>934204.16</v>
      </c>
      <c r="H46" s="17">
        <f>D46+F46-G46</f>
        <v>-309024.12</v>
      </c>
      <c r="I46" s="8">
        <f>H46</f>
        <v>-309024.12</v>
      </c>
    </row>
    <row r="47" spans="1:9" x14ac:dyDescent="0.25">
      <c r="A47" s="8"/>
      <c r="B47" s="8" t="s">
        <v>313</v>
      </c>
      <c r="C47" s="35" t="s">
        <v>94</v>
      </c>
      <c r="D47" s="8"/>
      <c r="E47" s="59"/>
      <c r="F47" s="7"/>
      <c r="G47" s="17"/>
      <c r="H47" s="17"/>
      <c r="I47" s="48"/>
    </row>
    <row r="48" spans="1:9" x14ac:dyDescent="0.25">
      <c r="A48" s="8">
        <v>3</v>
      </c>
      <c r="B48" s="8" t="s">
        <v>99</v>
      </c>
      <c r="C48" s="35" t="s">
        <v>100</v>
      </c>
      <c r="D48" s="8">
        <v>-634377.5</v>
      </c>
      <c r="E48" s="9">
        <v>2344026.4500000002</v>
      </c>
      <c r="F48" s="7">
        <v>2185030.58</v>
      </c>
      <c r="G48" s="17">
        <f>E48</f>
        <v>2344026.4500000002</v>
      </c>
      <c r="H48" s="17">
        <f>D48+F48-G48</f>
        <v>-793373.37000000011</v>
      </c>
      <c r="I48" s="48">
        <f>H48</f>
        <v>-793373.37000000011</v>
      </c>
    </row>
    <row r="49" spans="1:9" x14ac:dyDescent="0.25">
      <c r="A49" s="1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1"/>
      <c r="B50" s="2"/>
      <c r="C50" s="4" t="s">
        <v>977</v>
      </c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47"/>
      <c r="G51" s="47" t="s">
        <v>105</v>
      </c>
      <c r="H51" s="47" t="s">
        <v>106</v>
      </c>
      <c r="I51" s="5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56"/>
      <c r="G52" s="56"/>
      <c r="H52" s="56"/>
      <c r="I52" s="6" t="s">
        <v>109</v>
      </c>
    </row>
    <row r="53" spans="1:9" x14ac:dyDescent="0.25">
      <c r="A53" s="49"/>
      <c r="B53" s="6"/>
      <c r="C53" s="50"/>
      <c r="D53" s="61"/>
      <c r="E53" s="61"/>
      <c r="F53" s="51"/>
      <c r="G53" s="51"/>
      <c r="H53" s="51"/>
      <c r="I53" s="6"/>
    </row>
    <row r="54" spans="1:9" x14ac:dyDescent="0.25">
      <c r="A54" s="62"/>
      <c r="B54" s="63"/>
      <c r="C54" s="53" t="s">
        <v>978</v>
      </c>
      <c r="D54" s="159"/>
      <c r="E54" s="159"/>
      <c r="F54" s="54"/>
      <c r="G54" s="33"/>
      <c r="H54" s="54"/>
      <c r="I54" s="5"/>
    </row>
    <row r="55" spans="1:9" x14ac:dyDescent="0.25">
      <c r="A55" s="185">
        <v>1</v>
      </c>
      <c r="B55" s="65">
        <v>43119</v>
      </c>
      <c r="C55" s="49" t="s">
        <v>979</v>
      </c>
      <c r="D55" s="43"/>
      <c r="E55" s="43"/>
      <c r="F55" s="43"/>
      <c r="G55" s="26" t="s">
        <v>205</v>
      </c>
      <c r="H55" s="43">
        <v>2</v>
      </c>
      <c r="I55" s="6">
        <v>15901</v>
      </c>
    </row>
    <row r="56" spans="1:9" x14ac:dyDescent="0.25">
      <c r="A56" s="64" t="s">
        <v>114</v>
      </c>
      <c r="B56" s="65">
        <v>43131</v>
      </c>
      <c r="C56" s="43" t="s">
        <v>980</v>
      </c>
      <c r="D56" s="43"/>
      <c r="E56" s="43"/>
      <c r="F56" s="49"/>
      <c r="G56" s="26" t="s">
        <v>116</v>
      </c>
      <c r="H56" s="26">
        <v>16</v>
      </c>
      <c r="I56" s="6">
        <v>14896.26</v>
      </c>
    </row>
    <row r="57" spans="1:9" x14ac:dyDescent="0.25">
      <c r="A57" s="64" t="s">
        <v>170</v>
      </c>
      <c r="B57" s="65">
        <v>43131</v>
      </c>
      <c r="C57" s="43" t="s">
        <v>981</v>
      </c>
      <c r="D57" s="43"/>
      <c r="E57" s="43"/>
      <c r="F57" s="49"/>
      <c r="G57" s="26" t="s">
        <v>116</v>
      </c>
      <c r="H57" s="26">
        <v>16</v>
      </c>
      <c r="I57" s="6">
        <v>19923.18</v>
      </c>
    </row>
    <row r="58" spans="1:9" x14ac:dyDescent="0.25">
      <c r="A58" s="64" t="s">
        <v>173</v>
      </c>
      <c r="B58" s="65">
        <v>43186</v>
      </c>
      <c r="C58" s="49" t="s">
        <v>112</v>
      </c>
      <c r="D58" s="43"/>
      <c r="E58" s="43"/>
      <c r="F58" s="43"/>
      <c r="G58" s="26" t="s">
        <v>113</v>
      </c>
      <c r="H58" s="43">
        <v>93</v>
      </c>
      <c r="I58" s="6">
        <v>18600</v>
      </c>
    </row>
    <row r="59" spans="1:9" x14ac:dyDescent="0.25">
      <c r="A59" s="66"/>
      <c r="B59" s="17"/>
      <c r="C59" s="14" t="s">
        <v>117</v>
      </c>
      <c r="D59" s="13"/>
      <c r="E59" s="13"/>
      <c r="F59" s="13"/>
      <c r="G59" s="16"/>
      <c r="H59" s="13"/>
      <c r="I59" s="11">
        <f>SUM(I54:I58)</f>
        <v>69320.44</v>
      </c>
    </row>
    <row r="60" spans="1:9" x14ac:dyDescent="0.25">
      <c r="A60" s="43"/>
      <c r="B60" s="4"/>
      <c r="C60" s="4"/>
      <c r="D60" s="43"/>
      <c r="E60" s="43"/>
      <c r="F60" s="43"/>
      <c r="G60" s="19"/>
      <c r="H60" s="43"/>
      <c r="I60" s="43"/>
    </row>
    <row r="61" spans="1:9" x14ac:dyDescent="0.25">
      <c r="A61" s="68"/>
      <c r="B61" s="69"/>
      <c r="C61" s="43"/>
      <c r="D61" s="43"/>
      <c r="E61" s="43"/>
      <c r="F61" s="43"/>
      <c r="G61" s="19"/>
      <c r="H61" s="43"/>
      <c r="I61" s="43"/>
    </row>
    <row r="62" spans="1:9" x14ac:dyDescent="0.25">
      <c r="A62" s="68"/>
      <c r="B62" s="69"/>
      <c r="C62" s="43"/>
      <c r="D62" s="43"/>
      <c r="E62" s="43"/>
      <c r="F62" s="43"/>
      <c r="G62" s="19"/>
      <c r="H62" s="43"/>
      <c r="I62" s="43"/>
    </row>
    <row r="63" spans="1:9" x14ac:dyDescent="0.25">
      <c r="A63" s="68"/>
      <c r="B63" s="43"/>
      <c r="C63" s="4"/>
      <c r="D63" s="4"/>
      <c r="E63" s="4"/>
      <c r="F63" s="4"/>
      <c r="G63" s="165"/>
      <c r="H63" s="4"/>
      <c r="I63" s="4"/>
    </row>
    <row r="64" spans="1:9" x14ac:dyDescent="0.25">
      <c r="A64" s="2" t="s">
        <v>118</v>
      </c>
      <c r="B64" s="2"/>
      <c r="C64" s="2" t="s">
        <v>119</v>
      </c>
      <c r="D64" s="2"/>
      <c r="E64" s="2" t="s">
        <v>120</v>
      </c>
      <c r="H64" s="2" t="s">
        <v>121</v>
      </c>
      <c r="I64" s="2" t="s">
        <v>122</v>
      </c>
    </row>
    <row r="65" spans="1:2" x14ac:dyDescent="0.25">
      <c r="A65" s="2"/>
      <c r="B65" s="2"/>
    </row>
    <row r="123" spans="1:9" x14ac:dyDescent="0.25">
      <c r="A123" s="166"/>
      <c r="B123" s="166"/>
      <c r="C123" s="166"/>
      <c r="D123" s="166"/>
      <c r="E123" s="166"/>
      <c r="F123" s="166"/>
      <c r="G123" s="166"/>
      <c r="H123" s="166"/>
      <c r="I123" s="166"/>
    </row>
    <row r="124" spans="1:9" x14ac:dyDescent="0.25">
      <c r="A124" s="166"/>
      <c r="B124" s="166"/>
      <c r="C124" s="166"/>
      <c r="D124" s="166"/>
      <c r="E124" s="166"/>
      <c r="F124" s="166"/>
      <c r="G124" s="166"/>
      <c r="H124" s="166"/>
      <c r="I124" s="166"/>
    </row>
    <row r="125" spans="1:9" x14ac:dyDescent="0.25">
      <c r="A125" s="166"/>
      <c r="B125" s="166"/>
      <c r="C125" s="166"/>
      <c r="D125" s="166"/>
      <c r="E125" s="166"/>
      <c r="F125" s="166"/>
      <c r="G125" s="166"/>
      <c r="H125" s="166"/>
      <c r="I125" s="166"/>
    </row>
    <row r="126" spans="1:9" x14ac:dyDescent="0.25">
      <c r="A126" s="166"/>
      <c r="B126" s="166"/>
      <c r="C126" s="166"/>
      <c r="D126" s="166"/>
      <c r="E126" s="166"/>
      <c r="F126" s="166"/>
      <c r="G126" s="166"/>
      <c r="H126" s="166"/>
      <c r="I126" s="166"/>
    </row>
    <row r="127" spans="1:9" x14ac:dyDescent="0.25">
      <c r="A127" s="166"/>
      <c r="B127" s="166"/>
      <c r="C127" s="166"/>
      <c r="D127" s="166"/>
      <c r="E127" s="166"/>
      <c r="F127" s="166"/>
      <c r="G127" s="166"/>
      <c r="H127" s="166"/>
      <c r="I127" s="166"/>
    </row>
    <row r="128" spans="1:9" x14ac:dyDescent="0.25">
      <c r="A128" s="166"/>
      <c r="B128" s="166"/>
      <c r="C128" s="166"/>
      <c r="D128" s="166"/>
      <c r="E128" s="166"/>
      <c r="F128" s="166"/>
      <c r="G128" s="166"/>
      <c r="H128" s="166"/>
      <c r="I128" s="166"/>
    </row>
    <row r="129" spans="1:9" x14ac:dyDescent="0.25">
      <c r="A129" s="166"/>
      <c r="B129" s="166"/>
      <c r="C129" s="166"/>
      <c r="D129" s="166"/>
      <c r="E129" s="166"/>
      <c r="F129" s="166"/>
      <c r="G129" s="166"/>
      <c r="H129" s="166"/>
      <c r="I129" s="166"/>
    </row>
    <row r="130" spans="1:9" x14ac:dyDescent="0.25">
      <c r="A130" s="166"/>
      <c r="B130" s="166"/>
      <c r="C130" s="166"/>
      <c r="D130" s="166"/>
      <c r="E130" s="166"/>
      <c r="F130" s="166"/>
      <c r="G130" s="166"/>
      <c r="H130" s="166"/>
      <c r="I130" s="166"/>
    </row>
    <row r="131" spans="1:9" x14ac:dyDescent="0.25">
      <c r="A131" s="166"/>
      <c r="B131" s="166"/>
      <c r="C131" s="166"/>
      <c r="D131" s="166"/>
      <c r="E131" s="166"/>
      <c r="F131" s="166"/>
      <c r="G131" s="166"/>
      <c r="H131" s="166"/>
      <c r="I131" s="166"/>
    </row>
    <row r="132" spans="1:9" x14ac:dyDescent="0.25">
      <c r="A132" s="166"/>
      <c r="B132" s="166"/>
      <c r="C132" s="166"/>
      <c r="D132" s="166"/>
      <c r="E132" s="166"/>
      <c r="F132" s="166"/>
      <c r="G132" s="166"/>
      <c r="H132" s="166"/>
      <c r="I132" s="166"/>
    </row>
    <row r="133" spans="1:9" x14ac:dyDescent="0.25">
      <c r="A133" s="166"/>
      <c r="B133" s="166"/>
      <c r="C133" s="166"/>
      <c r="D133" s="166"/>
      <c r="E133" s="166"/>
      <c r="F133" s="166"/>
      <c r="G133" s="166"/>
      <c r="H133" s="166"/>
      <c r="I133" s="166"/>
    </row>
    <row r="134" spans="1:9" x14ac:dyDescent="0.25">
      <c r="A134" s="166"/>
      <c r="B134" s="166"/>
      <c r="C134" s="166"/>
      <c r="D134" s="166"/>
      <c r="E134" s="166"/>
      <c r="F134" s="166"/>
      <c r="G134" s="166"/>
      <c r="H134" s="166"/>
      <c r="I134" s="166"/>
    </row>
    <row r="135" spans="1:9" x14ac:dyDescent="0.25">
      <c r="A135" s="166"/>
      <c r="B135" s="166"/>
      <c r="C135" s="166"/>
      <c r="D135" s="166"/>
      <c r="E135" s="166"/>
      <c r="F135" s="166"/>
      <c r="G135" s="166"/>
      <c r="H135" s="166"/>
      <c r="I135" s="166"/>
    </row>
    <row r="136" spans="1:9" x14ac:dyDescent="0.25">
      <c r="A136" s="166"/>
      <c r="B136" s="166"/>
      <c r="C136" s="166"/>
      <c r="D136" s="166"/>
      <c r="E136" s="166"/>
      <c r="F136" s="166"/>
      <c r="G136" s="166"/>
      <c r="H136" s="166"/>
      <c r="I136" s="166"/>
    </row>
    <row r="137" spans="1:9" x14ac:dyDescent="0.25">
      <c r="A137" s="166"/>
      <c r="B137" s="166"/>
      <c r="C137" s="166"/>
      <c r="D137" s="166"/>
      <c r="E137" s="166"/>
      <c r="F137" s="166"/>
      <c r="G137" s="166"/>
      <c r="H137" s="166"/>
      <c r="I137" s="166"/>
    </row>
    <row r="138" spans="1:9" x14ac:dyDescent="0.25">
      <c r="A138" s="166"/>
      <c r="B138" s="166"/>
      <c r="C138" s="166"/>
      <c r="D138" s="166"/>
      <c r="E138" s="166"/>
      <c r="F138" s="166"/>
      <c r="G138" s="166"/>
      <c r="H138" s="166"/>
      <c r="I138" s="166"/>
    </row>
    <row r="139" spans="1:9" x14ac:dyDescent="0.25">
      <c r="A139" s="166"/>
      <c r="B139" s="166"/>
      <c r="C139" s="166"/>
      <c r="D139" s="166"/>
      <c r="E139" s="166"/>
      <c r="F139" s="166"/>
      <c r="G139" s="166"/>
      <c r="H139" s="166"/>
      <c r="I139" s="166"/>
    </row>
    <row r="140" spans="1:9" x14ac:dyDescent="0.25">
      <c r="A140" s="166"/>
      <c r="B140" s="166"/>
      <c r="C140" s="166"/>
      <c r="D140" s="166"/>
      <c r="E140" s="166"/>
      <c r="F140" s="166"/>
      <c r="G140" s="166"/>
      <c r="H140" s="166"/>
      <c r="I140" s="166"/>
    </row>
    <row r="141" spans="1:9" x14ac:dyDescent="0.25">
      <c r="A141" s="166"/>
      <c r="B141" s="166"/>
      <c r="C141" s="166"/>
      <c r="D141" s="166"/>
      <c r="E141" s="166"/>
      <c r="F141" s="166"/>
      <c r="G141" s="166"/>
      <c r="H141" s="166"/>
      <c r="I141" s="166"/>
    </row>
    <row r="142" spans="1:9" x14ac:dyDescent="0.25">
      <c r="A142" s="166"/>
      <c r="B142" s="166"/>
      <c r="C142" s="166"/>
      <c r="D142" s="166"/>
      <c r="E142" s="166"/>
      <c r="F142" s="166"/>
      <c r="G142" s="166"/>
      <c r="H142" s="166"/>
      <c r="I142" s="166"/>
    </row>
    <row r="143" spans="1:9" x14ac:dyDescent="0.25">
      <c r="A143" s="166"/>
      <c r="B143" s="166"/>
      <c r="C143" s="166"/>
      <c r="D143" s="166"/>
      <c r="E143" s="166"/>
      <c r="F143" s="166"/>
      <c r="G143" s="166"/>
      <c r="H143" s="166"/>
      <c r="I143" s="166"/>
    </row>
    <row r="144" spans="1:9" x14ac:dyDescent="0.25">
      <c r="A144" s="166"/>
      <c r="B144" s="166"/>
      <c r="C144" s="166"/>
      <c r="D144" s="166"/>
      <c r="E144" s="166"/>
      <c r="F144" s="166"/>
      <c r="G144" s="166"/>
      <c r="H144" s="166"/>
      <c r="I144" s="166"/>
    </row>
    <row r="145" spans="1:9" x14ac:dyDescent="0.25">
      <c r="A145" s="166"/>
      <c r="B145" s="166"/>
      <c r="C145" s="166"/>
      <c r="D145" s="166"/>
      <c r="E145" s="166"/>
      <c r="F145" s="166"/>
      <c r="G145" s="166"/>
      <c r="H145" s="166"/>
      <c r="I145" s="166"/>
    </row>
    <row r="146" spans="1:9" x14ac:dyDescent="0.25">
      <c r="A146" s="166"/>
      <c r="B146" s="166"/>
      <c r="C146" s="166"/>
      <c r="D146" s="166"/>
      <c r="E146" s="166"/>
      <c r="F146" s="166"/>
      <c r="G146" s="166"/>
      <c r="H146" s="166"/>
      <c r="I146" s="166"/>
    </row>
    <row r="147" spans="1:9" x14ac:dyDescent="0.25">
      <c r="A147" s="166"/>
      <c r="B147" s="166"/>
      <c r="C147" s="166"/>
      <c r="D147" s="166"/>
      <c r="E147" s="166"/>
      <c r="F147" s="166"/>
      <c r="G147" s="166"/>
      <c r="H147" s="166"/>
      <c r="I147" s="166"/>
    </row>
    <row r="148" spans="1:9" x14ac:dyDescent="0.25">
      <c r="A148" s="166"/>
      <c r="B148" s="166"/>
      <c r="C148" s="166"/>
      <c r="D148" s="166"/>
      <c r="E148" s="166"/>
      <c r="F148" s="166"/>
      <c r="G148" s="166"/>
      <c r="H148" s="166"/>
      <c r="I148" s="166"/>
    </row>
    <row r="149" spans="1:9" x14ac:dyDescent="0.25">
      <c r="A149" s="166"/>
      <c r="B149" s="166"/>
      <c r="C149" s="166"/>
      <c r="D149" s="166"/>
      <c r="E149" s="166"/>
      <c r="F149" s="166"/>
      <c r="G149" s="166"/>
      <c r="H149" s="166"/>
      <c r="I149" s="166"/>
    </row>
    <row r="150" spans="1:9" x14ac:dyDescent="0.25">
      <c r="A150" s="166"/>
      <c r="B150" s="166"/>
      <c r="C150" s="166"/>
      <c r="D150" s="166"/>
      <c r="E150" s="166"/>
      <c r="F150" s="166"/>
      <c r="G150" s="166"/>
      <c r="H150" s="166"/>
      <c r="I150" s="166"/>
    </row>
    <row r="151" spans="1:9" x14ac:dyDescent="0.25">
      <c r="A151" s="166"/>
      <c r="B151" s="166"/>
      <c r="C151" s="166"/>
      <c r="D151" s="166"/>
      <c r="E151" s="166"/>
      <c r="F151" s="166"/>
      <c r="G151" s="166"/>
      <c r="H151" s="166"/>
      <c r="I151" s="166"/>
    </row>
    <row r="152" spans="1:9" x14ac:dyDescent="0.25">
      <c r="A152" s="166"/>
      <c r="B152" s="166"/>
      <c r="C152" s="166"/>
      <c r="D152" s="166"/>
      <c r="E152" s="166"/>
      <c r="F152" s="166"/>
      <c r="G152" s="166"/>
      <c r="H152" s="166"/>
      <c r="I152" s="166"/>
    </row>
    <row r="153" spans="1:9" x14ac:dyDescent="0.25">
      <c r="A153" s="166"/>
      <c r="B153" s="166"/>
      <c r="C153" s="166"/>
      <c r="D153" s="166"/>
      <c r="E153" s="166"/>
      <c r="F153" s="166"/>
      <c r="G153" s="166"/>
      <c r="H153" s="166"/>
      <c r="I153" s="166"/>
    </row>
    <row r="154" spans="1:9" x14ac:dyDescent="0.25">
      <c r="A154" s="166"/>
      <c r="B154" s="166"/>
      <c r="C154" s="166"/>
      <c r="D154" s="166"/>
      <c r="E154" s="166"/>
      <c r="F154" s="166"/>
      <c r="G154" s="166"/>
      <c r="H154" s="166"/>
      <c r="I154" s="166"/>
    </row>
    <row r="155" spans="1:9" x14ac:dyDescent="0.25">
      <c r="A155" s="166"/>
      <c r="B155" s="166"/>
      <c r="C155" s="166"/>
      <c r="D155" s="166"/>
      <c r="E155" s="166"/>
      <c r="F155" s="166"/>
      <c r="G155" s="166"/>
      <c r="H155" s="166"/>
      <c r="I155" s="166"/>
    </row>
    <row r="156" spans="1:9" x14ac:dyDescent="0.25">
      <c r="A156" s="166"/>
      <c r="B156" s="166"/>
      <c r="C156" s="166"/>
      <c r="D156" s="166"/>
      <c r="E156" s="166"/>
      <c r="F156" s="166"/>
      <c r="G156" s="166"/>
      <c r="H156" s="166"/>
      <c r="I156" s="166"/>
    </row>
    <row r="157" spans="1:9" x14ac:dyDescent="0.25">
      <c r="A157" s="166"/>
      <c r="B157" s="166"/>
      <c r="C157" s="166"/>
      <c r="D157" s="166"/>
      <c r="E157" s="166"/>
      <c r="F157" s="166"/>
      <c r="G157" s="166"/>
      <c r="H157" s="166"/>
      <c r="I157" s="166"/>
    </row>
    <row r="158" spans="1:9" x14ac:dyDescent="0.25">
      <c r="A158" s="166"/>
      <c r="B158" s="166"/>
      <c r="C158" s="166"/>
      <c r="D158" s="166"/>
      <c r="E158" s="166"/>
      <c r="F158" s="166"/>
      <c r="G158" s="166"/>
      <c r="H158" s="166"/>
      <c r="I158" s="166"/>
    </row>
    <row r="159" spans="1:9" x14ac:dyDescent="0.25">
      <c r="A159" s="166"/>
      <c r="B159" s="166"/>
      <c r="C159" s="166"/>
      <c r="D159" s="166"/>
      <c r="E159" s="166"/>
      <c r="F159" s="166"/>
      <c r="G159" s="166"/>
      <c r="H159" s="166"/>
      <c r="I159" s="166"/>
    </row>
    <row r="160" spans="1:9" x14ac:dyDescent="0.25">
      <c r="A160" s="166"/>
      <c r="B160" s="166"/>
      <c r="C160" s="166"/>
      <c r="D160" s="166"/>
      <c r="E160" s="166"/>
      <c r="F160" s="166"/>
      <c r="G160" s="166"/>
      <c r="H160" s="166"/>
      <c r="I160" s="166"/>
    </row>
    <row r="161" spans="1:9" x14ac:dyDescent="0.25">
      <c r="A161" s="166"/>
      <c r="B161" s="166"/>
      <c r="C161" s="166"/>
      <c r="D161" s="166"/>
      <c r="E161" s="166"/>
      <c r="F161" s="166"/>
      <c r="G161" s="166"/>
      <c r="H161" s="166"/>
      <c r="I161" s="166"/>
    </row>
    <row r="162" spans="1:9" x14ac:dyDescent="0.25">
      <c r="A162" s="166"/>
      <c r="B162" s="166"/>
      <c r="C162" s="166"/>
      <c r="D162" s="166"/>
      <c r="E162" s="166"/>
      <c r="F162" s="166"/>
      <c r="G162" s="166"/>
      <c r="H162" s="166"/>
      <c r="I162" s="166"/>
    </row>
    <row r="163" spans="1:9" x14ac:dyDescent="0.25">
      <c r="A163" s="166"/>
      <c r="B163" s="166"/>
      <c r="C163" s="166"/>
      <c r="D163" s="166"/>
      <c r="E163" s="166"/>
      <c r="F163" s="166"/>
      <c r="G163" s="166"/>
      <c r="H163" s="166"/>
      <c r="I163" s="166"/>
    </row>
    <row r="164" spans="1:9" x14ac:dyDescent="0.25">
      <c r="A164" s="166"/>
      <c r="B164" s="166"/>
      <c r="C164" s="166"/>
      <c r="D164" s="166"/>
      <c r="E164" s="166"/>
      <c r="F164" s="166"/>
      <c r="G164" s="166"/>
      <c r="H164" s="166"/>
      <c r="I164" s="166"/>
    </row>
    <row r="165" spans="1:9" x14ac:dyDescent="0.25">
      <c r="A165" s="166"/>
      <c r="B165" s="166"/>
      <c r="C165" s="166"/>
      <c r="D165" s="166"/>
      <c r="E165" s="166"/>
      <c r="F165" s="166"/>
      <c r="G165" s="166"/>
      <c r="H165" s="166"/>
      <c r="I165" s="166"/>
    </row>
    <row r="166" spans="1:9" x14ac:dyDescent="0.25">
      <c r="A166" s="166"/>
      <c r="B166" s="166"/>
      <c r="C166" s="166"/>
      <c r="D166" s="166"/>
      <c r="E166" s="166"/>
      <c r="F166" s="166"/>
      <c r="G166" s="166"/>
      <c r="H166" s="166"/>
      <c r="I166" s="166"/>
    </row>
    <row r="167" spans="1:9" x14ac:dyDescent="0.25">
      <c r="A167" s="166"/>
      <c r="B167" s="166"/>
      <c r="C167" s="166"/>
      <c r="D167" s="166"/>
      <c r="E167" s="166"/>
      <c r="F167" s="166"/>
      <c r="G167" s="166"/>
      <c r="H167" s="166"/>
      <c r="I167" s="166"/>
    </row>
    <row r="168" spans="1:9" x14ac:dyDescent="0.25">
      <c r="A168" s="166"/>
      <c r="B168" s="166"/>
      <c r="C168" s="166"/>
      <c r="D168" s="166"/>
      <c r="E168" s="166"/>
      <c r="F168" s="166"/>
      <c r="G168" s="166"/>
      <c r="H168" s="166"/>
      <c r="I168" s="166"/>
    </row>
    <row r="169" spans="1:9" x14ac:dyDescent="0.25">
      <c r="A169" s="166"/>
      <c r="B169" s="166"/>
      <c r="C169" s="166"/>
      <c r="D169" s="166"/>
      <c r="E169" s="166"/>
      <c r="F169" s="166"/>
      <c r="G169" s="166"/>
      <c r="H169" s="166"/>
      <c r="I169" s="166"/>
    </row>
    <row r="170" spans="1:9" x14ac:dyDescent="0.25">
      <c r="A170" s="166"/>
      <c r="B170" s="166"/>
      <c r="C170" s="166"/>
      <c r="D170" s="166"/>
      <c r="E170" s="166"/>
      <c r="F170" s="166"/>
      <c r="G170" s="166"/>
      <c r="H170" s="166"/>
      <c r="I170" s="166"/>
    </row>
    <row r="171" spans="1:9" x14ac:dyDescent="0.25">
      <c r="A171" s="166"/>
      <c r="B171" s="166"/>
      <c r="C171" s="166"/>
      <c r="D171" s="166"/>
      <c r="E171" s="166"/>
      <c r="F171" s="166"/>
      <c r="G171" s="166"/>
      <c r="H171" s="166"/>
      <c r="I171" s="166"/>
    </row>
    <row r="172" spans="1:9" x14ac:dyDescent="0.25">
      <c r="A172" s="166"/>
      <c r="B172" s="166"/>
      <c r="C172" s="166"/>
      <c r="D172" s="166"/>
      <c r="E172" s="166"/>
      <c r="F172" s="166"/>
      <c r="G172" s="166"/>
      <c r="H172" s="166"/>
      <c r="I172" s="166"/>
    </row>
    <row r="173" spans="1:9" x14ac:dyDescent="0.25">
      <c r="A173" s="166"/>
      <c r="B173" s="166"/>
      <c r="C173" s="166"/>
      <c r="D173" s="166"/>
      <c r="E173" s="166"/>
      <c r="F173" s="166"/>
      <c r="G173" s="166"/>
      <c r="H173" s="166"/>
      <c r="I173" s="166"/>
    </row>
    <row r="174" spans="1:9" x14ac:dyDescent="0.25">
      <c r="A174" s="166"/>
      <c r="B174" s="166"/>
      <c r="C174" s="166"/>
      <c r="D174" s="166"/>
      <c r="E174" s="166"/>
      <c r="F174" s="166"/>
      <c r="G174" s="166"/>
      <c r="H174" s="166"/>
      <c r="I174" s="166"/>
    </row>
    <row r="175" spans="1:9" x14ac:dyDescent="0.25">
      <c r="A175" s="166"/>
      <c r="B175" s="166"/>
      <c r="C175" s="166"/>
      <c r="D175" s="166"/>
      <c r="E175" s="166"/>
      <c r="F175" s="166"/>
      <c r="G175" s="166"/>
      <c r="H175" s="166"/>
      <c r="I175" s="166"/>
    </row>
    <row r="176" spans="1:9" x14ac:dyDescent="0.25">
      <c r="A176" s="166"/>
      <c r="B176" s="166"/>
      <c r="C176" s="166"/>
      <c r="D176" s="166"/>
      <c r="E176" s="166"/>
      <c r="F176" s="166"/>
      <c r="G176" s="166"/>
      <c r="H176" s="166"/>
      <c r="I176" s="166"/>
    </row>
    <row r="177" spans="1:9" x14ac:dyDescent="0.25">
      <c r="A177" s="166"/>
      <c r="B177" s="166"/>
      <c r="C177" s="166"/>
      <c r="D177" s="166"/>
      <c r="E177" s="166"/>
      <c r="F177" s="166"/>
      <c r="G177" s="166"/>
      <c r="H177" s="166"/>
      <c r="I177" s="166"/>
    </row>
    <row r="178" spans="1:9" x14ac:dyDescent="0.25">
      <c r="A178" s="166"/>
      <c r="B178" s="166"/>
      <c r="C178" s="166"/>
      <c r="D178" s="166"/>
      <c r="E178" s="166"/>
      <c r="F178" s="166"/>
      <c r="G178" s="166"/>
      <c r="H178" s="166"/>
      <c r="I178" s="166"/>
    </row>
    <row r="179" spans="1:9" x14ac:dyDescent="0.25">
      <c r="A179" s="166"/>
      <c r="B179" s="166"/>
      <c r="C179" s="166"/>
      <c r="D179" s="166"/>
      <c r="E179" s="166"/>
      <c r="F179" s="166"/>
      <c r="G179" s="166"/>
      <c r="H179" s="166"/>
      <c r="I179" s="166"/>
    </row>
    <row r="180" spans="1:9" x14ac:dyDescent="0.25">
      <c r="A180" s="166"/>
      <c r="B180" s="166"/>
      <c r="C180" s="166"/>
      <c r="D180" s="166"/>
      <c r="E180" s="166"/>
      <c r="F180" s="166"/>
      <c r="G180" s="166"/>
      <c r="H180" s="166"/>
      <c r="I180" s="166"/>
    </row>
    <row r="181" spans="1:9" x14ac:dyDescent="0.25">
      <c r="A181" s="166"/>
      <c r="B181" s="166"/>
      <c r="C181" s="166"/>
      <c r="D181" s="166"/>
      <c r="E181" s="166"/>
      <c r="F181" s="166"/>
      <c r="G181" s="166"/>
      <c r="H181" s="166"/>
      <c r="I181" s="166"/>
    </row>
    <row r="182" spans="1:9" x14ac:dyDescent="0.25">
      <c r="A182" s="166"/>
      <c r="B182" s="166"/>
      <c r="C182" s="166"/>
      <c r="D182" s="166"/>
      <c r="E182" s="166"/>
      <c r="F182" s="166"/>
      <c r="G182" s="166"/>
      <c r="H182" s="166"/>
      <c r="I182" s="166"/>
    </row>
    <row r="183" spans="1:9" x14ac:dyDescent="0.25">
      <c r="A183" s="166"/>
      <c r="B183" s="166"/>
      <c r="C183" s="166"/>
      <c r="D183" s="166"/>
      <c r="E183" s="166"/>
      <c r="F183" s="166"/>
      <c r="G183" s="166"/>
      <c r="H183" s="166"/>
      <c r="I183" s="166"/>
    </row>
    <row r="184" spans="1:9" x14ac:dyDescent="0.25">
      <c r="A184" s="166"/>
      <c r="B184" s="166"/>
      <c r="C184" s="166"/>
      <c r="D184" s="166"/>
      <c r="E184" s="166"/>
      <c r="F184" s="166"/>
      <c r="G184" s="166"/>
      <c r="H184" s="166"/>
      <c r="I184" s="166"/>
    </row>
    <row r="185" spans="1:9" x14ac:dyDescent="0.25">
      <c r="A185" s="166"/>
      <c r="B185" s="166"/>
      <c r="C185" s="166"/>
      <c r="D185" s="166"/>
      <c r="E185" s="166"/>
      <c r="F185" s="166"/>
      <c r="G185" s="166"/>
      <c r="H185" s="166"/>
      <c r="I185" s="166"/>
    </row>
    <row r="186" spans="1:9" x14ac:dyDescent="0.25">
      <c r="A186" s="166"/>
      <c r="B186" s="166"/>
      <c r="C186" s="166"/>
      <c r="D186" s="166"/>
      <c r="E186" s="166"/>
      <c r="F186" s="166"/>
      <c r="G186" s="166"/>
      <c r="H186" s="166"/>
      <c r="I186" s="166"/>
    </row>
    <row r="187" spans="1:9" x14ac:dyDescent="0.25">
      <c r="A187" s="166"/>
      <c r="B187" s="166"/>
      <c r="C187" s="166"/>
      <c r="D187" s="166"/>
      <c r="E187" s="166"/>
      <c r="F187" s="166"/>
      <c r="G187" s="166"/>
      <c r="H187" s="166"/>
      <c r="I187" s="166"/>
    </row>
    <row r="188" spans="1:9" x14ac:dyDescent="0.25">
      <c r="A188" s="166"/>
      <c r="B188" s="166"/>
      <c r="C188" s="166"/>
      <c r="D188" s="166"/>
      <c r="E188" s="166"/>
      <c r="F188" s="166"/>
      <c r="G188" s="166"/>
      <c r="H188" s="166"/>
      <c r="I188" s="166"/>
    </row>
    <row r="189" spans="1:9" x14ac:dyDescent="0.25">
      <c r="A189" s="166"/>
      <c r="B189" s="166"/>
      <c r="C189" s="166"/>
      <c r="D189" s="166"/>
      <c r="E189" s="166"/>
      <c r="F189" s="166"/>
      <c r="G189" s="166"/>
      <c r="H189" s="166"/>
      <c r="I189" s="166"/>
    </row>
    <row r="190" spans="1:9" x14ac:dyDescent="0.25">
      <c r="A190" s="166"/>
      <c r="B190" s="166"/>
      <c r="C190" s="166"/>
      <c r="D190" s="166"/>
      <c r="E190" s="166"/>
      <c r="F190" s="166"/>
      <c r="G190" s="166"/>
      <c r="H190" s="166"/>
      <c r="I190" s="166"/>
    </row>
    <row r="191" spans="1:9" x14ac:dyDescent="0.25">
      <c r="A191" s="166"/>
      <c r="B191" s="166"/>
      <c r="C191" s="166"/>
      <c r="D191" s="166"/>
      <c r="E191" s="166"/>
      <c r="F191" s="166"/>
      <c r="G191" s="166"/>
      <c r="H191" s="166"/>
      <c r="I191" s="166"/>
    </row>
    <row r="192" spans="1:9" x14ac:dyDescent="0.25">
      <c r="A192" s="166"/>
      <c r="B192" s="166"/>
      <c r="C192" s="166"/>
      <c r="D192" s="166"/>
      <c r="E192" s="166"/>
      <c r="F192" s="166"/>
      <c r="G192" s="166"/>
      <c r="H192" s="166"/>
      <c r="I192" s="166"/>
    </row>
    <row r="193" spans="1:9" x14ac:dyDescent="0.25">
      <c r="A193" s="166"/>
      <c r="B193" s="166"/>
      <c r="C193" s="166"/>
      <c r="D193" s="166"/>
      <c r="E193" s="166"/>
      <c r="F193" s="166"/>
      <c r="G193" s="166"/>
      <c r="H193" s="166"/>
      <c r="I193" s="166"/>
    </row>
    <row r="194" spans="1:9" x14ac:dyDescent="0.25">
      <c r="A194" s="166"/>
      <c r="B194" s="166"/>
      <c r="C194" s="166"/>
      <c r="D194" s="166"/>
      <c r="E194" s="166"/>
      <c r="F194" s="166"/>
      <c r="G194" s="166"/>
      <c r="H194" s="166"/>
      <c r="I194" s="166"/>
    </row>
    <row r="195" spans="1:9" x14ac:dyDescent="0.25">
      <c r="A195" s="166"/>
      <c r="B195" s="166"/>
      <c r="C195" s="166"/>
      <c r="D195" s="166"/>
      <c r="E195" s="166"/>
      <c r="F195" s="166"/>
      <c r="G195" s="166"/>
      <c r="H195" s="166"/>
      <c r="I195" s="166"/>
    </row>
    <row r="196" spans="1:9" x14ac:dyDescent="0.25">
      <c r="A196" s="166"/>
      <c r="B196" s="166"/>
      <c r="C196" s="166"/>
      <c r="D196" s="166"/>
      <c r="E196" s="166"/>
      <c r="F196" s="166"/>
      <c r="G196" s="166"/>
      <c r="H196" s="166"/>
      <c r="I196" s="166"/>
    </row>
    <row r="197" spans="1:9" x14ac:dyDescent="0.25">
      <c r="A197" s="166"/>
      <c r="B197" s="166"/>
      <c r="C197" s="166"/>
      <c r="D197" s="166"/>
      <c r="E197" s="166"/>
      <c r="F197" s="166"/>
      <c r="G197" s="166"/>
      <c r="H197" s="166"/>
      <c r="I197" s="166"/>
    </row>
    <row r="198" spans="1:9" x14ac:dyDescent="0.25">
      <c r="A198" s="166"/>
      <c r="B198" s="166"/>
      <c r="C198" s="166"/>
      <c r="D198" s="166"/>
      <c r="E198" s="166"/>
      <c r="F198" s="166"/>
      <c r="G198" s="166"/>
      <c r="H198" s="166"/>
      <c r="I198" s="166"/>
    </row>
    <row r="199" spans="1:9" x14ac:dyDescent="0.25">
      <c r="A199" s="166"/>
      <c r="B199" s="166"/>
      <c r="C199" s="166"/>
      <c r="D199" s="166"/>
      <c r="E199" s="166"/>
      <c r="F199" s="166"/>
      <c r="G199" s="166"/>
      <c r="H199" s="166"/>
      <c r="I199" s="166"/>
    </row>
    <row r="200" spans="1:9" x14ac:dyDescent="0.25">
      <c r="A200" s="166"/>
      <c r="B200" s="166"/>
      <c r="C200" s="166"/>
      <c r="D200" s="166"/>
      <c r="E200" s="166"/>
      <c r="F200" s="166"/>
      <c r="G200" s="166"/>
      <c r="H200" s="166"/>
      <c r="I200" s="166"/>
    </row>
    <row r="201" spans="1:9" x14ac:dyDescent="0.25">
      <c r="A201" s="166"/>
      <c r="B201" s="166"/>
      <c r="C201" s="166"/>
      <c r="D201" s="166"/>
      <c r="E201" s="166"/>
      <c r="F201" s="166"/>
      <c r="G201" s="166"/>
      <c r="H201" s="166"/>
      <c r="I201" s="166"/>
    </row>
    <row r="202" spans="1:9" x14ac:dyDescent="0.25">
      <c r="A202" s="166"/>
      <c r="B202" s="166"/>
      <c r="C202" s="166"/>
      <c r="D202" s="166"/>
      <c r="E202" s="166"/>
      <c r="F202" s="166"/>
      <c r="G202" s="166"/>
      <c r="H202" s="166"/>
      <c r="I202" s="166"/>
    </row>
    <row r="203" spans="1:9" x14ac:dyDescent="0.25">
      <c r="A203" s="166"/>
      <c r="B203" s="166"/>
      <c r="C203" s="166"/>
      <c r="D203" s="166"/>
      <c r="E203" s="166"/>
      <c r="F203" s="166"/>
      <c r="G203" s="166"/>
      <c r="H203" s="166"/>
      <c r="I203" s="166"/>
    </row>
    <row r="204" spans="1:9" x14ac:dyDescent="0.25">
      <c r="A204" s="166"/>
      <c r="B204" s="166"/>
      <c r="C204" s="166"/>
      <c r="D204" s="166"/>
      <c r="E204" s="166"/>
      <c r="F204" s="166"/>
      <c r="G204" s="166"/>
      <c r="H204" s="166"/>
      <c r="I204" s="166"/>
    </row>
    <row r="205" spans="1:9" x14ac:dyDescent="0.25">
      <c r="A205" s="166"/>
      <c r="B205" s="166"/>
      <c r="C205" s="166"/>
      <c r="D205" s="166"/>
      <c r="E205" s="166"/>
      <c r="F205" s="166"/>
      <c r="G205" s="166"/>
      <c r="H205" s="166"/>
      <c r="I205" s="166"/>
    </row>
    <row r="206" spans="1:9" x14ac:dyDescent="0.25">
      <c r="A206" s="166"/>
      <c r="B206" s="166"/>
      <c r="C206" s="166"/>
      <c r="D206" s="166"/>
      <c r="E206" s="166"/>
      <c r="F206" s="166"/>
      <c r="G206" s="166"/>
      <c r="H206" s="166"/>
      <c r="I206" s="166"/>
    </row>
    <row r="207" spans="1:9" x14ac:dyDescent="0.25">
      <c r="A207" s="166"/>
      <c r="B207" s="166"/>
      <c r="C207" s="166"/>
      <c r="D207" s="166"/>
      <c r="E207" s="166"/>
      <c r="F207" s="166"/>
      <c r="G207" s="166"/>
      <c r="H207" s="166"/>
      <c r="I207" s="166"/>
    </row>
    <row r="208" spans="1:9" x14ac:dyDescent="0.25">
      <c r="A208" s="166"/>
      <c r="B208" s="166"/>
      <c r="C208" s="166"/>
      <c r="D208" s="166"/>
      <c r="E208" s="166"/>
      <c r="F208" s="166"/>
      <c r="G208" s="166"/>
      <c r="H208" s="166"/>
      <c r="I208" s="166"/>
    </row>
    <row r="209" spans="1:9" x14ac:dyDescent="0.25">
      <c r="A209" s="166"/>
      <c r="B209" s="166"/>
      <c r="C209" s="166"/>
      <c r="D209" s="166"/>
      <c r="E209" s="166"/>
      <c r="F209" s="166"/>
      <c r="G209" s="166"/>
      <c r="H209" s="166"/>
      <c r="I209" s="166"/>
    </row>
    <row r="210" spans="1:9" x14ac:dyDescent="0.25">
      <c r="A210" s="166"/>
      <c r="B210" s="166"/>
      <c r="C210" s="166"/>
      <c r="D210" s="166"/>
      <c r="E210" s="166"/>
      <c r="F210" s="166"/>
      <c r="G210" s="166"/>
      <c r="H210" s="166"/>
      <c r="I210" s="166"/>
    </row>
    <row r="211" spans="1:9" x14ac:dyDescent="0.25">
      <c r="A211" s="166"/>
      <c r="B211" s="166"/>
      <c r="C211" s="166"/>
      <c r="D211" s="166"/>
      <c r="E211" s="166"/>
      <c r="F211" s="166"/>
      <c r="G211" s="166"/>
      <c r="H211" s="166"/>
      <c r="I211" s="166"/>
    </row>
    <row r="212" spans="1:9" x14ac:dyDescent="0.25">
      <c r="A212" s="166"/>
      <c r="B212" s="166"/>
      <c r="C212" s="166"/>
      <c r="D212" s="166"/>
      <c r="E212" s="166"/>
      <c r="F212" s="166"/>
      <c r="G212" s="166"/>
      <c r="H212" s="166"/>
      <c r="I212" s="166"/>
    </row>
    <row r="213" spans="1:9" x14ac:dyDescent="0.25">
      <c r="A213" s="166"/>
      <c r="B213" s="166"/>
      <c r="C213" s="166"/>
      <c r="D213" s="166"/>
      <c r="E213" s="166"/>
      <c r="F213" s="166"/>
      <c r="G213" s="166"/>
      <c r="H213" s="166"/>
      <c r="I213" s="166"/>
    </row>
    <row r="214" spans="1:9" x14ac:dyDescent="0.25">
      <c r="A214" s="166"/>
      <c r="B214" s="166"/>
      <c r="C214" s="166"/>
      <c r="D214" s="166"/>
      <c r="E214" s="166"/>
      <c r="F214" s="166"/>
      <c r="G214" s="166"/>
      <c r="H214" s="166"/>
      <c r="I214" s="166"/>
    </row>
    <row r="215" spans="1:9" x14ac:dyDescent="0.25">
      <c r="A215" s="166"/>
      <c r="B215" s="166"/>
      <c r="C215" s="166"/>
      <c r="D215" s="166"/>
      <c r="E215" s="166"/>
      <c r="F215" s="166"/>
      <c r="G215" s="166"/>
      <c r="H215" s="166"/>
      <c r="I215" s="166"/>
    </row>
    <row r="216" spans="1:9" x14ac:dyDescent="0.25">
      <c r="A216" s="166"/>
      <c r="B216" s="166"/>
      <c r="C216" s="166"/>
      <c r="D216" s="166"/>
      <c r="E216" s="166"/>
      <c r="F216" s="166"/>
      <c r="G216" s="166"/>
      <c r="H216" s="166"/>
      <c r="I216" s="166"/>
    </row>
    <row r="217" spans="1:9" x14ac:dyDescent="0.25">
      <c r="A217" s="166"/>
      <c r="B217" s="166"/>
      <c r="C217" s="166"/>
      <c r="D217" s="166"/>
      <c r="E217" s="166"/>
      <c r="F217" s="166"/>
      <c r="G217" s="166"/>
      <c r="H217" s="166"/>
      <c r="I217" s="166"/>
    </row>
    <row r="218" spans="1:9" x14ac:dyDescent="0.25">
      <c r="A218" s="166"/>
      <c r="B218" s="166"/>
      <c r="C218" s="166"/>
      <c r="D218" s="166"/>
      <c r="E218" s="166"/>
      <c r="F218" s="166"/>
      <c r="G218" s="166"/>
      <c r="H218" s="166"/>
      <c r="I218" s="166"/>
    </row>
    <row r="219" spans="1:9" x14ac:dyDescent="0.25">
      <c r="A219" s="166"/>
      <c r="B219" s="166"/>
      <c r="C219" s="166"/>
      <c r="D219" s="166"/>
      <c r="E219" s="166"/>
      <c r="F219" s="166"/>
      <c r="G219" s="166"/>
      <c r="H219" s="166"/>
      <c r="I219" s="166"/>
    </row>
    <row r="220" spans="1:9" x14ac:dyDescent="0.25">
      <c r="A220" s="166"/>
      <c r="B220" s="166"/>
      <c r="C220" s="166"/>
      <c r="D220" s="166"/>
      <c r="E220" s="166"/>
      <c r="F220" s="166"/>
      <c r="G220" s="166"/>
      <c r="H220" s="166"/>
      <c r="I220" s="166"/>
    </row>
    <row r="221" spans="1:9" x14ac:dyDescent="0.25">
      <c r="A221" s="166"/>
      <c r="B221" s="166"/>
      <c r="C221" s="166"/>
      <c r="D221" s="166"/>
      <c r="E221" s="166"/>
      <c r="F221" s="166"/>
      <c r="G221" s="166"/>
      <c r="H221" s="166"/>
      <c r="I221" s="166"/>
    </row>
    <row r="222" spans="1:9" x14ac:dyDescent="0.25">
      <c r="A222" s="166"/>
      <c r="B222" s="166"/>
      <c r="C222" s="166"/>
      <c r="D222" s="166"/>
      <c r="E222" s="166"/>
      <c r="F222" s="166"/>
      <c r="G222" s="166"/>
      <c r="H222" s="166"/>
      <c r="I222" s="166"/>
    </row>
    <row r="223" spans="1:9" x14ac:dyDescent="0.25">
      <c r="A223" s="166"/>
      <c r="B223" s="166"/>
      <c r="C223" s="166"/>
      <c r="D223" s="166"/>
      <c r="E223" s="166"/>
      <c r="F223" s="166"/>
      <c r="G223" s="166"/>
      <c r="H223" s="166"/>
      <c r="I223" s="166"/>
    </row>
    <row r="224" spans="1:9" x14ac:dyDescent="0.25">
      <c r="A224" s="166"/>
      <c r="B224" s="166"/>
      <c r="C224" s="166"/>
      <c r="D224" s="166"/>
      <c r="E224" s="166"/>
      <c r="F224" s="166"/>
      <c r="G224" s="166"/>
      <c r="H224" s="166"/>
      <c r="I224" s="166"/>
    </row>
    <row r="225" spans="1:9" x14ac:dyDescent="0.25">
      <c r="A225" s="166"/>
      <c r="B225" s="166"/>
      <c r="C225" s="166"/>
      <c r="D225" s="166"/>
      <c r="E225" s="166"/>
      <c r="F225" s="166"/>
      <c r="G225" s="166"/>
      <c r="H225" s="166"/>
      <c r="I225" s="166"/>
    </row>
    <row r="226" spans="1:9" x14ac:dyDescent="0.25">
      <c r="A226" s="166"/>
      <c r="B226" s="166"/>
      <c r="C226" s="166"/>
      <c r="D226" s="166"/>
      <c r="E226" s="166"/>
      <c r="F226" s="166"/>
      <c r="G226" s="166"/>
      <c r="H226" s="166"/>
      <c r="I226" s="166"/>
    </row>
    <row r="227" spans="1:9" x14ac:dyDescent="0.25">
      <c r="A227" s="166"/>
      <c r="B227" s="166"/>
      <c r="C227" s="166"/>
      <c r="D227" s="166"/>
      <c r="E227" s="166"/>
      <c r="F227" s="166"/>
      <c r="G227" s="166"/>
      <c r="H227" s="166"/>
      <c r="I227" s="166"/>
    </row>
    <row r="228" spans="1:9" x14ac:dyDescent="0.25">
      <c r="A228" s="166"/>
      <c r="B228" s="166"/>
      <c r="C228" s="166"/>
      <c r="D228" s="166"/>
      <c r="E228" s="166"/>
      <c r="F228" s="166"/>
      <c r="G228" s="166"/>
      <c r="H228" s="166"/>
      <c r="I228" s="166"/>
    </row>
    <row r="229" spans="1:9" x14ac:dyDescent="0.25">
      <c r="A229" s="166"/>
      <c r="B229" s="166"/>
      <c r="C229" s="166"/>
      <c r="D229" s="166"/>
      <c r="E229" s="166"/>
      <c r="F229" s="166"/>
      <c r="G229" s="166"/>
      <c r="H229" s="166"/>
      <c r="I229" s="166"/>
    </row>
    <row r="230" spans="1:9" x14ac:dyDescent="0.25">
      <c r="A230" s="166"/>
      <c r="B230" s="166"/>
      <c r="C230" s="166"/>
      <c r="D230" s="166"/>
      <c r="E230" s="166"/>
      <c r="F230" s="166"/>
      <c r="G230" s="166"/>
      <c r="H230" s="166"/>
      <c r="I230" s="166"/>
    </row>
    <row r="231" spans="1:9" x14ac:dyDescent="0.25">
      <c r="A231" s="166"/>
      <c r="B231" s="166"/>
      <c r="C231" s="166"/>
      <c r="D231" s="166"/>
      <c r="E231" s="166"/>
      <c r="F231" s="166"/>
      <c r="G231" s="166"/>
      <c r="H231" s="166"/>
      <c r="I231" s="166"/>
    </row>
    <row r="232" spans="1:9" x14ac:dyDescent="0.25">
      <c r="A232" s="166"/>
      <c r="B232" s="166"/>
      <c r="C232" s="166"/>
      <c r="D232" s="166"/>
      <c r="E232" s="166"/>
      <c r="F232" s="166"/>
      <c r="G232" s="166"/>
      <c r="H232" s="166"/>
      <c r="I232" s="166"/>
    </row>
    <row r="233" spans="1:9" x14ac:dyDescent="0.25">
      <c r="A233" s="166"/>
      <c r="B233" s="166"/>
      <c r="C233" s="166"/>
      <c r="D233" s="166"/>
      <c r="E233" s="166"/>
      <c r="F233" s="166"/>
      <c r="G233" s="166"/>
      <c r="H233" s="166"/>
      <c r="I233" s="166"/>
    </row>
    <row r="234" spans="1:9" x14ac:dyDescent="0.25">
      <c r="A234" s="166"/>
      <c r="B234" s="166"/>
      <c r="C234" s="166"/>
      <c r="D234" s="166"/>
      <c r="E234" s="166"/>
      <c r="F234" s="166"/>
      <c r="G234" s="166"/>
      <c r="H234" s="166"/>
      <c r="I234" s="166"/>
    </row>
    <row r="235" spans="1:9" x14ac:dyDescent="0.25">
      <c r="A235" s="166"/>
      <c r="B235" s="166"/>
      <c r="C235" s="166"/>
      <c r="D235" s="166"/>
      <c r="E235" s="166"/>
      <c r="F235" s="166"/>
      <c r="G235" s="166"/>
      <c r="H235" s="166"/>
      <c r="I235" s="166"/>
    </row>
    <row r="236" spans="1:9" x14ac:dyDescent="0.25">
      <c r="A236" s="166"/>
      <c r="B236" s="166"/>
      <c r="C236" s="166"/>
      <c r="D236" s="166"/>
      <c r="E236" s="166"/>
      <c r="F236" s="166"/>
      <c r="G236" s="166"/>
      <c r="H236" s="166"/>
      <c r="I236" s="166"/>
    </row>
    <row r="237" spans="1:9" x14ac:dyDescent="0.25">
      <c r="A237" s="166"/>
      <c r="B237" s="166"/>
      <c r="C237" s="166"/>
      <c r="D237" s="166"/>
      <c r="E237" s="166"/>
      <c r="F237" s="166"/>
      <c r="G237" s="166"/>
      <c r="H237" s="166"/>
      <c r="I237" s="166"/>
    </row>
    <row r="238" spans="1:9" x14ac:dyDescent="0.25">
      <c r="A238" s="166"/>
      <c r="B238" s="166"/>
      <c r="C238" s="166"/>
      <c r="D238" s="166"/>
      <c r="E238" s="166"/>
      <c r="F238" s="166"/>
      <c r="G238" s="166"/>
      <c r="H238" s="166"/>
      <c r="I238" s="166"/>
    </row>
    <row r="239" spans="1:9" x14ac:dyDescent="0.25">
      <c r="A239" s="166"/>
      <c r="B239" s="166"/>
      <c r="C239" s="166"/>
      <c r="D239" s="166"/>
      <c r="E239" s="166"/>
      <c r="F239" s="166"/>
      <c r="G239" s="166"/>
      <c r="H239" s="166"/>
      <c r="I239" s="166"/>
    </row>
    <row r="240" spans="1:9" x14ac:dyDescent="0.25">
      <c r="A240" s="166"/>
      <c r="B240" s="166"/>
      <c r="C240" s="166"/>
      <c r="D240" s="166"/>
      <c r="E240" s="166"/>
      <c r="F240" s="166"/>
      <c r="G240" s="166"/>
      <c r="H240" s="166"/>
      <c r="I240" s="166"/>
    </row>
    <row r="241" spans="1:9" x14ac:dyDescent="0.25">
      <c r="A241" s="166"/>
      <c r="B241" s="166"/>
      <c r="C241" s="166"/>
      <c r="D241" s="166"/>
      <c r="E241" s="166"/>
      <c r="F241" s="166"/>
      <c r="G241" s="166"/>
      <c r="H241" s="166"/>
      <c r="I241" s="166"/>
    </row>
  </sheetData>
  <pageMargins left="0.7" right="0.7" top="0.75" bottom="0.75" header="0.3" footer="0.3"/>
  <pageSetup paperSize="9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5" workbookViewId="0">
      <selection activeCell="G56" sqref="G56"/>
    </sheetView>
  </sheetViews>
  <sheetFormatPr defaultRowHeight="15" x14ac:dyDescent="0.25"/>
  <cols>
    <col min="1" max="1" width="5" customWidth="1"/>
    <col min="2" max="2" width="35.7109375" customWidth="1"/>
    <col min="3" max="3" width="13.42578125" customWidth="1"/>
    <col min="7" max="7" width="10" customWidth="1"/>
    <col min="8" max="8" width="14.5703125" customWidth="1"/>
    <col min="9" max="9" width="18" customWidth="1"/>
  </cols>
  <sheetData>
    <row r="1" spans="1:9" x14ac:dyDescent="0.25">
      <c r="A1" s="1" t="s">
        <v>982</v>
      </c>
      <c r="B1" s="1"/>
      <c r="C1" s="1"/>
    </row>
    <row r="2" spans="1:9" x14ac:dyDescent="0.25">
      <c r="A2" s="1" t="s">
        <v>983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984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985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986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987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988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989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990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991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992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993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229</v>
      </c>
    </row>
    <row r="15" spans="1:9" x14ac:dyDescent="0.25">
      <c r="A15" s="6"/>
      <c r="B15" s="6"/>
      <c r="C15" s="6" t="s">
        <v>994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27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4" t="s">
        <v>344</v>
      </c>
      <c r="B18" s="11" t="s">
        <v>35</v>
      </c>
      <c r="C18" s="161">
        <v>8.5500000000000007</v>
      </c>
      <c r="D18" s="16">
        <v>-7060.76</v>
      </c>
      <c r="E18" s="16">
        <v>27753.599999999999</v>
      </c>
      <c r="F18" s="16">
        <v>21415.360000000001</v>
      </c>
      <c r="G18" s="15">
        <f t="shared" ref="G18:G24" si="0">E18</f>
        <v>27753.599999999999</v>
      </c>
      <c r="H18" s="15">
        <f>D18+F18-G18</f>
        <v>-13398.999999999998</v>
      </c>
      <c r="I18" s="16">
        <f>H18:H19</f>
        <v>-13398.999999999998</v>
      </c>
    </row>
    <row r="19" spans="1:9" x14ac:dyDescent="0.25">
      <c r="A19" s="66" t="s">
        <v>138</v>
      </c>
      <c r="B19" s="17" t="s">
        <v>37</v>
      </c>
      <c r="C19" s="162">
        <v>3.08</v>
      </c>
      <c r="D19" s="26"/>
      <c r="E19" s="21">
        <f>E18*36%</f>
        <v>9991.2959999999985</v>
      </c>
      <c r="F19" s="21">
        <f>F18*36%</f>
        <v>7709.5295999999998</v>
      </c>
      <c r="G19" s="19">
        <f>E19</f>
        <v>9991.2959999999985</v>
      </c>
      <c r="H19" s="44"/>
      <c r="I19" s="26"/>
    </row>
    <row r="20" spans="1:9" x14ac:dyDescent="0.25">
      <c r="A20" s="22" t="s">
        <v>38</v>
      </c>
      <c r="B20" s="5" t="s">
        <v>39</v>
      </c>
      <c r="C20" s="24">
        <v>1.51</v>
      </c>
      <c r="D20" s="33"/>
      <c r="E20" s="33">
        <f>E18*17.7%</f>
        <v>4912.3871999999992</v>
      </c>
      <c r="F20" s="33">
        <f>F18*17.7%</f>
        <v>3790.51872</v>
      </c>
      <c r="G20" s="25">
        <f t="shared" si="0"/>
        <v>4912.3871999999992</v>
      </c>
      <c r="H20" s="25"/>
      <c r="I20" s="33"/>
    </row>
    <row r="21" spans="1:9" x14ac:dyDescent="0.25">
      <c r="A21" s="22" t="s">
        <v>40</v>
      </c>
      <c r="B21" s="5" t="s">
        <v>41</v>
      </c>
      <c r="C21" s="24">
        <v>1.36</v>
      </c>
      <c r="D21" s="30"/>
      <c r="E21" s="30">
        <f>E18*16%</f>
        <v>4440.576</v>
      </c>
      <c r="F21" s="30">
        <f>F18*16%</f>
        <v>3426.4576000000002</v>
      </c>
      <c r="G21" s="28">
        <f t="shared" si="0"/>
        <v>4440.576</v>
      </c>
      <c r="H21" s="29"/>
      <c r="I21" s="30"/>
    </row>
    <row r="22" spans="1:9" x14ac:dyDescent="0.25">
      <c r="A22" s="22" t="s">
        <v>42</v>
      </c>
      <c r="B22" s="5" t="s">
        <v>43</v>
      </c>
      <c r="C22" s="24">
        <v>2.6</v>
      </c>
      <c r="D22" s="30"/>
      <c r="E22" s="30">
        <f>E18*30.3/100</f>
        <v>8409.3407999999999</v>
      </c>
      <c r="F22" s="30">
        <f>F18*30.3%</f>
        <v>6488.8540800000001</v>
      </c>
      <c r="G22" s="29">
        <f>E22</f>
        <v>8409.3407999999999</v>
      </c>
      <c r="H22" s="30"/>
      <c r="I22" s="30"/>
    </row>
    <row r="23" spans="1:9" x14ac:dyDescent="0.25">
      <c r="A23" s="22" t="s">
        <v>44</v>
      </c>
      <c r="B23" s="5" t="s">
        <v>995</v>
      </c>
      <c r="C23" s="163" t="s">
        <v>48</v>
      </c>
      <c r="D23" s="30">
        <v>-1074.6400000000001</v>
      </c>
      <c r="E23" s="30">
        <v>4796.1000000000004</v>
      </c>
      <c r="F23" s="30">
        <v>3732.1</v>
      </c>
      <c r="G23" s="28">
        <f>E23</f>
        <v>4796.1000000000004</v>
      </c>
      <c r="H23" s="29">
        <f>D23+F23-E23</f>
        <v>-2138.6400000000003</v>
      </c>
      <c r="I23" s="38">
        <f>H23</f>
        <v>-2138.6400000000003</v>
      </c>
    </row>
    <row r="24" spans="1:9" x14ac:dyDescent="0.25">
      <c r="A24" s="10" t="s">
        <v>49</v>
      </c>
      <c r="B24" s="10" t="s">
        <v>50</v>
      </c>
      <c r="C24" s="10">
        <v>4.5999999999999996</v>
      </c>
      <c r="D24" s="38">
        <v>-5368.25</v>
      </c>
      <c r="E24" s="10">
        <v>14931.6</v>
      </c>
      <c r="F24" s="10">
        <v>11667.58</v>
      </c>
      <c r="G24" s="35">
        <f t="shared" si="0"/>
        <v>14931.6</v>
      </c>
      <c r="H24" s="37">
        <f>D24+F24-G24</f>
        <v>-8632.27</v>
      </c>
      <c r="I24" s="38">
        <f>H24</f>
        <v>-8632.27</v>
      </c>
    </row>
    <row r="25" spans="1:9" x14ac:dyDescent="0.25">
      <c r="A25" s="11" t="s">
        <v>51</v>
      </c>
      <c r="B25" s="11" t="s">
        <v>310</v>
      </c>
      <c r="C25" s="14">
        <v>1.65</v>
      </c>
      <c r="D25" s="15">
        <v>36113.79</v>
      </c>
      <c r="E25" s="11">
        <v>5356.2</v>
      </c>
      <c r="F25" s="11">
        <f>F26+F27+F28</f>
        <v>9551.2000000000007</v>
      </c>
      <c r="G25" s="11">
        <f>G26</f>
        <v>0</v>
      </c>
      <c r="H25" s="15">
        <f>D25+F25-G25</f>
        <v>45664.990000000005</v>
      </c>
      <c r="I25" s="16"/>
    </row>
    <row r="26" spans="1:9" x14ac:dyDescent="0.25">
      <c r="A26" s="39"/>
      <c r="B26" s="6" t="s">
        <v>53</v>
      </c>
      <c r="C26" s="4"/>
      <c r="D26" s="40"/>
      <c r="E26" s="39">
        <v>0</v>
      </c>
      <c r="F26" s="39">
        <v>4185.2700000000004</v>
      </c>
      <c r="G26" s="39">
        <f>I49</f>
        <v>0</v>
      </c>
      <c r="H26" s="40"/>
      <c r="I26" s="41"/>
    </row>
    <row r="27" spans="1:9" x14ac:dyDescent="0.25">
      <c r="A27" s="10"/>
      <c r="B27" s="8" t="s">
        <v>54</v>
      </c>
      <c r="C27" s="35"/>
      <c r="D27" s="37"/>
      <c r="E27" s="10"/>
      <c r="F27" s="10"/>
      <c r="G27" s="10"/>
      <c r="H27" s="37"/>
      <c r="I27" s="38"/>
    </row>
    <row r="28" spans="1:9" x14ac:dyDescent="0.25">
      <c r="A28" s="11"/>
      <c r="B28" s="8" t="s">
        <v>367</v>
      </c>
      <c r="C28" s="35"/>
      <c r="D28" s="37"/>
      <c r="E28" s="10"/>
      <c r="F28" s="10">
        <v>5365.93</v>
      </c>
      <c r="G28" s="10"/>
      <c r="H28" s="37"/>
      <c r="I28" s="38"/>
    </row>
    <row r="29" spans="1:9" x14ac:dyDescent="0.25">
      <c r="A29" s="11" t="s">
        <v>56</v>
      </c>
      <c r="B29" s="11" t="s">
        <v>895</v>
      </c>
      <c r="C29" s="35">
        <v>0</v>
      </c>
      <c r="D29" s="36">
        <v>5365.93</v>
      </c>
      <c r="E29" s="10">
        <v>0</v>
      </c>
      <c r="F29" s="10">
        <f>-F30</f>
        <v>-5365.93</v>
      </c>
      <c r="G29" s="10">
        <f>G30</f>
        <v>0</v>
      </c>
      <c r="H29" s="36">
        <f>D29+F29-G29</f>
        <v>0</v>
      </c>
      <c r="I29" s="38"/>
    </row>
    <row r="30" spans="1:9" x14ac:dyDescent="0.25">
      <c r="A30" s="8"/>
      <c r="B30" s="8" t="s">
        <v>58</v>
      </c>
      <c r="C30" s="9">
        <v>0</v>
      </c>
      <c r="D30" s="7"/>
      <c r="E30" s="8">
        <v>0</v>
      </c>
      <c r="F30" s="8">
        <v>5365.93</v>
      </c>
      <c r="G30" s="8">
        <f>I52</f>
        <v>0</v>
      </c>
      <c r="H30" s="7"/>
      <c r="I30" s="30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19"/>
    </row>
    <row r="32" spans="1:9" x14ac:dyDescent="0.25">
      <c r="A32" s="1" t="s">
        <v>996</v>
      </c>
      <c r="B32" s="2"/>
      <c r="C32" s="2"/>
      <c r="D32" s="43" t="s">
        <v>72</v>
      </c>
      <c r="E32" s="43"/>
      <c r="F32" s="43"/>
      <c r="G32" s="43"/>
      <c r="H32" s="43"/>
      <c r="I32" s="19"/>
    </row>
    <row r="33" spans="1:9" x14ac:dyDescent="0.25">
      <c r="A33" s="1" t="s">
        <v>997</v>
      </c>
      <c r="B33" s="1"/>
      <c r="H33" s="43"/>
      <c r="I33" s="43"/>
    </row>
    <row r="34" spans="1:9" x14ac:dyDescent="0.25">
      <c r="A34" s="4" t="s">
        <v>70</v>
      </c>
      <c r="D34" s="43"/>
    </row>
    <row r="35" spans="1:9" x14ac:dyDescent="0.25">
      <c r="A35" s="1" t="s">
        <v>71</v>
      </c>
      <c r="B35" s="4"/>
      <c r="C35" s="4"/>
      <c r="D35" s="50"/>
      <c r="E35" s="4"/>
      <c r="F35" s="4"/>
      <c r="G35" s="4"/>
      <c r="H35" s="4"/>
      <c r="I35" s="4"/>
    </row>
    <row r="36" spans="1:9" x14ac:dyDescent="0.25">
      <c r="A36" s="5" t="s">
        <v>72</v>
      </c>
      <c r="B36" s="159" t="s">
        <v>73</v>
      </c>
      <c r="C36" s="5" t="s">
        <v>74</v>
      </c>
      <c r="D36" s="33" t="s">
        <v>15</v>
      </c>
      <c r="E36" s="5" t="s">
        <v>998</v>
      </c>
      <c r="F36" s="54" t="s">
        <v>77</v>
      </c>
      <c r="G36" s="46" t="s">
        <v>78</v>
      </c>
      <c r="H36" s="33" t="s">
        <v>15</v>
      </c>
      <c r="I36" s="47" t="s">
        <v>19</v>
      </c>
    </row>
    <row r="37" spans="1:9" x14ac:dyDescent="0.25">
      <c r="A37" s="6"/>
      <c r="B37" s="4" t="s">
        <v>80</v>
      </c>
      <c r="C37" s="6" t="s">
        <v>81</v>
      </c>
      <c r="D37" s="26" t="s">
        <v>25</v>
      </c>
      <c r="E37" s="6" t="s">
        <v>88</v>
      </c>
      <c r="F37" s="43" t="s">
        <v>84</v>
      </c>
      <c r="G37" s="49" t="s">
        <v>85</v>
      </c>
      <c r="H37" s="26" t="s">
        <v>25</v>
      </c>
      <c r="I37" s="56" t="s">
        <v>87</v>
      </c>
    </row>
    <row r="38" spans="1:9" x14ac:dyDescent="0.25">
      <c r="A38" s="6"/>
      <c r="B38" s="43"/>
      <c r="C38" s="6"/>
      <c r="D38" s="26" t="s">
        <v>67</v>
      </c>
      <c r="E38" s="6"/>
      <c r="F38" s="43" t="s">
        <v>88</v>
      </c>
      <c r="G38" s="49" t="s">
        <v>89</v>
      </c>
      <c r="H38" s="26" t="s">
        <v>30</v>
      </c>
      <c r="I38" s="56" t="s">
        <v>221</v>
      </c>
    </row>
    <row r="39" spans="1:9" x14ac:dyDescent="0.25">
      <c r="A39" s="5"/>
      <c r="B39" s="5"/>
      <c r="C39" s="159"/>
      <c r="D39" s="5"/>
      <c r="E39" s="54"/>
      <c r="F39" s="5"/>
      <c r="G39" s="54"/>
      <c r="H39" s="5"/>
      <c r="I39" s="47"/>
    </row>
    <row r="40" spans="1:9" x14ac:dyDescent="0.25">
      <c r="A40" s="8">
        <v>1</v>
      </c>
      <c r="B40" s="8" t="s">
        <v>91</v>
      </c>
      <c r="C40" s="35" t="s">
        <v>92</v>
      </c>
      <c r="D40" s="8">
        <v>-13730.37</v>
      </c>
      <c r="E40" s="8">
        <v>59650.77</v>
      </c>
      <c r="F40" s="8">
        <v>53532.15</v>
      </c>
      <c r="G40" s="59">
        <f>E40</f>
        <v>59650.77</v>
      </c>
      <c r="H40" s="8">
        <f>D40+F40-E40</f>
        <v>-19848.989999999998</v>
      </c>
      <c r="I40" s="8">
        <f>H40</f>
        <v>-19848.989999999998</v>
      </c>
    </row>
    <row r="41" spans="1:9" x14ac:dyDescent="0.25">
      <c r="A41" s="7"/>
      <c r="B41" s="8" t="s">
        <v>487</v>
      </c>
      <c r="C41" s="35" t="s">
        <v>94</v>
      </c>
      <c r="D41" s="8"/>
      <c r="E41" s="9"/>
      <c r="F41" s="7"/>
      <c r="G41" s="196"/>
      <c r="H41" s="48"/>
      <c r="I41" s="48"/>
    </row>
    <row r="42" spans="1:9" x14ac:dyDescent="0.25">
      <c r="A42" s="1" t="s">
        <v>222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4" t="s">
        <v>223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6" t="s">
        <v>12</v>
      </c>
      <c r="B44" s="5" t="s">
        <v>437</v>
      </c>
      <c r="C44" s="46" t="s">
        <v>104</v>
      </c>
      <c r="D44" s="54"/>
      <c r="E44" s="54"/>
      <c r="F44" s="54"/>
      <c r="G44" s="5" t="s">
        <v>105</v>
      </c>
      <c r="H44" s="47" t="s">
        <v>106</v>
      </c>
      <c r="I44" s="5" t="s">
        <v>107</v>
      </c>
    </row>
    <row r="45" spans="1:9" x14ac:dyDescent="0.25">
      <c r="A45" s="49" t="s">
        <v>108</v>
      </c>
      <c r="B45" s="6" t="s">
        <v>438</v>
      </c>
      <c r="C45" s="49"/>
      <c r="D45" s="43"/>
      <c r="E45" s="43"/>
      <c r="F45" s="43"/>
      <c r="G45" s="6"/>
      <c r="H45" s="56"/>
      <c r="I45" s="6" t="s">
        <v>109</v>
      </c>
    </row>
    <row r="46" spans="1:9" x14ac:dyDescent="0.25">
      <c r="A46" s="49"/>
      <c r="B46" s="17"/>
      <c r="C46" s="50"/>
      <c r="D46" s="61"/>
      <c r="E46" s="61"/>
      <c r="F46" s="61"/>
      <c r="G46" s="6"/>
      <c r="H46" s="56"/>
      <c r="I46" s="6"/>
    </row>
    <row r="47" spans="1:9" x14ac:dyDescent="0.25">
      <c r="A47" s="62" t="s">
        <v>72</v>
      </c>
      <c r="B47" s="39"/>
      <c r="C47" s="4" t="s">
        <v>110</v>
      </c>
      <c r="D47" s="4"/>
      <c r="E47" s="4"/>
      <c r="F47" s="43"/>
      <c r="G47" s="5"/>
      <c r="H47" s="47"/>
      <c r="I47" s="5"/>
    </row>
    <row r="48" spans="1:9" x14ac:dyDescent="0.25">
      <c r="A48" s="228"/>
      <c r="B48" s="39"/>
      <c r="C48" s="43" t="s">
        <v>72</v>
      </c>
      <c r="D48" s="4"/>
      <c r="E48" s="4"/>
      <c r="F48" s="43"/>
      <c r="G48" s="6"/>
      <c r="H48" s="56"/>
      <c r="I48" s="6"/>
    </row>
    <row r="49" spans="1:9" x14ac:dyDescent="0.25">
      <c r="A49" s="66"/>
      <c r="B49" s="17"/>
      <c r="C49" s="13" t="s">
        <v>117</v>
      </c>
      <c r="D49" s="61"/>
      <c r="E49" s="61"/>
      <c r="F49" s="61"/>
      <c r="G49" s="16" t="s">
        <v>72</v>
      </c>
      <c r="H49" s="67"/>
      <c r="I49" s="11">
        <v>0</v>
      </c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4"/>
      <c r="B51" s="4"/>
      <c r="C51" s="4"/>
      <c r="D51" s="43"/>
      <c r="E51" s="43"/>
      <c r="F51" s="43"/>
      <c r="G51" s="43"/>
      <c r="H51" s="43"/>
      <c r="I51" s="166"/>
    </row>
    <row r="52" spans="1:9" x14ac:dyDescent="0.25">
      <c r="A52" s="68"/>
      <c r="B52" s="69"/>
      <c r="C52" s="4"/>
      <c r="D52" s="43"/>
      <c r="E52" s="43"/>
      <c r="F52" s="4"/>
      <c r="G52" s="165"/>
      <c r="H52" s="4"/>
      <c r="I52" s="4"/>
    </row>
    <row r="53" spans="1:9" x14ac:dyDescent="0.25">
      <c r="A53" s="2" t="s">
        <v>118</v>
      </c>
      <c r="B53" s="2"/>
      <c r="C53" s="2" t="s">
        <v>999</v>
      </c>
      <c r="D53" s="2"/>
      <c r="E53" s="2" t="s">
        <v>120</v>
      </c>
      <c r="G53" s="2" t="s">
        <v>121</v>
      </c>
      <c r="H53" s="2" t="s">
        <v>1000</v>
      </c>
    </row>
    <row r="55" spans="1:9" x14ac:dyDescent="0.25">
      <c r="A55" s="43"/>
      <c r="B55" s="43"/>
      <c r="C55" s="43"/>
      <c r="D55" s="166"/>
      <c r="E55" s="43"/>
      <c r="F55" s="43"/>
      <c r="G55" s="43"/>
      <c r="H55" s="43"/>
      <c r="I55" s="43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B35" sqref="B35"/>
    </sheetView>
  </sheetViews>
  <sheetFormatPr defaultRowHeight="15" x14ac:dyDescent="0.25"/>
  <cols>
    <col min="1" max="1" width="4.42578125" style="71" customWidth="1"/>
    <col min="2" max="2" width="34" style="71" customWidth="1"/>
    <col min="3" max="3" width="13.5703125" style="71" customWidth="1"/>
    <col min="4" max="7" width="9.140625" style="71"/>
    <col min="8" max="8" width="12.85546875" style="71" customWidth="1"/>
    <col min="9" max="9" width="18" style="71" customWidth="1"/>
    <col min="10" max="16384" width="9.140625" style="71"/>
  </cols>
  <sheetData>
    <row r="1" spans="1:9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72" t="s">
        <v>1</v>
      </c>
      <c r="B2" s="72"/>
      <c r="C2" s="72"/>
      <c r="D2" s="72"/>
      <c r="E2" s="72"/>
      <c r="F2" s="72"/>
      <c r="G2" s="72"/>
      <c r="H2" s="72"/>
      <c r="I2" s="167"/>
    </row>
    <row r="3" spans="1:9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/>
      <c r="B5" s="72"/>
      <c r="C5" s="72"/>
      <c r="D5" s="72"/>
      <c r="E5" s="72"/>
      <c r="F5" s="72"/>
      <c r="G5" s="72"/>
      <c r="H5" s="72"/>
      <c r="I5" s="73"/>
    </row>
    <row r="6" spans="1:9" x14ac:dyDescent="0.25">
      <c r="A6" s="72" t="s">
        <v>4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2" t="s">
        <v>266</v>
      </c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3" t="s">
        <v>267</v>
      </c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3" t="s">
        <v>268</v>
      </c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3" t="s">
        <v>269</v>
      </c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2" t="s">
        <v>9</v>
      </c>
      <c r="B11" s="73"/>
      <c r="C11" s="73"/>
      <c r="D11" s="73"/>
      <c r="E11" s="73"/>
      <c r="F11" s="73"/>
      <c r="G11" s="73"/>
      <c r="H11" s="73"/>
      <c r="I11" s="73"/>
    </row>
    <row r="12" spans="1:9" x14ac:dyDescent="0.25">
      <c r="A12" s="72" t="s">
        <v>10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74" t="s">
        <v>270</v>
      </c>
      <c r="B13" s="73"/>
      <c r="C13" s="73"/>
      <c r="D13" s="73"/>
      <c r="E13" s="73"/>
      <c r="F13" s="73"/>
      <c r="G13" s="73"/>
      <c r="H13" s="73"/>
      <c r="I13" s="73"/>
    </row>
    <row r="14" spans="1:9" x14ac:dyDescent="0.25">
      <c r="A14" s="75" t="s">
        <v>12</v>
      </c>
      <c r="B14" s="75" t="s">
        <v>13</v>
      </c>
      <c r="C14" s="75" t="s">
        <v>14</v>
      </c>
      <c r="D14" s="75" t="s">
        <v>15</v>
      </c>
      <c r="E14" s="75" t="s">
        <v>16</v>
      </c>
      <c r="F14" s="75" t="s">
        <v>17</v>
      </c>
      <c r="G14" s="75" t="s">
        <v>18</v>
      </c>
      <c r="H14" s="75" t="s">
        <v>15</v>
      </c>
      <c r="I14" s="75" t="s">
        <v>19</v>
      </c>
    </row>
    <row r="15" spans="1:9" x14ac:dyDescent="0.25">
      <c r="A15" s="76" t="s">
        <v>20</v>
      </c>
      <c r="B15" s="76"/>
      <c r="C15" s="76" t="s">
        <v>214</v>
      </c>
      <c r="D15" s="76" t="s">
        <v>22</v>
      </c>
      <c r="E15" s="76" t="s">
        <v>23</v>
      </c>
      <c r="F15" s="76" t="s">
        <v>23</v>
      </c>
      <c r="G15" s="76" t="s">
        <v>24</v>
      </c>
      <c r="H15" s="76" t="s">
        <v>25</v>
      </c>
      <c r="I15" s="76" t="s">
        <v>26</v>
      </c>
    </row>
    <row r="16" spans="1:9" x14ac:dyDescent="0.25">
      <c r="A16" s="76"/>
      <c r="B16" s="76"/>
      <c r="C16" s="76" t="s">
        <v>27</v>
      </c>
      <c r="D16" s="76" t="s">
        <v>28</v>
      </c>
      <c r="E16" s="76"/>
      <c r="F16" s="76"/>
      <c r="G16" s="76" t="s">
        <v>29</v>
      </c>
      <c r="H16" s="76" t="s">
        <v>30</v>
      </c>
      <c r="I16" s="76" t="s">
        <v>31</v>
      </c>
    </row>
    <row r="17" spans="1:9" x14ac:dyDescent="0.25">
      <c r="A17" s="76"/>
      <c r="B17" s="76"/>
      <c r="C17" s="76" t="s">
        <v>271</v>
      </c>
      <c r="D17" s="76" t="s">
        <v>33</v>
      </c>
      <c r="E17" s="76" t="s">
        <v>33</v>
      </c>
      <c r="F17" s="76" t="s">
        <v>33</v>
      </c>
      <c r="G17" s="76" t="s">
        <v>33</v>
      </c>
      <c r="H17" s="76" t="s">
        <v>33</v>
      </c>
      <c r="I17" s="76" t="s">
        <v>34</v>
      </c>
    </row>
    <row r="18" spans="1:9" x14ac:dyDescent="0.25">
      <c r="A18" s="77">
        <v>1</v>
      </c>
      <c r="B18" s="78">
        <v>2</v>
      </c>
      <c r="C18" s="97">
        <v>3</v>
      </c>
      <c r="D18" s="78">
        <v>4</v>
      </c>
      <c r="E18" s="97">
        <v>5</v>
      </c>
      <c r="F18" s="78">
        <v>6</v>
      </c>
      <c r="G18" s="97">
        <v>7</v>
      </c>
      <c r="H18" s="78">
        <v>8</v>
      </c>
      <c r="I18" s="75">
        <v>9</v>
      </c>
    </row>
    <row r="19" spans="1:9" x14ac:dyDescent="0.25">
      <c r="A19" s="129">
        <v>1</v>
      </c>
      <c r="B19" s="114" t="s">
        <v>186</v>
      </c>
      <c r="C19" s="139" t="s">
        <v>72</v>
      </c>
      <c r="D19" s="129"/>
      <c r="E19" s="140" t="s">
        <v>72</v>
      </c>
      <c r="F19" s="114" t="s">
        <v>72</v>
      </c>
      <c r="G19" s="129"/>
      <c r="H19" s="129" t="s">
        <v>72</v>
      </c>
      <c r="I19" s="140" t="s">
        <v>72</v>
      </c>
    </row>
    <row r="20" spans="1:9" x14ac:dyDescent="0.25">
      <c r="A20" s="105"/>
      <c r="B20" s="103" t="s">
        <v>187</v>
      </c>
      <c r="C20" s="111">
        <v>8.5500000000000007</v>
      </c>
      <c r="D20" s="99">
        <v>-3797.52</v>
      </c>
      <c r="E20" s="99">
        <v>25083.96</v>
      </c>
      <c r="F20" s="99">
        <v>25486.2</v>
      </c>
      <c r="G20" s="110">
        <f>E20</f>
        <v>25083.96</v>
      </c>
      <c r="H20" s="110">
        <f>D20+F20-G20</f>
        <v>-3395.2799999999988</v>
      </c>
      <c r="I20" s="99">
        <f>H20</f>
        <v>-3395.2799999999988</v>
      </c>
    </row>
    <row r="21" spans="1:9" x14ac:dyDescent="0.25">
      <c r="A21" s="76" t="s">
        <v>36</v>
      </c>
      <c r="B21" s="76" t="s">
        <v>217</v>
      </c>
      <c r="C21" s="89"/>
      <c r="D21" s="147"/>
      <c r="E21" s="147"/>
      <c r="F21" s="147"/>
      <c r="G21" s="89"/>
      <c r="H21" s="131"/>
      <c r="I21" s="147"/>
    </row>
    <row r="22" spans="1:9" x14ac:dyDescent="0.25">
      <c r="A22" s="85"/>
      <c r="B22" s="85" t="s">
        <v>218</v>
      </c>
      <c r="C22" s="102">
        <v>3.08</v>
      </c>
      <c r="D22" s="147"/>
      <c r="E22" s="88">
        <f>E20*36%</f>
        <v>9030.2255999999998</v>
      </c>
      <c r="F22" s="88">
        <f>F20*36%</f>
        <v>9175.0319999999992</v>
      </c>
      <c r="G22" s="89">
        <f>E22</f>
        <v>9030.2255999999998</v>
      </c>
      <c r="H22" s="131"/>
      <c r="I22" s="147"/>
    </row>
    <row r="23" spans="1:9" x14ac:dyDescent="0.25">
      <c r="A23" s="91" t="s">
        <v>38</v>
      </c>
      <c r="B23" s="75" t="s">
        <v>188</v>
      </c>
      <c r="C23" s="146">
        <v>1.51</v>
      </c>
      <c r="D23" s="92"/>
      <c r="E23" s="92">
        <f>E20*17.7%</f>
        <v>4439.8609199999992</v>
      </c>
      <c r="F23" s="92">
        <f>F20*17.7%</f>
        <v>4511.0573999999997</v>
      </c>
      <c r="G23" s="93">
        <f>E23</f>
        <v>4439.8609199999992</v>
      </c>
      <c r="H23" s="93"/>
      <c r="I23" s="92"/>
    </row>
    <row r="24" spans="1:9" x14ac:dyDescent="0.25">
      <c r="A24" s="85"/>
      <c r="B24" s="85" t="s">
        <v>189</v>
      </c>
      <c r="C24" s="102"/>
      <c r="D24" s="88"/>
      <c r="E24" s="88"/>
      <c r="F24" s="88"/>
      <c r="G24" s="94"/>
      <c r="H24" s="94"/>
      <c r="I24" s="88"/>
    </row>
    <row r="25" spans="1:9" x14ac:dyDescent="0.25">
      <c r="A25" s="91" t="s">
        <v>40</v>
      </c>
      <c r="B25" s="75" t="s">
        <v>41</v>
      </c>
      <c r="C25" s="146">
        <v>1.36</v>
      </c>
      <c r="D25" s="147"/>
      <c r="E25" s="92">
        <f>E20*16%</f>
        <v>4013.4335999999998</v>
      </c>
      <c r="F25" s="92">
        <f>F20*16%</f>
        <v>4077.7920000000004</v>
      </c>
      <c r="G25" s="89">
        <f>E25</f>
        <v>4013.4335999999998</v>
      </c>
      <c r="H25" s="131"/>
      <c r="I25" s="147"/>
    </row>
    <row r="26" spans="1:9" x14ac:dyDescent="0.25">
      <c r="A26" s="91" t="s">
        <v>42</v>
      </c>
      <c r="B26" s="75" t="s">
        <v>43</v>
      </c>
      <c r="C26" s="146">
        <v>2.6</v>
      </c>
      <c r="D26" s="87"/>
      <c r="E26" s="92">
        <f>E20*30.3%</f>
        <v>7600.4398799999999</v>
      </c>
      <c r="F26" s="92">
        <f>F20*30.3%</f>
        <v>7722.3185999999996</v>
      </c>
      <c r="G26" s="93">
        <f>E26</f>
        <v>7600.4398799999999</v>
      </c>
      <c r="H26" s="93"/>
      <c r="I26" s="87"/>
    </row>
    <row r="27" spans="1:9" x14ac:dyDescent="0.25">
      <c r="A27" s="91" t="s">
        <v>44</v>
      </c>
      <c r="B27" s="75" t="s">
        <v>47</v>
      </c>
      <c r="C27" s="146" t="s">
        <v>48</v>
      </c>
      <c r="D27" s="87">
        <v>-747.71</v>
      </c>
      <c r="E27" s="97">
        <v>4405.2</v>
      </c>
      <c r="F27" s="78">
        <v>4478.18</v>
      </c>
      <c r="G27" s="97">
        <f>E27</f>
        <v>4405.2</v>
      </c>
      <c r="H27" s="87">
        <f>D27-E27+F27</f>
        <v>-674.72999999999956</v>
      </c>
      <c r="I27" s="123">
        <f>H27</f>
        <v>-674.72999999999956</v>
      </c>
    </row>
    <row r="28" spans="1:9" x14ac:dyDescent="0.25">
      <c r="A28" s="81" t="s">
        <v>49</v>
      </c>
      <c r="B28" s="81" t="s">
        <v>50</v>
      </c>
      <c r="C28" s="81">
        <v>4.5999999999999996</v>
      </c>
      <c r="D28" s="169">
        <v>-2314.4699999999998</v>
      </c>
      <c r="E28" s="103">
        <v>14346.48</v>
      </c>
      <c r="F28" s="103">
        <v>14461.51</v>
      </c>
      <c r="G28" s="101">
        <f>E28</f>
        <v>14346.48</v>
      </c>
      <c r="H28" s="105">
        <f>D28+F28-G28</f>
        <v>-2199.4399999999987</v>
      </c>
      <c r="I28" s="169">
        <f>H28</f>
        <v>-2199.4399999999987</v>
      </c>
    </row>
    <row r="29" spans="1:9" x14ac:dyDescent="0.25">
      <c r="A29" s="114" t="s">
        <v>51</v>
      </c>
      <c r="B29" s="114" t="s">
        <v>219</v>
      </c>
      <c r="C29" s="114"/>
      <c r="D29" s="142"/>
      <c r="E29" s="114"/>
      <c r="F29" s="114"/>
      <c r="G29" s="139"/>
      <c r="H29" s="129"/>
      <c r="I29" s="140"/>
    </row>
    <row r="30" spans="1:9" x14ac:dyDescent="0.25">
      <c r="A30" s="103"/>
      <c r="B30" s="103" t="s">
        <v>231</v>
      </c>
      <c r="C30" s="103">
        <v>1.65</v>
      </c>
      <c r="D30" s="110">
        <v>-35235.67</v>
      </c>
      <c r="E30" s="103">
        <v>4840.4399999999996</v>
      </c>
      <c r="F30" s="103">
        <v>5009.79</v>
      </c>
      <c r="G30" s="101">
        <f>I50</f>
        <v>0</v>
      </c>
      <c r="H30" s="105">
        <f>D30+F30-G30</f>
        <v>-30225.879999999997</v>
      </c>
      <c r="I30" s="99">
        <f>H30</f>
        <v>-30225.879999999997</v>
      </c>
    </row>
    <row r="31" spans="1:9" x14ac:dyDescent="0.25">
      <c r="A31" s="72"/>
      <c r="B31" s="73"/>
      <c r="C31" s="73"/>
      <c r="E31" s="73"/>
      <c r="F31" s="73"/>
      <c r="G31" s="73"/>
      <c r="H31" s="73"/>
      <c r="I31" s="73"/>
    </row>
    <row r="32" spans="1:9" x14ac:dyDescent="0.25">
      <c r="A32" s="72"/>
      <c r="B32" s="73"/>
      <c r="C32" s="73"/>
      <c r="E32" s="73"/>
      <c r="F32" s="73"/>
      <c r="G32" s="73"/>
      <c r="H32" s="73"/>
      <c r="I32" s="73"/>
    </row>
    <row r="33" spans="1:9" x14ac:dyDescent="0.25">
      <c r="A33" s="72"/>
      <c r="B33" s="73"/>
      <c r="C33" s="73"/>
      <c r="E33" s="73"/>
      <c r="F33" s="73"/>
      <c r="G33" s="73"/>
      <c r="H33" s="73"/>
      <c r="I33" s="73"/>
    </row>
    <row r="34" spans="1:9" x14ac:dyDescent="0.25">
      <c r="A34" s="74" t="s">
        <v>70</v>
      </c>
    </row>
    <row r="35" spans="1:9" x14ac:dyDescent="0.25">
      <c r="A35" s="72" t="s">
        <v>71</v>
      </c>
      <c r="B35" s="74"/>
      <c r="C35" s="74"/>
      <c r="D35" s="152"/>
      <c r="E35" s="74"/>
      <c r="F35" s="74"/>
      <c r="G35" s="74"/>
      <c r="H35" s="74"/>
      <c r="I35" s="74"/>
    </row>
    <row r="36" spans="1:9" x14ac:dyDescent="0.25">
      <c r="A36" s="75" t="s">
        <v>72</v>
      </c>
      <c r="B36" s="139" t="s">
        <v>73</v>
      </c>
      <c r="C36" s="75" t="s">
        <v>74</v>
      </c>
      <c r="D36" s="79" t="s">
        <v>75</v>
      </c>
      <c r="E36" s="75" t="s">
        <v>76</v>
      </c>
      <c r="F36" s="79" t="s">
        <v>77</v>
      </c>
      <c r="G36" s="115" t="s">
        <v>78</v>
      </c>
      <c r="H36" s="92" t="s">
        <v>15</v>
      </c>
      <c r="I36" s="116" t="s">
        <v>19</v>
      </c>
    </row>
    <row r="37" spans="1:9" x14ac:dyDescent="0.25">
      <c r="A37" s="76"/>
      <c r="B37" s="74" t="s">
        <v>80</v>
      </c>
      <c r="C37" s="76" t="s">
        <v>81</v>
      </c>
      <c r="D37" s="117" t="s">
        <v>82</v>
      </c>
      <c r="E37" s="76" t="s">
        <v>83</v>
      </c>
      <c r="F37" s="117" t="s">
        <v>84</v>
      </c>
      <c r="G37" s="118" t="s">
        <v>85</v>
      </c>
      <c r="H37" s="147" t="s">
        <v>25</v>
      </c>
      <c r="I37" s="119" t="s">
        <v>87</v>
      </c>
    </row>
    <row r="38" spans="1:9" x14ac:dyDescent="0.25">
      <c r="A38" s="76"/>
      <c r="B38" s="117"/>
      <c r="C38" s="76"/>
      <c r="D38" s="117"/>
      <c r="E38" s="76"/>
      <c r="F38" s="117" t="s">
        <v>88</v>
      </c>
      <c r="G38" s="118" t="s">
        <v>89</v>
      </c>
      <c r="H38" s="147" t="s">
        <v>30</v>
      </c>
      <c r="I38" s="119" t="s">
        <v>221</v>
      </c>
    </row>
    <row r="39" spans="1:9" x14ac:dyDescent="0.25">
      <c r="A39" s="75"/>
      <c r="B39" s="75"/>
      <c r="C39" s="139"/>
      <c r="D39" s="75"/>
      <c r="E39" s="79"/>
      <c r="F39" s="75"/>
      <c r="G39" s="79"/>
      <c r="H39" s="75"/>
      <c r="I39" s="116"/>
    </row>
    <row r="40" spans="1:9" x14ac:dyDescent="0.25">
      <c r="A40" s="78">
        <v>1</v>
      </c>
      <c r="B40" s="78" t="s">
        <v>91</v>
      </c>
      <c r="C40" s="104" t="s">
        <v>92</v>
      </c>
      <c r="D40" s="78">
        <v>-11647.07</v>
      </c>
      <c r="E40" s="155">
        <v>76637.37</v>
      </c>
      <c r="F40" s="78">
        <v>72317.45</v>
      </c>
      <c r="G40" s="155">
        <f>E40</f>
        <v>76637.37</v>
      </c>
      <c r="H40" s="78">
        <f>D40+F40-G40</f>
        <v>-15966.989999999998</v>
      </c>
      <c r="I40" s="78">
        <f>H40</f>
        <v>-15966.989999999998</v>
      </c>
    </row>
    <row r="41" spans="1:9" x14ac:dyDescent="0.25">
      <c r="A41" s="77"/>
      <c r="B41" s="78" t="s">
        <v>93</v>
      </c>
      <c r="C41" s="104" t="s">
        <v>94</v>
      </c>
      <c r="D41" s="78"/>
      <c r="E41" s="97"/>
      <c r="F41" s="77"/>
      <c r="G41" s="78"/>
      <c r="H41" s="123"/>
      <c r="I41" s="123"/>
    </row>
    <row r="42" spans="1:9" x14ac:dyDescent="0.25">
      <c r="A42" s="73"/>
      <c r="B42" s="73" t="s">
        <v>72</v>
      </c>
      <c r="C42" s="73"/>
      <c r="D42" s="73"/>
      <c r="E42" s="73"/>
      <c r="F42" s="73" t="s">
        <v>72</v>
      </c>
      <c r="G42" s="73"/>
      <c r="H42" s="73"/>
      <c r="I42" s="73"/>
    </row>
    <row r="43" spans="1:9" x14ac:dyDescent="0.25">
      <c r="A43" s="72" t="s">
        <v>222</v>
      </c>
      <c r="B43" s="73"/>
      <c r="C43" s="73"/>
      <c r="D43" s="73"/>
      <c r="E43" s="73"/>
      <c r="F43" s="73"/>
      <c r="G43" s="73"/>
      <c r="H43" s="73"/>
      <c r="I43" s="73"/>
    </row>
    <row r="44" spans="1:9" x14ac:dyDescent="0.25">
      <c r="A44" s="74" t="s">
        <v>223</v>
      </c>
      <c r="B44" s="73"/>
      <c r="C44" s="73"/>
      <c r="D44" s="73"/>
      <c r="E44" s="73"/>
      <c r="F44" s="73"/>
      <c r="G44" s="73"/>
      <c r="H44" s="73"/>
      <c r="I44" s="73"/>
    </row>
    <row r="45" spans="1:9" x14ac:dyDescent="0.25">
      <c r="A45" s="115" t="s">
        <v>12</v>
      </c>
      <c r="B45" s="75" t="s">
        <v>103</v>
      </c>
      <c r="C45" s="115" t="s">
        <v>104</v>
      </c>
      <c r="D45" s="79"/>
      <c r="E45" s="79"/>
      <c r="F45" s="116"/>
      <c r="G45" s="79" t="s">
        <v>199</v>
      </c>
      <c r="H45" s="75" t="s">
        <v>200</v>
      </c>
      <c r="I45" s="75" t="s">
        <v>107</v>
      </c>
    </row>
    <row r="46" spans="1:9" x14ac:dyDescent="0.25">
      <c r="A46" s="118" t="s">
        <v>108</v>
      </c>
      <c r="B46" s="76" t="s">
        <v>72</v>
      </c>
      <c r="C46" s="118"/>
      <c r="D46" s="117"/>
      <c r="E46" s="117"/>
      <c r="F46" s="119"/>
      <c r="G46" s="117" t="s">
        <v>201</v>
      </c>
      <c r="H46" s="76"/>
      <c r="I46" s="76" t="s">
        <v>109</v>
      </c>
    </row>
    <row r="47" spans="1:9" x14ac:dyDescent="0.25">
      <c r="A47" s="118"/>
      <c r="B47" s="76"/>
      <c r="C47" s="118"/>
      <c r="D47" s="117"/>
      <c r="E47" s="117"/>
      <c r="F47" s="119"/>
      <c r="G47" s="117"/>
      <c r="H47" s="76"/>
      <c r="I47" s="76"/>
    </row>
    <row r="48" spans="1:9" x14ac:dyDescent="0.25">
      <c r="A48" s="118"/>
      <c r="B48" s="85"/>
      <c r="C48" s="120"/>
      <c r="D48" s="86"/>
      <c r="E48" s="86"/>
      <c r="F48" s="122"/>
      <c r="G48" s="86"/>
      <c r="H48" s="76"/>
      <c r="I48" s="76"/>
    </row>
    <row r="49" spans="1:9" x14ac:dyDescent="0.25">
      <c r="A49" s="128" t="s">
        <v>72</v>
      </c>
      <c r="B49" s="114"/>
      <c r="C49" s="129" t="s">
        <v>110</v>
      </c>
      <c r="D49" s="139"/>
      <c r="E49" s="139"/>
      <c r="F49" s="116"/>
      <c r="G49" s="79"/>
      <c r="H49" s="75"/>
      <c r="I49" s="75"/>
    </row>
    <row r="50" spans="1:9" x14ac:dyDescent="0.25">
      <c r="A50" s="84"/>
      <c r="B50" s="85"/>
      <c r="C50" s="105" t="s">
        <v>117</v>
      </c>
      <c r="D50" s="101"/>
      <c r="E50" s="101"/>
      <c r="F50" s="134"/>
      <c r="G50" s="111"/>
      <c r="H50" s="103"/>
      <c r="I50" s="103">
        <v>0</v>
      </c>
    </row>
    <row r="51" spans="1:9" x14ac:dyDescent="0.25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 x14ac:dyDescent="0.25">
      <c r="A52" s="117"/>
      <c r="B52" s="74"/>
      <c r="C52" s="74"/>
      <c r="D52" s="117"/>
      <c r="E52" s="117"/>
      <c r="F52" s="117"/>
      <c r="G52" s="117"/>
      <c r="H52" s="117"/>
      <c r="I52" s="117"/>
    </row>
    <row r="53" spans="1:9" x14ac:dyDescent="0.25">
      <c r="A53" s="135"/>
      <c r="B53" s="117"/>
      <c r="C53" s="74"/>
      <c r="D53" s="74"/>
      <c r="E53" s="74"/>
      <c r="F53" s="74"/>
      <c r="G53" s="74"/>
      <c r="H53" s="74"/>
      <c r="I53" s="74"/>
    </row>
    <row r="54" spans="1:9" x14ac:dyDescent="0.25">
      <c r="A54" s="73" t="s">
        <v>224</v>
      </c>
      <c r="B54" s="73"/>
      <c r="C54" s="73" t="s">
        <v>72</v>
      </c>
      <c r="D54" s="73" t="s">
        <v>119</v>
      </c>
      <c r="E54" s="73"/>
      <c r="F54" s="73" t="s">
        <v>120</v>
      </c>
      <c r="G54" s="73"/>
      <c r="H54" s="73" t="s">
        <v>121</v>
      </c>
      <c r="I54" s="73" t="s">
        <v>122</v>
      </c>
    </row>
    <row r="55" spans="1:9" x14ac:dyDescent="0.25">
      <c r="A55" s="73"/>
      <c r="B55" s="73"/>
    </row>
  </sheetData>
  <pageMargins left="0.7" right="0.7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4" workbookViewId="0">
      <selection activeCell="I58" sqref="I58"/>
    </sheetView>
  </sheetViews>
  <sheetFormatPr defaultRowHeight="15" x14ac:dyDescent="0.25"/>
  <cols>
    <col min="1" max="1" width="5.7109375" customWidth="1"/>
    <col min="2" max="2" width="35.85546875" customWidth="1"/>
    <col min="3" max="3" width="12.28515625" customWidth="1"/>
    <col min="4" max="4" width="14" customWidth="1"/>
    <col min="5" max="5" width="10.140625" customWidth="1"/>
    <col min="6" max="6" width="11.5703125" customWidth="1"/>
    <col min="8" max="8" width="13.42578125" customWidth="1"/>
    <col min="9" max="9" width="18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1001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2" t="s">
        <v>1002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1003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1004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307" t="s">
        <v>18</v>
      </c>
      <c r="H13" s="5" t="s">
        <v>15</v>
      </c>
      <c r="I13" s="47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49" t="s">
        <v>24</v>
      </c>
      <c r="H14" s="6" t="s">
        <v>25</v>
      </c>
      <c r="I14" s="5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49" t="s">
        <v>29</v>
      </c>
      <c r="H15" s="6" t="s">
        <v>30</v>
      </c>
      <c r="I15" s="56" t="s">
        <v>215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49" t="s">
        <v>33</v>
      </c>
      <c r="H16" s="296" t="s">
        <v>33</v>
      </c>
      <c r="I16" s="56" t="s">
        <v>652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8">
        <v>7</v>
      </c>
      <c r="H17" s="17">
        <v>8</v>
      </c>
      <c r="I17" s="8">
        <v>9</v>
      </c>
    </row>
    <row r="18" spans="1:9" x14ac:dyDescent="0.25">
      <c r="A18" s="10">
        <v>1</v>
      </c>
      <c r="B18" s="11" t="s">
        <v>323</v>
      </c>
      <c r="C18" s="11">
        <v>8.5500000000000007</v>
      </c>
      <c r="D18" s="16">
        <v>-41185.9</v>
      </c>
      <c r="E18" s="11">
        <v>341393.52</v>
      </c>
      <c r="F18" s="14">
        <v>339566.14</v>
      </c>
      <c r="G18" s="21">
        <f t="shared" ref="G18:G23" si="0">E18</f>
        <v>341393.52</v>
      </c>
      <c r="H18" s="12">
        <f>D18+F18-G18</f>
        <v>-43013.280000000028</v>
      </c>
      <c r="I18" s="16">
        <f>H18</f>
        <v>-43013.280000000028</v>
      </c>
    </row>
    <row r="19" spans="1:9" x14ac:dyDescent="0.25">
      <c r="A19" s="66" t="s">
        <v>138</v>
      </c>
      <c r="B19" s="17" t="s">
        <v>37</v>
      </c>
      <c r="C19" s="17">
        <v>3.08</v>
      </c>
      <c r="D19" s="21"/>
      <c r="E19" s="21">
        <f>E18*36/100</f>
        <v>122901.66720000001</v>
      </c>
      <c r="F19" s="20">
        <f>F18*36/100</f>
        <v>122243.81040000002</v>
      </c>
      <c r="G19" s="26">
        <f>E19</f>
        <v>122901.66720000001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33"/>
      <c r="E20" s="33">
        <f>E18*17.7/100</f>
        <v>60426.653040000005</v>
      </c>
      <c r="F20" s="25">
        <f>F18*17.7/100</f>
        <v>60103.20678</v>
      </c>
      <c r="G20" s="30">
        <f t="shared" si="0"/>
        <v>60426.653040000005</v>
      </c>
      <c r="H20" s="30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3"/>
      <c r="E21" s="33">
        <f>E18*16/100</f>
        <v>54622.963200000006</v>
      </c>
      <c r="F21" s="25">
        <f>F18*16/100</f>
        <v>54330.582399999999</v>
      </c>
      <c r="G21" s="30">
        <f>E21</f>
        <v>54622.963200000006</v>
      </c>
      <c r="H21" s="19"/>
      <c r="I21" s="33"/>
    </row>
    <row r="22" spans="1:9" x14ac:dyDescent="0.25">
      <c r="A22" s="22" t="s">
        <v>42</v>
      </c>
      <c r="B22" s="5" t="s">
        <v>43</v>
      </c>
      <c r="C22" s="5">
        <v>2.6</v>
      </c>
      <c r="D22" s="30"/>
      <c r="E22" s="30">
        <f>E18*30.3/100</f>
        <v>103442.23656000002</v>
      </c>
      <c r="F22" s="25">
        <f>F18*30.3/100</f>
        <v>102888.54042000002</v>
      </c>
      <c r="G22" s="30">
        <f t="shared" si="0"/>
        <v>103442.23656000002</v>
      </c>
      <c r="H22" s="23"/>
      <c r="I22" s="30"/>
    </row>
    <row r="23" spans="1:9" x14ac:dyDescent="0.25">
      <c r="A23" s="245" t="s">
        <v>44</v>
      </c>
      <c r="B23" s="8" t="s">
        <v>45</v>
      </c>
      <c r="C23" s="9">
        <v>1755.25</v>
      </c>
      <c r="D23" s="21">
        <v>1564.25</v>
      </c>
      <c r="E23" s="162">
        <v>12289.89</v>
      </c>
      <c r="F23" s="30">
        <v>12501.54</v>
      </c>
      <c r="G23" s="30">
        <f t="shared" si="0"/>
        <v>12289.89</v>
      </c>
      <c r="H23" s="23">
        <f>D23+F23-E23</f>
        <v>1775.9000000000015</v>
      </c>
      <c r="I23" s="16"/>
    </row>
    <row r="24" spans="1:9" x14ac:dyDescent="0.25">
      <c r="A24" s="245" t="s">
        <v>46</v>
      </c>
      <c r="B24" s="8" t="s">
        <v>1005</v>
      </c>
      <c r="C24" s="9" t="s">
        <v>48</v>
      </c>
      <c r="D24" s="21">
        <v>-3491.76</v>
      </c>
      <c r="E24" s="162">
        <v>29641.26</v>
      </c>
      <c r="F24" s="29">
        <v>29678.29</v>
      </c>
      <c r="G24" s="30">
        <f>E24</f>
        <v>29641.26</v>
      </c>
      <c r="H24" s="23">
        <f>D24+F24-E24</f>
        <v>-3454.7299999999996</v>
      </c>
      <c r="I24" s="16">
        <f>H24</f>
        <v>-3454.7299999999996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8">
        <v>-20472.080000000002</v>
      </c>
      <c r="E25" s="10">
        <v>183672.48</v>
      </c>
      <c r="F25" s="36">
        <v>184308.29</v>
      </c>
      <c r="G25" s="38">
        <f>E25</f>
        <v>183672.48</v>
      </c>
      <c r="H25" s="290">
        <f>D25+F25-G25</f>
        <v>-19836.26999999999</v>
      </c>
      <c r="I25" s="38">
        <f>H25</f>
        <v>-19836.26999999999</v>
      </c>
    </row>
    <row r="26" spans="1:9" x14ac:dyDescent="0.25">
      <c r="A26" s="11" t="s">
        <v>51</v>
      </c>
      <c r="B26" s="11" t="s">
        <v>52</v>
      </c>
      <c r="C26" s="11">
        <v>1.65</v>
      </c>
      <c r="D26" s="38">
        <v>343822.98</v>
      </c>
      <c r="E26" s="11">
        <v>65884.800000000003</v>
      </c>
      <c r="F26" s="11">
        <f>F27+F28+F29</f>
        <v>74578.91</v>
      </c>
      <c r="G26" s="10">
        <f>G27</f>
        <v>43693.67</v>
      </c>
      <c r="H26" s="38">
        <f>D26+F26-G26</f>
        <v>374708.22000000003</v>
      </c>
      <c r="I26" s="16"/>
    </row>
    <row r="27" spans="1:9" x14ac:dyDescent="0.25">
      <c r="A27" s="11"/>
      <c r="B27" s="8" t="s">
        <v>53</v>
      </c>
      <c r="C27" s="11"/>
      <c r="D27" s="38"/>
      <c r="E27" s="11"/>
      <c r="F27" s="11">
        <v>66610.91</v>
      </c>
      <c r="G27" s="10">
        <f>I60</f>
        <v>43693.67</v>
      </c>
      <c r="H27" s="38"/>
      <c r="I27" s="38"/>
    </row>
    <row r="28" spans="1:9" x14ac:dyDescent="0.25">
      <c r="A28" s="11"/>
      <c r="B28" s="5" t="s">
        <v>54</v>
      </c>
      <c r="C28" s="36"/>
      <c r="D28" s="38"/>
      <c r="E28" s="10"/>
      <c r="F28" s="10">
        <v>746.64</v>
      </c>
      <c r="G28" s="36"/>
      <c r="H28" s="38"/>
      <c r="I28" s="38"/>
    </row>
    <row r="29" spans="1:9" x14ac:dyDescent="0.25">
      <c r="A29" s="11"/>
      <c r="B29" s="5" t="s">
        <v>58</v>
      </c>
      <c r="C29" s="4"/>
      <c r="D29" s="41"/>
      <c r="E29" s="39"/>
      <c r="F29" s="39">
        <v>7221.36</v>
      </c>
      <c r="G29" s="55"/>
      <c r="H29" s="16"/>
      <c r="I29" s="41"/>
    </row>
    <row r="30" spans="1:9" x14ac:dyDescent="0.25">
      <c r="A30" s="10" t="s">
        <v>56</v>
      </c>
      <c r="B30" s="10" t="s">
        <v>57</v>
      </c>
      <c r="C30" s="35"/>
      <c r="D30" s="38">
        <v>7221.36</v>
      </c>
      <c r="E30" s="10">
        <v>0</v>
      </c>
      <c r="F30" s="10">
        <v>-7221.36</v>
      </c>
      <c r="G30" s="10"/>
      <c r="H30" s="21"/>
      <c r="I30" s="30"/>
    </row>
    <row r="31" spans="1:9" x14ac:dyDescent="0.25">
      <c r="A31" s="8"/>
      <c r="B31" s="8" t="s">
        <v>58</v>
      </c>
      <c r="C31" s="9"/>
      <c r="D31" s="30"/>
      <c r="E31" s="8"/>
      <c r="F31" s="8">
        <v>7221.36</v>
      </c>
      <c r="G31" s="9"/>
      <c r="H31" s="30"/>
      <c r="I31" s="21"/>
    </row>
    <row r="32" spans="1:9" x14ac:dyDescent="0.25">
      <c r="A32" s="1" t="s">
        <v>59</v>
      </c>
      <c r="B32" s="2"/>
      <c r="C32" s="2"/>
      <c r="E32" s="2"/>
      <c r="F32" s="2"/>
      <c r="G32" s="43"/>
      <c r="H32" s="43"/>
      <c r="I32" s="19"/>
    </row>
    <row r="33" spans="1:9" x14ac:dyDescent="0.25">
      <c r="A33" s="1"/>
      <c r="B33" s="2"/>
      <c r="C33" s="2"/>
      <c r="E33" s="2"/>
      <c r="F33" s="2"/>
      <c r="G33" s="43"/>
      <c r="H33" s="43"/>
      <c r="I33" s="19"/>
    </row>
    <row r="34" spans="1:9" x14ac:dyDescent="0.25">
      <c r="A34" s="308" t="s">
        <v>60</v>
      </c>
      <c r="B34" s="309" t="s">
        <v>1006</v>
      </c>
      <c r="C34" s="309" t="s">
        <v>65</v>
      </c>
      <c r="D34" s="310" t="s">
        <v>63</v>
      </c>
      <c r="E34" s="310" t="s">
        <v>1007</v>
      </c>
      <c r="F34" s="310" t="s">
        <v>1008</v>
      </c>
      <c r="G34" s="310"/>
      <c r="H34" s="310" t="s">
        <v>1008</v>
      </c>
    </row>
    <row r="35" spans="1:9" x14ac:dyDescent="0.25">
      <c r="A35" s="311"/>
      <c r="B35" s="312" t="s">
        <v>1009</v>
      </c>
      <c r="C35" s="313" t="s">
        <v>67</v>
      </c>
      <c r="D35" s="296" t="s">
        <v>23</v>
      </c>
      <c r="E35" s="296" t="s">
        <v>547</v>
      </c>
      <c r="F35" s="260" t="s">
        <v>882</v>
      </c>
      <c r="G35" s="296"/>
      <c r="H35" s="260" t="s">
        <v>882</v>
      </c>
    </row>
    <row r="36" spans="1:9" x14ac:dyDescent="0.25">
      <c r="A36" s="311"/>
      <c r="B36" s="314"/>
      <c r="C36" s="315">
        <v>15620.55</v>
      </c>
      <c r="D36" s="310">
        <v>6000</v>
      </c>
      <c r="E36" s="316">
        <f>D36*15%</f>
        <v>900</v>
      </c>
      <c r="F36" s="316">
        <f>C36+(D36-E36)</f>
        <v>20720.55</v>
      </c>
      <c r="G36" s="316"/>
      <c r="H36" s="316">
        <f>F36</f>
        <v>20720.55</v>
      </c>
    </row>
    <row r="37" spans="1:9" x14ac:dyDescent="0.25">
      <c r="A37" s="17"/>
      <c r="B37" s="51"/>
      <c r="C37" s="51"/>
      <c r="D37" s="21"/>
      <c r="E37" s="21"/>
      <c r="F37" s="21"/>
      <c r="G37" s="21"/>
      <c r="H37" s="226"/>
      <c r="I37" s="43"/>
    </row>
    <row r="38" spans="1:9" x14ac:dyDescent="0.25">
      <c r="A38" s="43"/>
      <c r="B38" s="43"/>
      <c r="C38" s="43"/>
      <c r="D38" s="19"/>
      <c r="E38" s="19"/>
      <c r="F38" s="19"/>
      <c r="G38" s="19"/>
      <c r="H38" s="166"/>
      <c r="I38" s="43"/>
    </row>
    <row r="39" spans="1:9" x14ac:dyDescent="0.25">
      <c r="A39" s="4" t="s">
        <v>70</v>
      </c>
      <c r="B39" s="4"/>
      <c r="C39" s="4"/>
      <c r="D39" s="52"/>
      <c r="E39" s="4"/>
      <c r="F39" s="4"/>
      <c r="G39" s="4"/>
      <c r="H39" s="4"/>
      <c r="I39" s="4"/>
    </row>
    <row r="40" spans="1:9" x14ac:dyDescent="0.25">
      <c r="A40" s="1" t="s">
        <v>71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1010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/>
      <c r="I43" s="6" t="s">
        <v>221</v>
      </c>
    </row>
    <row r="44" spans="1:9" x14ac:dyDescent="0.25">
      <c r="A44" s="8">
        <v>1</v>
      </c>
      <c r="B44" s="8" t="s">
        <v>91</v>
      </c>
      <c r="C44" s="36" t="s">
        <v>92</v>
      </c>
      <c r="D44" s="8">
        <v>-57172.03</v>
      </c>
      <c r="E44" s="196">
        <v>500255.94</v>
      </c>
      <c r="F44" s="7">
        <v>503923.5</v>
      </c>
      <c r="G44" s="8">
        <f>E44</f>
        <v>500255.94</v>
      </c>
      <c r="H44" s="8">
        <f>D44+F44-G44</f>
        <v>-53504.47000000003</v>
      </c>
      <c r="I44" s="8">
        <f>H44</f>
        <v>-53504.47000000003</v>
      </c>
    </row>
    <row r="45" spans="1:9" x14ac:dyDescent="0.25">
      <c r="A45" s="8"/>
      <c r="B45" s="8" t="s">
        <v>1011</v>
      </c>
      <c r="C45" s="35" t="s">
        <v>94</v>
      </c>
      <c r="D45" s="6"/>
      <c r="E45" s="59"/>
      <c r="F45" s="7"/>
      <c r="G45" s="17"/>
      <c r="H45" s="17"/>
      <c r="I45" s="56"/>
    </row>
    <row r="46" spans="1:9" x14ac:dyDescent="0.25">
      <c r="A46" s="8">
        <v>2</v>
      </c>
      <c r="B46" s="8" t="s">
        <v>99</v>
      </c>
      <c r="C46" s="35" t="s">
        <v>100</v>
      </c>
      <c r="D46" s="8">
        <v>-274823.57</v>
      </c>
      <c r="E46" s="9">
        <v>944987.87</v>
      </c>
      <c r="F46" s="7">
        <v>931497.71</v>
      </c>
      <c r="G46" s="17">
        <f>E46</f>
        <v>944987.87</v>
      </c>
      <c r="H46" s="17">
        <f>D46+F46-G46</f>
        <v>-288313.7300000001</v>
      </c>
      <c r="I46" s="48">
        <f>H46</f>
        <v>-288313.7300000001</v>
      </c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1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102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46" t="s">
        <v>105</v>
      </c>
      <c r="H50" s="5" t="s">
        <v>106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49"/>
      <c r="H51" s="6"/>
      <c r="I51" s="6" t="s">
        <v>109</v>
      </c>
    </row>
    <row r="52" spans="1:9" x14ac:dyDescent="0.25">
      <c r="A52" s="49"/>
      <c r="B52" s="17"/>
      <c r="C52" s="50"/>
      <c r="D52" s="61"/>
      <c r="E52" s="61"/>
      <c r="F52" s="61"/>
      <c r="G52" s="50"/>
      <c r="H52" s="17"/>
      <c r="I52" s="6"/>
    </row>
    <row r="53" spans="1:9" x14ac:dyDescent="0.25">
      <c r="A53" s="62"/>
      <c r="B53" s="63"/>
      <c r="C53" s="159" t="s">
        <v>110</v>
      </c>
      <c r="D53" s="159"/>
      <c r="E53" s="159"/>
      <c r="F53" s="47"/>
      <c r="G53" s="49"/>
      <c r="H53" s="6"/>
      <c r="I53" s="5"/>
    </row>
    <row r="54" spans="1:9" x14ac:dyDescent="0.25">
      <c r="A54" s="64" t="s">
        <v>111</v>
      </c>
      <c r="B54" s="65">
        <v>43280</v>
      </c>
      <c r="C54" s="43" t="s">
        <v>1012</v>
      </c>
      <c r="D54" s="43"/>
      <c r="E54" s="43"/>
      <c r="F54" s="56"/>
      <c r="G54" s="44" t="s">
        <v>205</v>
      </c>
      <c r="H54" s="6">
        <v>3</v>
      </c>
      <c r="I54" s="6">
        <v>4295.6099999999997</v>
      </c>
    </row>
    <row r="55" spans="1:9" x14ac:dyDescent="0.25">
      <c r="A55" s="64"/>
      <c r="B55" s="65"/>
      <c r="C55" s="43" t="s">
        <v>1013</v>
      </c>
      <c r="D55" s="43"/>
      <c r="E55" s="43"/>
      <c r="F55" s="56"/>
      <c r="G55" s="44"/>
      <c r="H55" s="6"/>
      <c r="I55" s="6"/>
    </row>
    <row r="56" spans="1:9" x14ac:dyDescent="0.25">
      <c r="A56" s="64" t="s">
        <v>114</v>
      </c>
      <c r="B56" s="65">
        <v>43315</v>
      </c>
      <c r="C56" s="43" t="s">
        <v>171</v>
      </c>
      <c r="D56" s="43"/>
      <c r="E56" s="43"/>
      <c r="F56" s="56"/>
      <c r="G56" s="44" t="s">
        <v>172</v>
      </c>
      <c r="H56" s="6">
        <v>1</v>
      </c>
      <c r="I56" s="6">
        <v>21000</v>
      </c>
    </row>
    <row r="57" spans="1:9" x14ac:dyDescent="0.25">
      <c r="A57" s="64" t="s">
        <v>170</v>
      </c>
      <c r="B57" s="65">
        <v>43343</v>
      </c>
      <c r="C57" s="43" t="s">
        <v>1014</v>
      </c>
      <c r="D57" s="43"/>
      <c r="E57" s="43"/>
      <c r="F57" s="56"/>
      <c r="G57" s="44" t="s">
        <v>116</v>
      </c>
      <c r="H57" s="6">
        <v>40</v>
      </c>
      <c r="I57" s="6">
        <v>18398.060000000001</v>
      </c>
    </row>
    <row r="58" spans="1:9" x14ac:dyDescent="0.25">
      <c r="A58" s="64"/>
      <c r="B58" s="65"/>
      <c r="C58" s="43"/>
      <c r="D58" s="43"/>
      <c r="E58" s="43"/>
      <c r="F58" s="56"/>
      <c r="G58" s="44"/>
      <c r="H58" s="6"/>
      <c r="I58" s="6"/>
    </row>
    <row r="59" spans="1:9" x14ac:dyDescent="0.25">
      <c r="A59" s="64"/>
      <c r="B59" s="65"/>
      <c r="C59" s="43"/>
      <c r="D59" s="43"/>
      <c r="E59" s="43"/>
      <c r="F59" s="56"/>
      <c r="G59" s="44"/>
      <c r="H59" s="6"/>
      <c r="I59" s="6"/>
    </row>
    <row r="60" spans="1:9" x14ac:dyDescent="0.25">
      <c r="A60" s="66"/>
      <c r="B60" s="238"/>
      <c r="C60" s="13" t="s">
        <v>117</v>
      </c>
      <c r="D60" s="13"/>
      <c r="E60" s="13"/>
      <c r="F60" s="67"/>
      <c r="G60" s="15"/>
      <c r="H60" s="11"/>
      <c r="I60" s="11">
        <f>SUM(I53:I59)</f>
        <v>43693.67</v>
      </c>
    </row>
    <row r="61" spans="1:9" x14ac:dyDescent="0.25">
      <c r="A61" s="43"/>
      <c r="B61" s="43"/>
      <c r="C61" s="43"/>
      <c r="D61" s="43"/>
      <c r="E61" s="43"/>
      <c r="F61" s="43"/>
      <c r="G61" s="43"/>
      <c r="H61" s="43"/>
      <c r="I61" s="43"/>
    </row>
    <row r="62" spans="1:9" x14ac:dyDescent="0.25">
      <c r="A62" s="4"/>
      <c r="B62" s="4"/>
      <c r="C62" s="4"/>
      <c r="D62" s="43"/>
      <c r="E62" s="43"/>
      <c r="F62" s="43"/>
      <c r="G62" s="19"/>
      <c r="H62" s="43"/>
      <c r="I62" s="43"/>
    </row>
    <row r="63" spans="1:9" x14ac:dyDescent="0.25">
      <c r="A63" s="2"/>
      <c r="B63" s="2"/>
      <c r="C63" s="2" t="s">
        <v>72</v>
      </c>
      <c r="E63" s="2"/>
      <c r="F63" s="2"/>
      <c r="G63" s="2"/>
      <c r="H63" s="2"/>
    </row>
    <row r="64" spans="1:9" x14ac:dyDescent="0.25">
      <c r="A64" s="2" t="s">
        <v>1015</v>
      </c>
      <c r="B64" s="2"/>
      <c r="C64" s="2" t="s">
        <v>119</v>
      </c>
      <c r="D64" s="2"/>
      <c r="E64" s="2" t="s">
        <v>120</v>
      </c>
      <c r="H64" s="2" t="s">
        <v>121</v>
      </c>
      <c r="I64" s="2" t="s">
        <v>122</v>
      </c>
    </row>
    <row r="66" spans="1:1" x14ac:dyDescent="0.25">
      <c r="A66" s="43"/>
    </row>
  </sheetData>
  <pageMargins left="0.7" right="0.7" top="0.75" bottom="0.75" header="0.3" footer="0.3"/>
  <pageSetup paperSize="9"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1" workbookViewId="0">
      <selection activeCell="A47" sqref="A47"/>
    </sheetView>
  </sheetViews>
  <sheetFormatPr defaultRowHeight="15" x14ac:dyDescent="0.25"/>
  <cols>
    <col min="1" max="1" width="5.42578125" customWidth="1"/>
    <col min="2" max="2" width="33.28515625" customWidth="1"/>
    <col min="3" max="3" width="13.7109375" customWidth="1"/>
    <col min="8" max="8" width="11.28515625" customWidth="1"/>
    <col min="9" max="9" width="17.85546875" customWidth="1"/>
  </cols>
  <sheetData>
    <row r="1" spans="1:9" x14ac:dyDescent="0.25">
      <c r="A1" s="1" t="s">
        <v>1016</v>
      </c>
      <c r="B1" s="45"/>
    </row>
    <row r="2" spans="1:9" x14ac:dyDescent="0.25">
      <c r="A2" s="1"/>
      <c r="B2" s="1"/>
      <c r="C2" s="1" t="s">
        <v>1017</v>
      </c>
      <c r="D2" s="1"/>
      <c r="E2" s="1"/>
      <c r="F2" s="1"/>
      <c r="G2" s="1"/>
      <c r="H2" s="1"/>
      <c r="I2" s="158"/>
    </row>
    <row r="3" spans="1:9" x14ac:dyDescent="0.25">
      <c r="A3" s="1" t="s">
        <v>1018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1019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1020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1021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1022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1023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1024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8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323</v>
      </c>
      <c r="C18" s="161">
        <v>8.5500000000000007</v>
      </c>
      <c r="D18" s="16">
        <v>-9345.2000000000007</v>
      </c>
      <c r="E18" s="16">
        <v>26050.44</v>
      </c>
      <c r="F18" s="12">
        <v>22901.46</v>
      </c>
      <c r="G18" s="15">
        <f>E18</f>
        <v>26050.44</v>
      </c>
      <c r="H18" s="40">
        <f>D18+F18-G18</f>
        <v>-12494.18</v>
      </c>
      <c r="I18" s="16">
        <f>H18</f>
        <v>-12494.18</v>
      </c>
    </row>
    <row r="19" spans="1:9" x14ac:dyDescent="0.25">
      <c r="A19" s="6" t="s">
        <v>36</v>
      </c>
      <c r="B19" s="6" t="s">
        <v>217</v>
      </c>
      <c r="C19" s="19"/>
      <c r="D19" s="33"/>
      <c r="E19" s="26"/>
      <c r="F19" s="26"/>
      <c r="G19" s="19"/>
      <c r="H19" s="160" t="s">
        <v>72</v>
      </c>
      <c r="I19" s="32"/>
    </row>
    <row r="20" spans="1:9" x14ac:dyDescent="0.25">
      <c r="A20" s="17"/>
      <c r="B20" s="17" t="s">
        <v>218</v>
      </c>
      <c r="C20" s="162">
        <v>3.08</v>
      </c>
      <c r="D20" s="21"/>
      <c r="E20" s="21">
        <f>E18*36%</f>
        <v>9378.1583999999984</v>
      </c>
      <c r="F20" s="21">
        <f>F18*36%</f>
        <v>8244.525599999999</v>
      </c>
      <c r="G20" s="19">
        <f t="shared" ref="G20:G25" si="0">E20</f>
        <v>9378.1583999999984</v>
      </c>
      <c r="H20" s="21"/>
      <c r="I20" s="32"/>
    </row>
    <row r="21" spans="1:9" x14ac:dyDescent="0.25">
      <c r="A21" s="22" t="s">
        <v>38</v>
      </c>
      <c r="B21" s="5" t="s">
        <v>39</v>
      </c>
      <c r="C21" s="24">
        <v>1.51</v>
      </c>
      <c r="D21" s="33"/>
      <c r="E21" s="33">
        <f>E18*17.7%</f>
        <v>4610.9278799999993</v>
      </c>
      <c r="F21" s="33">
        <f>F18*17.7%</f>
        <v>4053.5584199999998</v>
      </c>
      <c r="G21" s="30">
        <f t="shared" si="0"/>
        <v>4610.9278799999993</v>
      </c>
      <c r="H21" s="20"/>
      <c r="I21" s="33"/>
    </row>
    <row r="22" spans="1:9" x14ac:dyDescent="0.25">
      <c r="A22" s="22" t="s">
        <v>40</v>
      </c>
      <c r="B22" s="5" t="s">
        <v>41</v>
      </c>
      <c r="C22" s="24">
        <v>1.36</v>
      </c>
      <c r="D22" s="30"/>
      <c r="E22" s="30">
        <f>E18*16%</f>
        <v>4168.0703999999996</v>
      </c>
      <c r="F22" s="30">
        <f>F18*16%</f>
        <v>3664.2336</v>
      </c>
      <c r="G22" s="19">
        <f t="shared" si="0"/>
        <v>4168.0703999999996</v>
      </c>
      <c r="H22" s="20"/>
      <c r="I22" s="30"/>
    </row>
    <row r="23" spans="1:9" x14ac:dyDescent="0.25">
      <c r="A23" s="31" t="s">
        <v>42</v>
      </c>
      <c r="B23" s="5" t="s">
        <v>43</v>
      </c>
      <c r="C23" s="24">
        <v>2.6</v>
      </c>
      <c r="D23" s="30"/>
      <c r="E23" s="26">
        <f>E18*30.3%</f>
        <v>7893.2833199999995</v>
      </c>
      <c r="F23" s="26">
        <f>F18*30.3%</f>
        <v>6939.1423799999993</v>
      </c>
      <c r="G23" s="30">
        <f t="shared" si="0"/>
        <v>7893.2833199999995</v>
      </c>
      <c r="H23" s="20"/>
      <c r="I23" s="30"/>
    </row>
    <row r="24" spans="1:9" x14ac:dyDescent="0.25">
      <c r="A24" s="31" t="s">
        <v>44</v>
      </c>
      <c r="B24" s="8" t="s">
        <v>47</v>
      </c>
      <c r="C24" s="184" t="s">
        <v>48</v>
      </c>
      <c r="D24" s="10">
        <v>-268.89</v>
      </c>
      <c r="E24" s="9">
        <v>1387.98</v>
      </c>
      <c r="F24" s="8">
        <v>1231.7</v>
      </c>
      <c r="G24" s="9">
        <f t="shared" si="0"/>
        <v>1387.98</v>
      </c>
      <c r="H24" s="8">
        <f>D24+F24-G24</f>
        <v>-425.16999999999996</v>
      </c>
      <c r="I24" s="195">
        <f>H24</f>
        <v>-425.16999999999996</v>
      </c>
    </row>
    <row r="25" spans="1:9" x14ac:dyDescent="0.25">
      <c r="A25" s="39" t="s">
        <v>51</v>
      </c>
      <c r="B25" s="11" t="s">
        <v>50</v>
      </c>
      <c r="C25" s="11">
        <v>4.5999999999999996</v>
      </c>
      <c r="D25" s="41">
        <v>-4302.4399999999996</v>
      </c>
      <c r="E25" s="11">
        <v>14015.28</v>
      </c>
      <c r="F25" s="11">
        <v>12392.48</v>
      </c>
      <c r="G25" s="13">
        <f t="shared" si="0"/>
        <v>14015.28</v>
      </c>
      <c r="H25" s="15">
        <f>D25+F25-G25</f>
        <v>-5925.2400000000007</v>
      </c>
      <c r="I25" s="38">
        <f>H25</f>
        <v>-5925.2400000000007</v>
      </c>
    </row>
    <row r="26" spans="1:9" x14ac:dyDescent="0.25">
      <c r="A26" s="10"/>
      <c r="B26" s="11" t="s">
        <v>310</v>
      </c>
      <c r="C26" s="39">
        <v>1.65</v>
      </c>
      <c r="D26" s="10">
        <v>56324.93</v>
      </c>
      <c r="E26" s="39">
        <v>5027.5200000000004</v>
      </c>
      <c r="F26" s="39">
        <f>F27+F28+F29</f>
        <v>30411.300000000003</v>
      </c>
      <c r="G26" s="39">
        <f>I48</f>
        <v>2800</v>
      </c>
      <c r="H26" s="55">
        <f>D26+F26-G26</f>
        <v>83936.23000000001</v>
      </c>
      <c r="I26" s="41"/>
    </row>
    <row r="27" spans="1:9" x14ac:dyDescent="0.25">
      <c r="A27" s="10"/>
      <c r="B27" s="8" t="s">
        <v>53</v>
      </c>
      <c r="C27" s="36"/>
      <c r="D27" s="36"/>
      <c r="E27" s="10">
        <v>0</v>
      </c>
      <c r="F27" s="10">
        <v>4479.93</v>
      </c>
      <c r="G27" s="10"/>
      <c r="H27" s="36"/>
      <c r="I27" s="38"/>
    </row>
    <row r="28" spans="1:9" x14ac:dyDescent="0.25">
      <c r="A28" s="11"/>
      <c r="B28" s="8" t="s">
        <v>54</v>
      </c>
      <c r="C28" s="4"/>
      <c r="D28" s="53"/>
      <c r="E28" s="63"/>
      <c r="F28" s="63">
        <v>4962.1499999999996</v>
      </c>
      <c r="G28" s="63"/>
      <c r="H28" s="53"/>
      <c r="I28" s="160"/>
    </row>
    <row r="29" spans="1:9" x14ac:dyDescent="0.25">
      <c r="A29" s="11"/>
      <c r="B29" s="17" t="s">
        <v>58</v>
      </c>
      <c r="C29" s="36"/>
      <c r="D29" s="36"/>
      <c r="E29" s="10"/>
      <c r="F29" s="10">
        <v>20969.22</v>
      </c>
      <c r="G29" s="10"/>
      <c r="H29" s="36"/>
      <c r="I29" s="38"/>
    </row>
    <row r="30" spans="1:9" x14ac:dyDescent="0.25">
      <c r="A30" s="10" t="s">
        <v>56</v>
      </c>
      <c r="B30" s="11" t="s">
        <v>895</v>
      </c>
      <c r="C30" s="35">
        <v>0</v>
      </c>
      <c r="D30" s="36">
        <v>20969.22</v>
      </c>
      <c r="E30" s="10"/>
      <c r="F30" s="10">
        <v>-20969.22</v>
      </c>
      <c r="G30" s="10">
        <v>0</v>
      </c>
      <c r="H30" s="36">
        <f>D30+F30-G30</f>
        <v>0</v>
      </c>
      <c r="I30" s="38"/>
    </row>
    <row r="31" spans="1:9" x14ac:dyDescent="0.25">
      <c r="A31" s="8"/>
      <c r="B31" s="8" t="s">
        <v>58</v>
      </c>
      <c r="C31" s="9"/>
      <c r="D31" s="7"/>
      <c r="E31" s="8">
        <v>0</v>
      </c>
      <c r="F31" s="8">
        <v>20969.22</v>
      </c>
      <c r="G31" s="9">
        <v>0</v>
      </c>
      <c r="H31" s="7"/>
      <c r="I31" s="21"/>
    </row>
    <row r="32" spans="1:9" x14ac:dyDescent="0.25">
      <c r="A32" s="1" t="s">
        <v>59</v>
      </c>
      <c r="B32" s="43"/>
      <c r="C32" s="43"/>
      <c r="D32" s="43"/>
      <c r="E32" s="43"/>
      <c r="F32" s="43"/>
      <c r="G32" s="43"/>
      <c r="H32" s="43"/>
      <c r="I32" s="19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4" t="s">
        <v>70</v>
      </c>
      <c r="B34" s="2"/>
      <c r="C34" s="2"/>
      <c r="E34" s="2"/>
      <c r="F34" s="2"/>
      <c r="G34" s="2"/>
      <c r="H34" s="2"/>
      <c r="I34" s="2"/>
    </row>
    <row r="35" spans="1:9" x14ac:dyDescent="0.25">
      <c r="A35" s="1" t="s">
        <v>71</v>
      </c>
    </row>
    <row r="36" spans="1:9" x14ac:dyDescent="0.25">
      <c r="A36" s="5"/>
      <c r="B36" s="159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46" t="s">
        <v>78</v>
      </c>
      <c r="H36" s="33" t="s">
        <v>15</v>
      </c>
      <c r="I36" s="47" t="s">
        <v>19</v>
      </c>
    </row>
    <row r="37" spans="1:9" x14ac:dyDescent="0.25">
      <c r="A37" s="6"/>
      <c r="B37" s="4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49" t="s">
        <v>85</v>
      </c>
      <c r="H37" s="26" t="s">
        <v>25</v>
      </c>
      <c r="I37" s="56" t="s">
        <v>87</v>
      </c>
    </row>
    <row r="38" spans="1:9" x14ac:dyDescent="0.25">
      <c r="A38" s="17"/>
      <c r="B38" s="43"/>
      <c r="C38" s="6"/>
      <c r="D38" s="43"/>
      <c r="E38" s="6"/>
      <c r="F38" s="43" t="s">
        <v>88</v>
      </c>
      <c r="G38" s="49" t="s">
        <v>89</v>
      </c>
      <c r="H38" s="26" t="s">
        <v>221</v>
      </c>
      <c r="I38" s="56" t="s">
        <v>221</v>
      </c>
    </row>
    <row r="39" spans="1:9" x14ac:dyDescent="0.25">
      <c r="A39" s="11">
        <v>1</v>
      </c>
      <c r="B39" s="48" t="s">
        <v>91</v>
      </c>
      <c r="C39" s="35" t="s">
        <v>92</v>
      </c>
      <c r="D39" s="8">
        <v>-66797.87</v>
      </c>
      <c r="E39" s="8">
        <v>72466.52</v>
      </c>
      <c r="F39" s="8">
        <v>45723.23</v>
      </c>
      <c r="G39" s="59">
        <f>E39</f>
        <v>72466.52</v>
      </c>
      <c r="H39" s="8">
        <f>D39+F39-G39</f>
        <v>-93541.16</v>
      </c>
      <c r="I39" s="8">
        <f>H39</f>
        <v>-93541.16</v>
      </c>
    </row>
    <row r="40" spans="1:9" x14ac:dyDescent="0.25">
      <c r="A40" s="35"/>
      <c r="B40" s="8" t="s">
        <v>487</v>
      </c>
      <c r="C40" s="35" t="s">
        <v>94</v>
      </c>
      <c r="D40" s="8"/>
      <c r="E40" s="9"/>
      <c r="F40" s="8"/>
      <c r="G40" s="59"/>
      <c r="H40" s="8"/>
      <c r="I40" s="8"/>
    </row>
    <row r="41" spans="1:9" x14ac:dyDescent="0.25">
      <c r="A41" s="4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43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5" t="s">
        <v>12</v>
      </c>
      <c r="B43" s="5" t="s">
        <v>1025</v>
      </c>
      <c r="C43" s="46" t="s">
        <v>104</v>
      </c>
      <c r="D43" s="54"/>
      <c r="E43" s="54"/>
      <c r="F43" s="47"/>
      <c r="G43" s="5" t="s">
        <v>105</v>
      </c>
      <c r="H43" s="5" t="s">
        <v>106</v>
      </c>
      <c r="I43" s="47" t="s">
        <v>107</v>
      </c>
    </row>
    <row r="44" spans="1:9" x14ac:dyDescent="0.25">
      <c r="A44" s="6" t="s">
        <v>20</v>
      </c>
      <c r="B44" s="17"/>
      <c r="C44" s="50"/>
      <c r="D44" s="61"/>
      <c r="E44" s="61"/>
      <c r="F44" s="51"/>
      <c r="G44" s="6"/>
      <c r="H44" s="6"/>
      <c r="I44" s="56" t="s">
        <v>109</v>
      </c>
    </row>
    <row r="45" spans="1:9" x14ac:dyDescent="0.25">
      <c r="A45" s="227"/>
      <c r="B45" s="39"/>
      <c r="C45" s="4" t="s">
        <v>110</v>
      </c>
      <c r="D45" s="4"/>
      <c r="E45" s="4"/>
      <c r="F45" s="43"/>
      <c r="G45" s="5"/>
      <c r="H45" s="5"/>
      <c r="I45" s="47"/>
    </row>
    <row r="46" spans="1:9" x14ac:dyDescent="0.25">
      <c r="A46" s="64" t="s">
        <v>111</v>
      </c>
      <c r="B46" s="65">
        <v>43424</v>
      </c>
      <c r="C46" s="43" t="s">
        <v>254</v>
      </c>
      <c r="D46" s="43"/>
      <c r="E46" s="43"/>
      <c r="F46" s="43" t="s">
        <v>72</v>
      </c>
      <c r="G46" s="26" t="s">
        <v>255</v>
      </c>
      <c r="H46" s="6">
        <v>2</v>
      </c>
      <c r="I46" s="56">
        <v>2800</v>
      </c>
    </row>
    <row r="47" spans="1:9" x14ac:dyDescent="0.25">
      <c r="A47" s="317"/>
      <c r="B47" s="39"/>
      <c r="C47" s="4"/>
      <c r="D47" s="43"/>
      <c r="E47" s="43"/>
      <c r="F47" s="43"/>
      <c r="G47" s="6"/>
      <c r="H47" s="6"/>
      <c r="I47" s="56"/>
    </row>
    <row r="48" spans="1:9" x14ac:dyDescent="0.25">
      <c r="A48" s="66"/>
      <c r="B48" s="238"/>
      <c r="C48" s="61" t="s">
        <v>117</v>
      </c>
      <c r="D48" s="61"/>
      <c r="E48" s="61"/>
      <c r="F48" s="13"/>
      <c r="G48" s="21"/>
      <c r="H48" s="11"/>
      <c r="I48" s="51">
        <f>SUM(I45:I47)</f>
        <v>2800</v>
      </c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2" t="s">
        <v>1026</v>
      </c>
      <c r="B50" s="2"/>
      <c r="C50" s="2"/>
      <c r="D50" s="2" t="s">
        <v>119</v>
      </c>
      <c r="E50" s="2"/>
      <c r="F50" s="2" t="s">
        <v>120</v>
      </c>
      <c r="G50" s="2"/>
      <c r="H50" s="2" t="s">
        <v>121</v>
      </c>
      <c r="I50" s="2" t="s">
        <v>876</v>
      </c>
    </row>
    <row r="51" spans="1:9" x14ac:dyDescent="0.25">
      <c r="A51" s="2"/>
      <c r="B51" s="2"/>
    </row>
  </sheetData>
  <pageMargins left="0.7" right="0.7" top="0.75" bottom="0.75" header="0.3" footer="0.3"/>
  <pageSetup paperSize="9"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5" workbookViewId="0">
      <selection activeCell="D9" sqref="D9"/>
    </sheetView>
  </sheetViews>
  <sheetFormatPr defaultRowHeight="15" x14ac:dyDescent="0.25"/>
  <cols>
    <col min="1" max="1" width="5.28515625" customWidth="1"/>
    <col min="2" max="2" width="34.5703125" customWidth="1"/>
    <col min="3" max="3" width="13.140625" customWidth="1"/>
    <col min="5" max="5" width="10" customWidth="1"/>
    <col min="6" max="6" width="18.7109375" customWidth="1"/>
    <col min="8" max="8" width="11.7109375" customWidth="1"/>
    <col min="9" max="9" width="20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890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891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892</v>
      </c>
      <c r="B8" s="2"/>
      <c r="C8" s="2"/>
      <c r="D8" s="2"/>
      <c r="E8" s="1"/>
      <c r="F8" s="1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893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323</v>
      </c>
      <c r="C18" s="11">
        <v>8.5500000000000007</v>
      </c>
      <c r="D18" s="16">
        <v>-7907.7</v>
      </c>
      <c r="E18" s="13">
        <v>341157.75</v>
      </c>
      <c r="F18" s="14">
        <v>353424.46</v>
      </c>
      <c r="G18" s="16">
        <f t="shared" ref="G18:G25" si="0">E18</f>
        <v>341157.75</v>
      </c>
      <c r="H18" s="12">
        <f>D18+F18-G18</f>
        <v>4359.0100000000093</v>
      </c>
      <c r="I18" s="16"/>
    </row>
    <row r="19" spans="1:9" x14ac:dyDescent="0.25">
      <c r="A19" s="301" t="s">
        <v>138</v>
      </c>
      <c r="B19" s="17" t="s">
        <v>37</v>
      </c>
      <c r="C19" s="17">
        <v>3.08</v>
      </c>
      <c r="D19" s="18"/>
      <c r="E19" s="162">
        <f>E18*36/100</f>
        <v>122816.79</v>
      </c>
      <c r="F19" s="20">
        <f>F18*36/100</f>
        <v>127232.80560000001</v>
      </c>
      <c r="G19" s="21">
        <f t="shared" si="0"/>
        <v>122816.79</v>
      </c>
      <c r="H19" s="18"/>
      <c r="I19" s="21"/>
    </row>
    <row r="20" spans="1:9" x14ac:dyDescent="0.25">
      <c r="A20" s="22" t="s">
        <v>38</v>
      </c>
      <c r="B20" s="5" t="s">
        <v>39</v>
      </c>
      <c r="C20" s="5">
        <v>1.51</v>
      </c>
      <c r="D20" s="23"/>
      <c r="E20" s="24">
        <f>E18*17.7/100</f>
        <v>60384.921750000001</v>
      </c>
      <c r="F20" s="25">
        <f>F18*17.7/100</f>
        <v>62556.129419999997</v>
      </c>
      <c r="G20" s="26">
        <f t="shared" si="0"/>
        <v>60384.921750000001</v>
      </c>
      <c r="H20" s="23"/>
      <c r="I20" s="33"/>
    </row>
    <row r="21" spans="1:9" x14ac:dyDescent="0.25">
      <c r="A21" s="22" t="s">
        <v>40</v>
      </c>
      <c r="B21" s="5" t="s">
        <v>41</v>
      </c>
      <c r="C21" s="5">
        <v>1.36</v>
      </c>
      <c r="D21" s="30"/>
      <c r="E21" s="24">
        <f>E18*16/100</f>
        <v>54585.24</v>
      </c>
      <c r="F21" s="25">
        <f>F18*16/100</f>
        <v>56547.9136</v>
      </c>
      <c r="G21" s="30">
        <f t="shared" si="0"/>
        <v>54585.24</v>
      </c>
      <c r="H21" s="30"/>
      <c r="I21" s="33"/>
    </row>
    <row r="22" spans="1:9" x14ac:dyDescent="0.25">
      <c r="A22" s="31" t="s">
        <v>42</v>
      </c>
      <c r="B22" s="8" t="s">
        <v>43</v>
      </c>
      <c r="C22" s="8">
        <v>2.6</v>
      </c>
      <c r="D22" s="27"/>
      <c r="E22" s="28">
        <f>E18*30.3/100</f>
        <v>103370.79825000001</v>
      </c>
      <c r="F22" s="29">
        <f>F18*30.3/100</f>
        <v>107087.61138</v>
      </c>
      <c r="G22" s="30">
        <f t="shared" si="0"/>
        <v>103370.79825000001</v>
      </c>
      <c r="H22" s="27"/>
      <c r="I22" s="30"/>
    </row>
    <row r="23" spans="1:9" x14ac:dyDescent="0.25">
      <c r="A23" s="31" t="s">
        <v>44</v>
      </c>
      <c r="B23" s="8" t="s">
        <v>47</v>
      </c>
      <c r="C23" s="8" t="s">
        <v>48</v>
      </c>
      <c r="D23" s="5">
        <v>-4062.28</v>
      </c>
      <c r="E23" s="54">
        <v>27063.3</v>
      </c>
      <c r="F23" s="46">
        <v>27059.23</v>
      </c>
      <c r="G23" s="5">
        <f>E23</f>
        <v>27063.3</v>
      </c>
      <c r="H23" s="5">
        <f>D23+F23-G23</f>
        <v>-4066.3499999999985</v>
      </c>
      <c r="I23" s="195">
        <f>H23</f>
        <v>-4066.3499999999985</v>
      </c>
    </row>
    <row r="24" spans="1:9" x14ac:dyDescent="0.25">
      <c r="A24" s="31" t="s">
        <v>472</v>
      </c>
      <c r="B24" s="8" t="s">
        <v>418</v>
      </c>
      <c r="C24" s="8">
        <v>1755.25</v>
      </c>
      <c r="D24" s="27">
        <v>-2274.63</v>
      </c>
      <c r="E24" s="28">
        <v>12403.74</v>
      </c>
      <c r="F24" s="29">
        <v>12073.17</v>
      </c>
      <c r="G24" s="30">
        <f>E24</f>
        <v>12403.74</v>
      </c>
      <c r="H24" s="27">
        <f>D24+F24-E24</f>
        <v>-2605.1999999999989</v>
      </c>
      <c r="I24" s="38">
        <f>H24</f>
        <v>-2605.1999999999989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290">
        <v>-17033.419999999998</v>
      </c>
      <c r="E25" s="10">
        <v>183545.52</v>
      </c>
      <c r="F25" s="36">
        <v>181410.17</v>
      </c>
      <c r="G25" s="38">
        <f t="shared" si="0"/>
        <v>183545.52</v>
      </c>
      <c r="H25" s="290">
        <f>D25+F25-G25</f>
        <v>-19168.76999999999</v>
      </c>
      <c r="I25" s="38">
        <f>H25</f>
        <v>-19168.76999999999</v>
      </c>
    </row>
    <row r="26" spans="1:9" x14ac:dyDescent="0.25">
      <c r="A26" s="11" t="s">
        <v>51</v>
      </c>
      <c r="B26" s="11" t="s">
        <v>310</v>
      </c>
      <c r="C26" s="11">
        <v>1.65</v>
      </c>
      <c r="D26" s="37">
        <v>-43370.3</v>
      </c>
      <c r="E26" s="10">
        <v>65839.47</v>
      </c>
      <c r="F26" s="10">
        <f>F27+F28</f>
        <v>82589.62</v>
      </c>
      <c r="G26" s="10">
        <f>I56</f>
        <v>22142.21</v>
      </c>
      <c r="H26" s="38">
        <f>D26+F26-G26</f>
        <v>17077.109999999993</v>
      </c>
      <c r="I26" s="16"/>
    </row>
    <row r="27" spans="1:9" x14ac:dyDescent="0.25">
      <c r="A27" s="11"/>
      <c r="B27" s="17" t="s">
        <v>894</v>
      </c>
      <c r="C27" s="13"/>
      <c r="D27" s="15"/>
      <c r="E27" s="10"/>
      <c r="F27" s="11">
        <v>73279.58</v>
      </c>
      <c r="G27" s="14"/>
      <c r="H27" s="16"/>
      <c r="I27" s="16"/>
    </row>
    <row r="28" spans="1:9" x14ac:dyDescent="0.25">
      <c r="A28" s="11"/>
      <c r="B28" s="17" t="s">
        <v>296</v>
      </c>
      <c r="C28" s="13"/>
      <c r="D28" s="15"/>
      <c r="E28" s="11"/>
      <c r="F28" s="11">
        <v>9310.0400000000009</v>
      </c>
      <c r="G28" s="14"/>
      <c r="H28" s="16"/>
      <c r="I28" s="16"/>
    </row>
    <row r="29" spans="1:9" x14ac:dyDescent="0.25">
      <c r="A29" s="10" t="s">
        <v>56</v>
      </c>
      <c r="B29" s="10" t="s">
        <v>895</v>
      </c>
      <c r="C29" s="35"/>
      <c r="D29" s="38">
        <v>9268.33</v>
      </c>
      <c r="E29" s="35">
        <f>E30</f>
        <v>0</v>
      </c>
      <c r="F29" s="10">
        <v>-9310.0400000000009</v>
      </c>
      <c r="G29" s="36">
        <v>0</v>
      </c>
      <c r="H29" s="38">
        <v>0</v>
      </c>
      <c r="I29" s="38"/>
    </row>
    <row r="30" spans="1:9" x14ac:dyDescent="0.25">
      <c r="A30" s="8"/>
      <c r="B30" s="8" t="s">
        <v>398</v>
      </c>
      <c r="C30" s="9"/>
      <c r="D30" s="21"/>
      <c r="E30" s="9">
        <v>0</v>
      </c>
      <c r="F30" s="8">
        <v>41.71</v>
      </c>
      <c r="G30" s="7">
        <v>0</v>
      </c>
      <c r="H30" s="21"/>
      <c r="I30" s="30"/>
    </row>
    <row r="31" spans="1:9" x14ac:dyDescent="0.25">
      <c r="A31" s="8"/>
      <c r="B31" s="8" t="s">
        <v>58</v>
      </c>
      <c r="C31" s="9"/>
      <c r="D31" s="30"/>
      <c r="E31" s="9"/>
      <c r="F31" s="8">
        <v>9310.0400000000009</v>
      </c>
      <c r="G31" s="9"/>
      <c r="H31" s="30"/>
      <c r="I31" s="21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4" spans="1:9" x14ac:dyDescent="0.25">
      <c r="A34" s="53" t="s">
        <v>60</v>
      </c>
      <c r="B34" s="46" t="s">
        <v>61</v>
      </c>
      <c r="C34" s="8" t="s">
        <v>62</v>
      </c>
      <c r="D34" s="8" t="s">
        <v>63</v>
      </c>
      <c r="E34" s="8" t="s">
        <v>476</v>
      </c>
      <c r="F34" s="8" t="s">
        <v>62</v>
      </c>
      <c r="G34" s="8"/>
      <c r="H34" s="7" t="s">
        <v>195</v>
      </c>
      <c r="I34" s="48"/>
    </row>
    <row r="35" spans="1:9" x14ac:dyDescent="0.25">
      <c r="A35" s="55"/>
      <c r="B35" s="49"/>
      <c r="C35" s="17" t="s">
        <v>67</v>
      </c>
      <c r="D35" s="51" t="s">
        <v>23</v>
      </c>
      <c r="E35" s="8" t="s">
        <v>312</v>
      </c>
      <c r="F35" s="8" t="s">
        <v>30</v>
      </c>
      <c r="G35" s="48"/>
      <c r="H35" s="61"/>
      <c r="I35" s="51"/>
    </row>
    <row r="36" spans="1:9" x14ac:dyDescent="0.25">
      <c r="A36" s="50"/>
      <c r="B36" s="50" t="s">
        <v>69</v>
      </c>
      <c r="C36" s="30">
        <v>15620.55</v>
      </c>
      <c r="D36" s="51">
        <v>6000</v>
      </c>
      <c r="E36" s="30">
        <f>D36*15%</f>
        <v>900</v>
      </c>
      <c r="F36" s="30">
        <f>C36+(D36-E36)</f>
        <v>20720.55</v>
      </c>
      <c r="G36" s="27"/>
      <c r="H36" s="162">
        <f>F36-G36</f>
        <v>20720.55</v>
      </c>
      <c r="I36" s="51"/>
    </row>
    <row r="37" spans="1:9" x14ac:dyDescent="0.25">
      <c r="A37" s="43"/>
      <c r="B37" s="43"/>
      <c r="C37" s="19"/>
      <c r="D37" s="43"/>
      <c r="E37" s="19"/>
      <c r="F37" s="19"/>
      <c r="G37" s="19"/>
      <c r="H37" s="19"/>
      <c r="I37" s="43"/>
    </row>
    <row r="38" spans="1:9" x14ac:dyDescent="0.25">
      <c r="A38" s="4" t="s">
        <v>70</v>
      </c>
      <c r="B38" s="4"/>
      <c r="C38" s="4"/>
      <c r="D38" s="52"/>
      <c r="E38" s="4"/>
      <c r="F38" s="4"/>
      <c r="G38" s="4"/>
      <c r="H38" s="4"/>
      <c r="I38" s="4"/>
    </row>
    <row r="39" spans="1:9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78</v>
      </c>
      <c r="H40" s="54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43" t="s">
        <v>896</v>
      </c>
      <c r="I41" s="6" t="s">
        <v>87</v>
      </c>
    </row>
    <row r="42" spans="1:9" x14ac:dyDescent="0.25">
      <c r="A42" s="6"/>
      <c r="B42" s="49"/>
      <c r="C42" s="6"/>
      <c r="D42" s="43"/>
      <c r="E42" s="6"/>
      <c r="F42" s="43" t="s">
        <v>88</v>
      </c>
      <c r="G42" s="6" t="s">
        <v>89</v>
      </c>
      <c r="H42" s="43" t="s">
        <v>33</v>
      </c>
      <c r="I42" s="6" t="s">
        <v>30</v>
      </c>
    </row>
    <row r="43" spans="1:9" x14ac:dyDescent="0.25">
      <c r="A43" s="6"/>
      <c r="B43" s="49"/>
      <c r="C43" s="6"/>
      <c r="D43" s="43"/>
      <c r="E43" s="6"/>
      <c r="F43" s="43"/>
      <c r="G43" s="226"/>
      <c r="H43" s="43"/>
      <c r="I43" s="6" t="s">
        <v>888</v>
      </c>
    </row>
    <row r="44" spans="1:9" x14ac:dyDescent="0.25">
      <c r="A44" s="8">
        <v>1</v>
      </c>
      <c r="B44" s="8" t="s">
        <v>91</v>
      </c>
      <c r="C44" s="36" t="s">
        <v>92</v>
      </c>
      <c r="D44" s="8">
        <v>-80594.38</v>
      </c>
      <c r="E44" s="196">
        <v>505332.19</v>
      </c>
      <c r="F44" s="7">
        <v>480748.64</v>
      </c>
      <c r="G44" s="8">
        <f>E44</f>
        <v>505332.19</v>
      </c>
      <c r="H44" s="8">
        <f>D44+F44-G44</f>
        <v>-105177.93</v>
      </c>
      <c r="I44" s="48">
        <f>H44</f>
        <v>-105177.93</v>
      </c>
    </row>
    <row r="45" spans="1:9" x14ac:dyDescent="0.25">
      <c r="A45" s="8"/>
      <c r="B45" s="8" t="s">
        <v>685</v>
      </c>
      <c r="C45" s="35" t="s">
        <v>94</v>
      </c>
      <c r="D45" s="8"/>
      <c r="E45" s="59"/>
      <c r="F45" s="7"/>
      <c r="G45" s="17"/>
      <c r="H45" s="17"/>
      <c r="I45" s="48"/>
    </row>
    <row r="46" spans="1:9" x14ac:dyDescent="0.25">
      <c r="A46" s="8">
        <v>2</v>
      </c>
      <c r="B46" s="8" t="s">
        <v>99</v>
      </c>
      <c r="C46" s="35" t="s">
        <v>100</v>
      </c>
      <c r="D46" s="8">
        <v>-347019.42</v>
      </c>
      <c r="E46" s="9">
        <v>1096111.53</v>
      </c>
      <c r="F46" s="7">
        <v>1047820.73</v>
      </c>
      <c r="G46" s="17">
        <f>E46</f>
        <v>1096111.53</v>
      </c>
      <c r="H46" s="17">
        <f>D46+F46-G46</f>
        <v>-395310.22</v>
      </c>
      <c r="I46" s="48">
        <f>H46</f>
        <v>-395310.22</v>
      </c>
    </row>
    <row r="47" spans="1:9" x14ac:dyDescent="0.25">
      <c r="A47" s="1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54" t="s">
        <v>199</v>
      </c>
      <c r="H49" s="5" t="s">
        <v>200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56"/>
      <c r="G50" s="43" t="s">
        <v>201</v>
      </c>
      <c r="H50" s="6"/>
      <c r="I50" s="6" t="s">
        <v>897</v>
      </c>
    </row>
    <row r="51" spans="1:9" x14ac:dyDescent="0.25">
      <c r="A51" s="49"/>
      <c r="B51" s="17"/>
      <c r="C51" s="50"/>
      <c r="D51" s="61"/>
      <c r="E51" s="61"/>
      <c r="F51" s="51"/>
      <c r="G51" s="43"/>
      <c r="H51" s="6"/>
      <c r="I51" s="6"/>
    </row>
    <row r="52" spans="1:9" x14ac:dyDescent="0.25">
      <c r="A52" s="62"/>
      <c r="B52" s="53"/>
      <c r="C52" s="55" t="s">
        <v>110</v>
      </c>
      <c r="D52" s="4"/>
      <c r="E52" s="4"/>
      <c r="F52" s="56"/>
      <c r="G52" s="54"/>
      <c r="H52" s="5"/>
      <c r="I52" s="5"/>
    </row>
    <row r="53" spans="1:9" x14ac:dyDescent="0.25">
      <c r="A53" s="64" t="s">
        <v>111</v>
      </c>
      <c r="B53" s="232">
        <v>43159</v>
      </c>
      <c r="C53" s="49" t="s">
        <v>898</v>
      </c>
      <c r="D53" s="43"/>
      <c r="E53" s="43"/>
      <c r="F53" s="56" t="s">
        <v>72</v>
      </c>
      <c r="G53" s="19" t="s">
        <v>116</v>
      </c>
      <c r="H53" s="6">
        <v>1.75</v>
      </c>
      <c r="I53" s="6">
        <v>1630.98</v>
      </c>
    </row>
    <row r="54" spans="1:9" x14ac:dyDescent="0.25">
      <c r="A54" s="64" t="s">
        <v>114</v>
      </c>
      <c r="B54" s="69">
        <v>43186</v>
      </c>
      <c r="C54" s="49" t="s">
        <v>237</v>
      </c>
      <c r="D54" s="43"/>
      <c r="E54" s="43"/>
      <c r="F54" s="56"/>
      <c r="G54" s="19" t="s">
        <v>113</v>
      </c>
      <c r="H54" s="6">
        <v>78</v>
      </c>
      <c r="I54" s="6">
        <v>15600</v>
      </c>
    </row>
    <row r="55" spans="1:9" x14ac:dyDescent="0.25">
      <c r="A55" s="64" t="s">
        <v>170</v>
      </c>
      <c r="B55" s="232">
        <v>43376</v>
      </c>
      <c r="C55" s="49" t="s">
        <v>899</v>
      </c>
      <c r="D55" s="43"/>
      <c r="E55" s="43"/>
      <c r="F55" s="32"/>
      <c r="G55" s="19" t="s">
        <v>205</v>
      </c>
      <c r="H55" s="6">
        <v>1</v>
      </c>
      <c r="I55" s="6">
        <v>4911.2299999999996</v>
      </c>
    </row>
    <row r="56" spans="1:9" x14ac:dyDescent="0.25">
      <c r="A56" s="66"/>
      <c r="B56" s="50"/>
      <c r="C56" s="14" t="s">
        <v>117</v>
      </c>
      <c r="D56" s="13"/>
      <c r="E56" s="13"/>
      <c r="F56" s="67"/>
      <c r="G56" s="161"/>
      <c r="H56" s="11"/>
      <c r="I56" s="11">
        <f>SUM(I53:I55)</f>
        <v>22142.21</v>
      </c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2"/>
      <c r="B58" s="2"/>
      <c r="C58" s="2" t="s">
        <v>72</v>
      </c>
      <c r="E58" s="2"/>
      <c r="F58" s="2"/>
      <c r="G58" s="2"/>
      <c r="H58" s="2"/>
      <c r="I58" s="2"/>
    </row>
    <row r="59" spans="1:9" x14ac:dyDescent="0.25">
      <c r="A59" s="2" t="s">
        <v>900</v>
      </c>
      <c r="B59" s="2"/>
      <c r="C59" s="2" t="s">
        <v>207</v>
      </c>
      <c r="D59" s="2" t="s">
        <v>119</v>
      </c>
      <c r="E59" s="2"/>
      <c r="F59" s="2" t="s">
        <v>120</v>
      </c>
      <c r="G59" s="2" t="s">
        <v>72</v>
      </c>
      <c r="H59" s="2" t="s">
        <v>121</v>
      </c>
      <c r="I59" s="2" t="s">
        <v>122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3" workbookViewId="0">
      <selection activeCell="B56" sqref="B56:L57"/>
    </sheetView>
  </sheetViews>
  <sheetFormatPr defaultRowHeight="15" x14ac:dyDescent="0.25"/>
  <cols>
    <col min="1" max="1" width="5.28515625" customWidth="1"/>
    <col min="2" max="2" width="33.5703125" customWidth="1"/>
    <col min="3" max="3" width="13.5703125" customWidth="1"/>
    <col min="4" max="4" width="12.42578125" customWidth="1"/>
    <col min="5" max="5" width="11.42578125" customWidth="1"/>
    <col min="6" max="6" width="11.5703125" customWidth="1"/>
    <col min="7" max="7" width="11.42578125" customWidth="1"/>
    <col min="8" max="8" width="10.7109375" customWidth="1"/>
    <col min="9" max="9" width="19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1027</v>
      </c>
      <c r="B6" s="2"/>
      <c r="C6" s="2"/>
      <c r="D6" s="1"/>
      <c r="E6" s="2"/>
      <c r="F6" s="2"/>
      <c r="G6" s="2"/>
      <c r="H6" s="2"/>
      <c r="I6" s="2"/>
    </row>
    <row r="7" spans="1:9" x14ac:dyDescent="0.25">
      <c r="A7" s="2" t="s">
        <v>1028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1029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1030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270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5">
        <v>4</v>
      </c>
      <c r="E17" s="9">
        <v>5</v>
      </c>
      <c r="F17" s="8">
        <v>6</v>
      </c>
      <c r="G17" s="9">
        <v>7</v>
      </c>
      <c r="H17" s="7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159" t="s">
        <v>72</v>
      </c>
      <c r="D18" s="53"/>
      <c r="E18" s="160" t="s">
        <v>72</v>
      </c>
      <c r="F18" s="63" t="s">
        <v>72</v>
      </c>
      <c r="G18" s="159"/>
      <c r="H18" s="53" t="s">
        <v>72</v>
      </c>
      <c r="I18" s="160" t="s">
        <v>72</v>
      </c>
    </row>
    <row r="19" spans="1:9" x14ac:dyDescent="0.25">
      <c r="A19" s="14"/>
      <c r="B19" s="11" t="s">
        <v>187</v>
      </c>
      <c r="C19" s="13">
        <v>8.5500000000000007</v>
      </c>
      <c r="D19" s="14">
        <v>-3868.74</v>
      </c>
      <c r="E19" s="11">
        <v>25660.560000000001</v>
      </c>
      <c r="F19" s="11">
        <v>17357.919999999998</v>
      </c>
      <c r="G19" s="13">
        <f>E19</f>
        <v>25660.560000000001</v>
      </c>
      <c r="H19" s="14">
        <f>D19+F19-G19</f>
        <v>-12171.380000000003</v>
      </c>
      <c r="I19" s="16">
        <f>H19</f>
        <v>-12171.380000000003</v>
      </c>
    </row>
    <row r="20" spans="1:9" x14ac:dyDescent="0.25">
      <c r="A20" s="6" t="s">
        <v>36</v>
      </c>
      <c r="B20" s="17" t="s">
        <v>37</v>
      </c>
      <c r="C20" s="61">
        <v>3.08</v>
      </c>
      <c r="D20" s="20"/>
      <c r="E20" s="21">
        <f>E19*36%</f>
        <v>9237.8016000000007</v>
      </c>
      <c r="F20" s="21">
        <f>F19*36%</f>
        <v>6248.8511999999992</v>
      </c>
      <c r="G20" s="162">
        <f t="shared" ref="G20:G25" si="0">E20</f>
        <v>9237.8016000000007</v>
      </c>
      <c r="H20" s="20"/>
      <c r="I20" s="21"/>
    </row>
    <row r="21" spans="1:9" x14ac:dyDescent="0.25">
      <c r="A21" s="22" t="s">
        <v>38</v>
      </c>
      <c r="B21" s="5" t="s">
        <v>39</v>
      </c>
      <c r="C21" s="54">
        <v>1.51</v>
      </c>
      <c r="D21" s="44"/>
      <c r="E21" s="33">
        <f>E19*17.7%</f>
        <v>4541.9191199999996</v>
      </c>
      <c r="F21" s="33">
        <f>F19*17.7%</f>
        <v>3072.3518399999994</v>
      </c>
      <c r="G21" s="24">
        <f t="shared" si="0"/>
        <v>4541.9191199999996</v>
      </c>
      <c r="H21" s="44"/>
      <c r="I21" s="26"/>
    </row>
    <row r="22" spans="1:9" x14ac:dyDescent="0.25">
      <c r="A22" s="22" t="s">
        <v>40</v>
      </c>
      <c r="B22" s="5" t="s">
        <v>41</v>
      </c>
      <c r="C22" s="54">
        <v>1.36</v>
      </c>
      <c r="D22" s="25"/>
      <c r="E22" s="33">
        <f>E19*16/100</f>
        <v>4105.6896000000006</v>
      </c>
      <c r="F22" s="33">
        <f>F19*16%</f>
        <v>2777.2671999999998</v>
      </c>
      <c r="G22" s="24">
        <f t="shared" si="0"/>
        <v>4105.6896000000006</v>
      </c>
      <c r="H22" s="25"/>
      <c r="I22" s="33"/>
    </row>
    <row r="23" spans="1:9" x14ac:dyDescent="0.25">
      <c r="A23" s="22" t="s">
        <v>42</v>
      </c>
      <c r="B23" s="5" t="s">
        <v>43</v>
      </c>
      <c r="C23" s="54">
        <v>2.6</v>
      </c>
      <c r="D23" s="25"/>
      <c r="E23" s="33">
        <f>E19*30.3%</f>
        <v>7775.1496800000004</v>
      </c>
      <c r="F23" s="33">
        <f>F19*30.3%</f>
        <v>5259.4497599999995</v>
      </c>
      <c r="G23" s="24">
        <f t="shared" si="0"/>
        <v>7775.1496800000004</v>
      </c>
      <c r="H23" s="25"/>
      <c r="I23" s="33"/>
    </row>
    <row r="24" spans="1:9" x14ac:dyDescent="0.25">
      <c r="A24" s="22" t="s">
        <v>44</v>
      </c>
      <c r="B24" s="5" t="s">
        <v>1005</v>
      </c>
      <c r="C24" s="54" t="s">
        <v>48</v>
      </c>
      <c r="D24" s="25">
        <v>-684.05</v>
      </c>
      <c r="E24" s="33">
        <v>5786.04</v>
      </c>
      <c r="F24" s="33">
        <v>3864.82</v>
      </c>
      <c r="G24" s="24">
        <f t="shared" si="0"/>
        <v>5786.04</v>
      </c>
      <c r="H24" s="25">
        <f>D24+F24-E24</f>
        <v>-2605.2699999999995</v>
      </c>
      <c r="I24" s="160">
        <f>H24</f>
        <v>-2605.2699999999995</v>
      </c>
    </row>
    <row r="25" spans="1:9" x14ac:dyDescent="0.25">
      <c r="A25" s="10" t="s">
        <v>49</v>
      </c>
      <c r="B25" s="10" t="s">
        <v>50</v>
      </c>
      <c r="C25" s="35">
        <v>4.5999999999999996</v>
      </c>
      <c r="D25" s="36">
        <v>-7189.37</v>
      </c>
      <c r="E25" s="10">
        <v>13805.52</v>
      </c>
      <c r="F25" s="10">
        <v>9341.7000000000007</v>
      </c>
      <c r="G25" s="35">
        <f t="shared" si="0"/>
        <v>13805.52</v>
      </c>
      <c r="H25" s="36">
        <f>D25+F25-G25</f>
        <v>-11653.189999999999</v>
      </c>
      <c r="I25" s="38">
        <f>H25</f>
        <v>-11653.189999999999</v>
      </c>
    </row>
    <row r="26" spans="1:9" x14ac:dyDescent="0.25">
      <c r="A26" s="10" t="s">
        <v>51</v>
      </c>
      <c r="B26" s="10" t="s">
        <v>310</v>
      </c>
      <c r="C26" s="35">
        <v>1.65</v>
      </c>
      <c r="D26" s="36">
        <v>43991.32</v>
      </c>
      <c r="E26" s="10">
        <v>4952.28</v>
      </c>
      <c r="F26" s="10">
        <f>F27+F28+F29</f>
        <v>16238.060000000001</v>
      </c>
      <c r="G26" s="35">
        <f>I50</f>
        <v>0</v>
      </c>
      <c r="H26" s="36">
        <f>D26+F26-G26</f>
        <v>60229.380000000005</v>
      </c>
      <c r="I26" s="38"/>
    </row>
    <row r="27" spans="1:9" x14ac:dyDescent="0.25">
      <c r="A27" s="39"/>
      <c r="B27" s="6" t="s">
        <v>53</v>
      </c>
      <c r="C27" s="4"/>
      <c r="D27" s="55"/>
      <c r="E27" s="39"/>
      <c r="F27" s="39">
        <v>3495.95</v>
      </c>
      <c r="G27" s="4"/>
      <c r="H27" s="55"/>
      <c r="I27" s="41"/>
    </row>
    <row r="28" spans="1:9" x14ac:dyDescent="0.25">
      <c r="A28" s="10"/>
      <c r="B28" s="8" t="s">
        <v>54</v>
      </c>
      <c r="C28" s="35"/>
      <c r="D28" s="36"/>
      <c r="E28" s="10"/>
      <c r="F28" s="10"/>
      <c r="G28" s="35"/>
      <c r="H28" s="36"/>
      <c r="I28" s="38"/>
    </row>
    <row r="29" spans="1:9" x14ac:dyDescent="0.25">
      <c r="A29" s="10"/>
      <c r="B29" s="8" t="s">
        <v>367</v>
      </c>
      <c r="C29" s="35"/>
      <c r="D29" s="36"/>
      <c r="E29" s="10"/>
      <c r="F29" s="10">
        <v>12742.11</v>
      </c>
      <c r="G29" s="35"/>
      <c r="H29" s="36"/>
      <c r="I29" s="38"/>
    </row>
    <row r="30" spans="1:9" x14ac:dyDescent="0.25">
      <c r="A30" s="63" t="s">
        <v>56</v>
      </c>
      <c r="B30" s="63" t="s">
        <v>144</v>
      </c>
      <c r="C30" s="159"/>
      <c r="D30" s="53" t="s">
        <v>72</v>
      </c>
      <c r="E30" s="63"/>
      <c r="F30" s="63"/>
      <c r="G30" s="159" t="s">
        <v>145</v>
      </c>
      <c r="H30" s="53" t="s">
        <v>72</v>
      </c>
      <c r="I30" s="160"/>
    </row>
    <row r="31" spans="1:9" x14ac:dyDescent="0.25">
      <c r="A31" s="10"/>
      <c r="B31" s="10" t="s">
        <v>277</v>
      </c>
      <c r="C31" s="42"/>
      <c r="D31" s="36">
        <v>12742.11</v>
      </c>
      <c r="E31" s="10">
        <v>0</v>
      </c>
      <c r="F31" s="10">
        <v>-12742.11</v>
      </c>
      <c r="G31" s="35">
        <v>0</v>
      </c>
      <c r="H31" s="36">
        <f>D31+F31-G31</f>
        <v>0</v>
      </c>
      <c r="I31" s="38"/>
    </row>
    <row r="32" spans="1:9" x14ac:dyDescent="0.25">
      <c r="A32" s="8"/>
      <c r="B32" s="8" t="s">
        <v>58</v>
      </c>
      <c r="C32" s="9"/>
      <c r="D32" s="29"/>
      <c r="E32" s="30"/>
      <c r="F32" s="30">
        <v>12742.11</v>
      </c>
      <c r="G32" s="28"/>
      <c r="H32" s="29"/>
      <c r="I32" s="30"/>
    </row>
    <row r="33" spans="1:9" x14ac:dyDescent="0.25">
      <c r="A33" s="1" t="s">
        <v>59</v>
      </c>
      <c r="B33" s="2"/>
      <c r="C33" s="2"/>
      <c r="E33" s="2"/>
      <c r="F33" s="2"/>
      <c r="G33" s="43"/>
      <c r="H33" s="43"/>
      <c r="I33" s="43"/>
    </row>
    <row r="34" spans="1:9" x14ac:dyDescent="0.25">
      <c r="A34" s="318" t="s">
        <v>70</v>
      </c>
      <c r="B34" s="318"/>
      <c r="C34" s="318"/>
      <c r="D34" s="318"/>
      <c r="E34" s="318"/>
      <c r="F34" s="318"/>
      <c r="G34" s="318"/>
      <c r="H34" s="318"/>
      <c r="I34" s="318"/>
    </row>
    <row r="35" spans="1:9" x14ac:dyDescent="0.25">
      <c r="A35" s="318" t="s">
        <v>71</v>
      </c>
      <c r="B35" s="318"/>
      <c r="C35" s="318"/>
      <c r="D35" s="318"/>
      <c r="E35" s="318"/>
      <c r="F35" s="318"/>
      <c r="G35" s="318"/>
      <c r="H35" s="318"/>
      <c r="I35" s="318"/>
    </row>
    <row r="36" spans="1:9" x14ac:dyDescent="0.25">
      <c r="A36" s="5" t="s">
        <v>72</v>
      </c>
      <c r="B36" s="53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5" t="s">
        <v>78</v>
      </c>
      <c r="H36" s="54" t="s">
        <v>79</v>
      </c>
      <c r="I36" s="5" t="s">
        <v>19</v>
      </c>
    </row>
    <row r="37" spans="1:9" x14ac:dyDescent="0.25">
      <c r="A37" s="6"/>
      <c r="B37" s="55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6" t="s">
        <v>85</v>
      </c>
      <c r="H37" s="43" t="s">
        <v>896</v>
      </c>
      <c r="I37" s="6" t="s">
        <v>87</v>
      </c>
    </row>
    <row r="38" spans="1:9" x14ac:dyDescent="0.25">
      <c r="A38" s="6"/>
      <c r="B38" s="49"/>
      <c r="C38" s="6"/>
      <c r="D38" s="43"/>
      <c r="E38" s="6"/>
      <c r="F38" s="43" t="s">
        <v>88</v>
      </c>
      <c r="G38" s="6" t="s">
        <v>89</v>
      </c>
      <c r="H38" s="43" t="s">
        <v>33</v>
      </c>
      <c r="I38" s="6" t="s">
        <v>221</v>
      </c>
    </row>
    <row r="39" spans="1:9" x14ac:dyDescent="0.25">
      <c r="A39" s="17"/>
      <c r="B39" s="17"/>
      <c r="C39" s="13"/>
      <c r="D39" s="17"/>
      <c r="E39" s="61"/>
      <c r="F39" s="50"/>
      <c r="G39" s="17"/>
      <c r="H39" s="51"/>
      <c r="I39" s="17"/>
    </row>
    <row r="40" spans="1:9" x14ac:dyDescent="0.25">
      <c r="A40" s="8">
        <v>1</v>
      </c>
      <c r="B40" s="8" t="s">
        <v>91</v>
      </c>
      <c r="C40" s="35" t="s">
        <v>92</v>
      </c>
      <c r="D40" s="6">
        <v>-24238.13</v>
      </c>
      <c r="E40" s="196">
        <v>44591.94</v>
      </c>
      <c r="F40" s="8">
        <v>31910.3</v>
      </c>
      <c r="G40" s="59">
        <f>E40</f>
        <v>44591.94</v>
      </c>
      <c r="H40" s="49">
        <f>D40+F40-G40</f>
        <v>-36919.770000000004</v>
      </c>
      <c r="I40" s="6">
        <f>H40</f>
        <v>-36919.770000000004</v>
      </c>
    </row>
    <row r="41" spans="1:9" x14ac:dyDescent="0.25">
      <c r="A41" s="8"/>
      <c r="B41" s="8" t="s">
        <v>387</v>
      </c>
      <c r="C41" s="35" t="s">
        <v>94</v>
      </c>
      <c r="D41" s="8"/>
      <c r="E41" s="8"/>
      <c r="F41" s="8"/>
      <c r="G41" s="9"/>
      <c r="H41" s="7"/>
      <c r="I41" s="8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1" t="s">
        <v>460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" t="s">
        <v>461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6" t="s">
        <v>12</v>
      </c>
      <c r="B45" s="5" t="s">
        <v>437</v>
      </c>
      <c r="C45" s="46" t="s">
        <v>104</v>
      </c>
      <c r="D45" s="54"/>
      <c r="E45" s="54"/>
      <c r="F45" s="54"/>
      <c r="G45" s="5" t="s">
        <v>105</v>
      </c>
      <c r="H45" s="5" t="s">
        <v>106</v>
      </c>
      <c r="I45" s="5" t="s">
        <v>107</v>
      </c>
    </row>
    <row r="46" spans="1:9" x14ac:dyDescent="0.25">
      <c r="A46" s="49" t="s">
        <v>108</v>
      </c>
      <c r="B46" s="6" t="s">
        <v>438</v>
      </c>
      <c r="C46" s="49"/>
      <c r="D46" s="43"/>
      <c r="E46" s="43"/>
      <c r="F46" s="43"/>
      <c r="G46" s="6"/>
      <c r="H46" s="6"/>
      <c r="I46" s="6" t="s">
        <v>109</v>
      </c>
    </row>
    <row r="47" spans="1:9" x14ac:dyDescent="0.25">
      <c r="A47" s="50"/>
      <c r="B47" s="17"/>
      <c r="C47" s="50"/>
      <c r="D47" s="61"/>
      <c r="E47" s="61"/>
      <c r="F47" s="61"/>
      <c r="G47" s="17"/>
      <c r="H47" s="6"/>
      <c r="I47" s="17"/>
    </row>
    <row r="48" spans="1:9" x14ac:dyDescent="0.25">
      <c r="A48" s="62" t="s">
        <v>72</v>
      </c>
      <c r="B48" s="63"/>
      <c r="C48" s="159" t="s">
        <v>110</v>
      </c>
      <c r="D48" s="159"/>
      <c r="E48" s="159"/>
      <c r="F48" s="54"/>
      <c r="G48" s="5"/>
      <c r="H48" s="5"/>
      <c r="I48" s="5"/>
    </row>
    <row r="49" spans="1:9" x14ac:dyDescent="0.25">
      <c r="A49" s="64"/>
      <c r="B49" s="6"/>
      <c r="C49" s="43" t="s">
        <v>72</v>
      </c>
      <c r="D49" s="43"/>
      <c r="E49" s="43"/>
      <c r="F49" s="43" t="s">
        <v>72</v>
      </c>
      <c r="G49" s="6"/>
      <c r="H49" s="6" t="s">
        <v>72</v>
      </c>
      <c r="I49" s="6" t="s">
        <v>72</v>
      </c>
    </row>
    <row r="50" spans="1:9" x14ac:dyDescent="0.25">
      <c r="A50" s="66"/>
      <c r="B50" s="17"/>
      <c r="C50" s="13" t="s">
        <v>117</v>
      </c>
      <c r="D50" s="13"/>
      <c r="E50" s="13"/>
      <c r="F50" s="13"/>
      <c r="G50" s="16"/>
      <c r="H50" s="11"/>
      <c r="I50" s="11">
        <v>0</v>
      </c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 t="s">
        <v>665</v>
      </c>
      <c r="B53" s="2"/>
      <c r="C53" s="2" t="s">
        <v>72</v>
      </c>
      <c r="D53" s="2" t="s">
        <v>1031</v>
      </c>
      <c r="E53" s="2"/>
      <c r="F53" s="2"/>
      <c r="G53" s="2"/>
      <c r="H53" s="2"/>
      <c r="I53" s="2"/>
    </row>
  </sheetData>
  <pageMargins left="0.7" right="0.7" top="0.75" bottom="0.75" header="0.3" footer="0.3"/>
  <pageSetup paperSize="9"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40" workbookViewId="0">
      <selection activeCell="A33" sqref="A33"/>
    </sheetView>
  </sheetViews>
  <sheetFormatPr defaultRowHeight="15" x14ac:dyDescent="0.25"/>
  <cols>
    <col min="1" max="1" width="5.42578125" customWidth="1"/>
    <col min="2" max="2" width="32.42578125" customWidth="1"/>
    <col min="3" max="3" width="13.42578125" customWidth="1"/>
    <col min="5" max="5" width="11.28515625" customWidth="1"/>
    <col min="6" max="6" width="14.42578125" customWidth="1"/>
    <col min="8" max="8" width="13" customWidth="1"/>
    <col min="9" max="9" width="20.140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368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1032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1033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1034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1035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1036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1037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517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518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832</v>
      </c>
    </row>
    <row r="17" spans="1:9" x14ac:dyDescent="0.25">
      <c r="A17" s="7">
        <v>1</v>
      </c>
      <c r="B17" s="8">
        <v>2</v>
      </c>
      <c r="C17" s="7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0" t="s">
        <v>344</v>
      </c>
      <c r="B18" s="14" t="s">
        <v>1038</v>
      </c>
      <c r="C18" s="11">
        <v>8.5500000000000007</v>
      </c>
      <c r="D18" s="16">
        <v>-9117.7900000000009</v>
      </c>
      <c r="E18" s="13">
        <v>109126.32</v>
      </c>
      <c r="F18" s="11">
        <v>115194.51</v>
      </c>
      <c r="G18" s="14">
        <f t="shared" ref="G18:G25" si="0">E18</f>
        <v>109126.32</v>
      </c>
      <c r="H18" s="16">
        <f>D18+F18-G18</f>
        <v>-3049.6000000000058</v>
      </c>
      <c r="I18" s="16">
        <f>H18</f>
        <v>-3049.6000000000058</v>
      </c>
    </row>
    <row r="19" spans="1:9" x14ac:dyDescent="0.25">
      <c r="A19" s="64" t="s">
        <v>36</v>
      </c>
      <c r="B19" s="17" t="s">
        <v>37</v>
      </c>
      <c r="C19" s="61">
        <v>3.08</v>
      </c>
      <c r="D19" s="21"/>
      <c r="E19" s="21">
        <f>E18*36%</f>
        <v>39285.475200000001</v>
      </c>
      <c r="F19" s="21">
        <f>F18*36%</f>
        <v>41470.023599999993</v>
      </c>
      <c r="G19" s="20">
        <f t="shared" si="0"/>
        <v>39285.475200000001</v>
      </c>
      <c r="H19" s="20"/>
      <c r="I19" s="21"/>
    </row>
    <row r="20" spans="1:9" x14ac:dyDescent="0.25">
      <c r="A20" s="22" t="s">
        <v>38</v>
      </c>
      <c r="B20" s="5" t="s">
        <v>39</v>
      </c>
      <c r="C20" s="54">
        <v>1.51</v>
      </c>
      <c r="D20" s="26"/>
      <c r="E20" s="24">
        <f>E18*17.7%</f>
        <v>19315.358639999999</v>
      </c>
      <c r="F20" s="33">
        <f>F18*17.7%</f>
        <v>20389.428269999997</v>
      </c>
      <c r="G20" s="19">
        <f t="shared" si="0"/>
        <v>19315.358639999999</v>
      </c>
      <c r="H20" s="26"/>
      <c r="I20" s="26"/>
    </row>
    <row r="21" spans="1:9" x14ac:dyDescent="0.25">
      <c r="A21" s="22" t="s">
        <v>40</v>
      </c>
      <c r="B21" s="5" t="s">
        <v>41</v>
      </c>
      <c r="C21" s="54">
        <v>1.36</v>
      </c>
      <c r="D21" s="30"/>
      <c r="E21" s="28">
        <f>E18*16%</f>
        <v>17460.211200000002</v>
      </c>
      <c r="F21" s="30">
        <f>F18*16%</f>
        <v>18431.121599999999</v>
      </c>
      <c r="G21" s="29">
        <f t="shared" si="0"/>
        <v>17460.211200000002</v>
      </c>
      <c r="H21" s="30"/>
      <c r="I21" s="30"/>
    </row>
    <row r="22" spans="1:9" x14ac:dyDescent="0.25">
      <c r="A22" s="22" t="s">
        <v>42</v>
      </c>
      <c r="B22" s="5" t="s">
        <v>43</v>
      </c>
      <c r="C22" s="54">
        <v>2.6</v>
      </c>
      <c r="D22" s="26"/>
      <c r="E22" s="19">
        <f>E18*30.3%</f>
        <v>33065.274960000002</v>
      </c>
      <c r="F22" s="26">
        <f>F18*30.3%</f>
        <v>34903.936529999999</v>
      </c>
      <c r="G22" s="19">
        <f t="shared" si="0"/>
        <v>33065.274960000002</v>
      </c>
      <c r="H22" s="26"/>
      <c r="I22" s="26"/>
    </row>
    <row r="23" spans="1:9" x14ac:dyDescent="0.25">
      <c r="A23" s="22" t="s">
        <v>44</v>
      </c>
      <c r="B23" s="5" t="s">
        <v>245</v>
      </c>
      <c r="C23" s="54">
        <v>1755.25</v>
      </c>
      <c r="D23" s="30">
        <v>-17.64</v>
      </c>
      <c r="E23" s="28">
        <v>364.2</v>
      </c>
      <c r="F23" s="30">
        <v>358.2</v>
      </c>
      <c r="G23" s="28">
        <f>E23</f>
        <v>364.2</v>
      </c>
      <c r="H23" s="30">
        <f>D23+F23-E23</f>
        <v>-23.639999999999986</v>
      </c>
      <c r="I23" s="38">
        <f>H23</f>
        <v>-23.639999999999986</v>
      </c>
    </row>
    <row r="24" spans="1:9" x14ac:dyDescent="0.25">
      <c r="A24" s="22" t="s">
        <v>46</v>
      </c>
      <c r="B24" s="5" t="s">
        <v>47</v>
      </c>
      <c r="C24" s="54" t="s">
        <v>48</v>
      </c>
      <c r="D24" s="5">
        <v>-1650.64</v>
      </c>
      <c r="E24" s="5">
        <v>9922.3799999999992</v>
      </c>
      <c r="F24" s="5">
        <v>9998.19</v>
      </c>
      <c r="G24" s="43">
        <f>E24</f>
        <v>9922.3799999999992</v>
      </c>
      <c r="H24" s="7">
        <f>D24+F24-G24</f>
        <v>-1574.8299999999981</v>
      </c>
      <c r="I24" s="10">
        <f>H24</f>
        <v>-1574.8299999999981</v>
      </c>
    </row>
    <row r="25" spans="1:9" x14ac:dyDescent="0.25">
      <c r="A25" s="10" t="s">
        <v>49</v>
      </c>
      <c r="B25" s="10" t="s">
        <v>50</v>
      </c>
      <c r="C25" s="35">
        <v>4.5999999999999996</v>
      </c>
      <c r="D25" s="10">
        <v>-4059.28</v>
      </c>
      <c r="E25" s="35">
        <v>58710.720000000001</v>
      </c>
      <c r="F25" s="10">
        <v>61368.02</v>
      </c>
      <c r="G25" s="35">
        <f t="shared" si="0"/>
        <v>58710.720000000001</v>
      </c>
      <c r="H25" s="10">
        <f>D25+F25-G25</f>
        <v>-1401.9800000000032</v>
      </c>
      <c r="I25" s="10">
        <f>H25</f>
        <v>-1401.9800000000032</v>
      </c>
    </row>
    <row r="26" spans="1:9" x14ac:dyDescent="0.25">
      <c r="A26" s="63" t="s">
        <v>51</v>
      </c>
      <c r="B26" s="11" t="s">
        <v>1039</v>
      </c>
      <c r="C26" s="11">
        <v>1.65</v>
      </c>
      <c r="D26" s="11">
        <v>51306.75</v>
      </c>
      <c r="E26" s="67">
        <v>21060.240000000002</v>
      </c>
      <c r="F26" s="11">
        <f>F27+F28+F29</f>
        <v>59611.71</v>
      </c>
      <c r="G26" s="14">
        <f>I58</f>
        <v>8300</v>
      </c>
      <c r="H26" s="11">
        <f>D26+F26-G26</f>
        <v>102618.45999999999</v>
      </c>
      <c r="I26" s="11"/>
    </row>
    <row r="27" spans="1:9" x14ac:dyDescent="0.25">
      <c r="A27" s="63"/>
      <c r="B27" s="8" t="s">
        <v>53</v>
      </c>
      <c r="C27" s="67"/>
      <c r="D27" s="10"/>
      <c r="E27" s="35">
        <v>0</v>
      </c>
      <c r="F27" s="10">
        <v>23320.75</v>
      </c>
      <c r="G27" s="35">
        <f>I60</f>
        <v>0</v>
      </c>
      <c r="H27" s="10"/>
      <c r="I27" s="10"/>
    </row>
    <row r="28" spans="1:9" x14ac:dyDescent="0.25">
      <c r="A28" s="63"/>
      <c r="B28" s="8" t="s">
        <v>54</v>
      </c>
      <c r="C28" s="67"/>
      <c r="D28" s="39"/>
      <c r="E28" s="4"/>
      <c r="F28" s="39">
        <v>3887.82</v>
      </c>
      <c r="G28" s="4"/>
      <c r="H28" s="39"/>
      <c r="I28" s="39"/>
    </row>
    <row r="29" spans="1:9" x14ac:dyDescent="0.25">
      <c r="A29" s="63"/>
      <c r="B29" s="7" t="s">
        <v>367</v>
      </c>
      <c r="C29" s="10"/>
      <c r="D29" s="10"/>
      <c r="E29" s="35"/>
      <c r="F29" s="10">
        <v>32403.14</v>
      </c>
      <c r="G29" s="35"/>
      <c r="H29" s="10"/>
      <c r="I29" s="10"/>
    </row>
    <row r="30" spans="1:9" x14ac:dyDescent="0.25">
      <c r="A30" s="10" t="s">
        <v>56</v>
      </c>
      <c r="B30" s="10" t="s">
        <v>144</v>
      </c>
      <c r="C30" s="13">
        <v>0</v>
      </c>
      <c r="D30" s="10">
        <v>32329.599999999999</v>
      </c>
      <c r="E30" s="35">
        <v>0</v>
      </c>
      <c r="F30" s="10">
        <v>-32403.14</v>
      </c>
      <c r="G30" s="35">
        <f>G31</f>
        <v>0</v>
      </c>
      <c r="H30" s="10">
        <v>0</v>
      </c>
      <c r="I30" s="8" t="s">
        <v>72</v>
      </c>
    </row>
    <row r="31" spans="1:9" x14ac:dyDescent="0.25">
      <c r="A31" s="8"/>
      <c r="B31" s="8" t="s">
        <v>53</v>
      </c>
      <c r="C31" s="9">
        <v>0</v>
      </c>
      <c r="D31" s="8"/>
      <c r="E31" s="9">
        <v>0</v>
      </c>
      <c r="F31" s="8">
        <v>73.540000000000006</v>
      </c>
      <c r="G31" s="9">
        <f>I61</f>
        <v>0</v>
      </c>
      <c r="H31" s="8"/>
      <c r="I31" s="8"/>
    </row>
    <row r="32" spans="1:9" x14ac:dyDescent="0.25">
      <c r="A32" s="7"/>
      <c r="B32" s="7" t="s">
        <v>58</v>
      </c>
      <c r="C32" s="7"/>
      <c r="D32" s="7"/>
      <c r="E32" s="8"/>
      <c r="F32" s="48">
        <f>D30+F31</f>
        <v>32403.14</v>
      </c>
      <c r="G32" s="48"/>
      <c r="H32" s="48"/>
      <c r="I32" s="48"/>
    </row>
    <row r="33" spans="1:9" x14ac:dyDescent="0.25">
      <c r="A33" s="1" t="s">
        <v>59</v>
      </c>
      <c r="B33" s="1"/>
      <c r="C33" s="1"/>
      <c r="D33" s="45"/>
      <c r="E33" s="1"/>
      <c r="F33" s="1"/>
      <c r="G33" s="1"/>
      <c r="H33" s="1"/>
      <c r="I33" s="1"/>
    </row>
    <row r="34" spans="1:9" x14ac:dyDescent="0.25">
      <c r="A34" s="5" t="s">
        <v>60</v>
      </c>
      <c r="B34" s="54" t="s">
        <v>61</v>
      </c>
      <c r="C34" s="5" t="s">
        <v>62</v>
      </c>
      <c r="D34" s="5" t="s">
        <v>63</v>
      </c>
      <c r="E34" s="5" t="s">
        <v>476</v>
      </c>
      <c r="F34" s="47" t="s">
        <v>62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17" t="s">
        <v>23</v>
      </c>
      <c r="E35" s="17" t="s">
        <v>312</v>
      </c>
      <c r="F35" s="51" t="s">
        <v>30</v>
      </c>
      <c r="G35" s="17"/>
      <c r="H35" s="61"/>
      <c r="I35" s="51"/>
    </row>
    <row r="36" spans="1:9" x14ac:dyDescent="0.25">
      <c r="A36" s="17"/>
      <c r="B36" s="61" t="s">
        <v>69</v>
      </c>
      <c r="C36" s="17">
        <v>3060</v>
      </c>
      <c r="D36" s="17">
        <v>3600</v>
      </c>
      <c r="E36" s="17">
        <f>D36*15%</f>
        <v>540</v>
      </c>
      <c r="F36" s="51">
        <f>C36+D36+E36</f>
        <v>7200</v>
      </c>
      <c r="G36" s="17"/>
      <c r="H36" s="61">
        <f>F36-G36</f>
        <v>7200</v>
      </c>
      <c r="I36" s="51"/>
    </row>
    <row r="37" spans="1:9" x14ac:dyDescent="0.25">
      <c r="A37" s="1"/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4" t="s">
        <v>70</v>
      </c>
      <c r="B39" s="2"/>
      <c r="C39" s="2"/>
      <c r="E39" s="2"/>
      <c r="F39" s="2"/>
      <c r="G39" s="2"/>
      <c r="H39" s="2"/>
      <c r="I39" s="2"/>
    </row>
    <row r="40" spans="1:9" x14ac:dyDescent="0.25">
      <c r="A40" s="1" t="s">
        <v>71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85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17" t="s">
        <v>89</v>
      </c>
      <c r="H43" s="43"/>
      <c r="I43" s="6" t="s">
        <v>30</v>
      </c>
    </row>
    <row r="44" spans="1:9" x14ac:dyDescent="0.25">
      <c r="A44" s="5"/>
      <c r="B44" s="5"/>
      <c r="C44" s="159"/>
      <c r="D44" s="5"/>
      <c r="E44" s="5"/>
      <c r="F44" s="5"/>
      <c r="G44" s="43"/>
      <c r="H44" s="7"/>
      <c r="I44" s="8"/>
    </row>
    <row r="45" spans="1:9" x14ac:dyDescent="0.25">
      <c r="A45" s="8">
        <v>1</v>
      </c>
      <c r="B45" s="8" t="s">
        <v>91</v>
      </c>
      <c r="C45" s="35" t="s">
        <v>92</v>
      </c>
      <c r="D45" s="8">
        <v>-35810.46</v>
      </c>
      <c r="E45" s="196">
        <v>146119.5</v>
      </c>
      <c r="F45" s="8">
        <v>155320.28</v>
      </c>
      <c r="G45" s="59">
        <f>E45</f>
        <v>146119.5</v>
      </c>
      <c r="H45" s="6">
        <f>D45+F45-G45</f>
        <v>-26609.679999999993</v>
      </c>
      <c r="I45" s="56">
        <f>H45</f>
        <v>-26609.679999999993</v>
      </c>
    </row>
    <row r="46" spans="1:9" x14ac:dyDescent="0.25">
      <c r="A46" s="8"/>
      <c r="B46" s="8" t="s">
        <v>93</v>
      </c>
      <c r="C46" s="35" t="s">
        <v>94</v>
      </c>
      <c r="D46" s="8"/>
      <c r="E46" s="196"/>
      <c r="F46" s="8"/>
      <c r="G46" s="59"/>
      <c r="H46" s="8"/>
      <c r="I46" s="48"/>
    </row>
    <row r="47" spans="1:9" x14ac:dyDescent="0.25">
      <c r="A47" s="8">
        <v>2</v>
      </c>
      <c r="B47" s="8" t="s">
        <v>99</v>
      </c>
      <c r="C47" s="35" t="s">
        <v>100</v>
      </c>
      <c r="D47" s="8">
        <v>-156438.99</v>
      </c>
      <c r="E47" s="8">
        <v>384473.22</v>
      </c>
      <c r="F47" s="8">
        <v>361313.94</v>
      </c>
      <c r="G47" s="9">
        <f>E47</f>
        <v>384473.22</v>
      </c>
      <c r="H47" s="8">
        <f>D47+F47-G47</f>
        <v>-179598.26999999996</v>
      </c>
      <c r="I47" s="8">
        <f>H47</f>
        <v>-179598.26999999996</v>
      </c>
    </row>
    <row r="48" spans="1:9" x14ac:dyDescent="0.25">
      <c r="A48" s="2"/>
      <c r="B48" s="2"/>
      <c r="C48" s="2"/>
      <c r="E48" s="2"/>
      <c r="F48" s="2"/>
      <c r="G48" s="2"/>
      <c r="H48" s="2"/>
      <c r="I48" s="2"/>
    </row>
    <row r="49" spans="1:9" x14ac:dyDescent="0.25">
      <c r="A49" s="4" t="s">
        <v>1040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199</v>
      </c>
      <c r="H50" s="47" t="s">
        <v>200</v>
      </c>
      <c r="I50" s="47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 t="s">
        <v>201</v>
      </c>
      <c r="H51" s="56"/>
      <c r="I51" s="56" t="s">
        <v>109</v>
      </c>
    </row>
    <row r="52" spans="1:9" x14ac:dyDescent="0.25">
      <c r="A52" s="50"/>
      <c r="B52" s="17"/>
      <c r="C52" s="50"/>
      <c r="D52" s="61"/>
      <c r="E52" s="61"/>
      <c r="F52" s="61"/>
      <c r="G52" s="17"/>
      <c r="H52" s="51"/>
      <c r="I52" s="51"/>
    </row>
    <row r="53" spans="1:9" x14ac:dyDescent="0.25">
      <c r="A53" s="62"/>
      <c r="B53" s="39"/>
      <c r="C53" s="55" t="s">
        <v>110</v>
      </c>
      <c r="D53" s="4"/>
      <c r="E53" s="4"/>
      <c r="F53" s="43"/>
      <c r="G53" s="6"/>
      <c r="H53" s="56"/>
      <c r="I53" s="47"/>
    </row>
    <row r="54" spans="1:9" x14ac:dyDescent="0.25">
      <c r="A54" s="64"/>
      <c r="B54" s="6"/>
      <c r="C54" s="49"/>
      <c r="D54" s="43"/>
      <c r="E54" s="43"/>
      <c r="F54" s="43"/>
      <c r="G54" s="26"/>
      <c r="H54" s="56"/>
      <c r="I54" s="56" t="s">
        <v>72</v>
      </c>
    </row>
    <row r="55" spans="1:9" x14ac:dyDescent="0.25">
      <c r="A55" s="64" t="s">
        <v>111</v>
      </c>
      <c r="B55" s="65">
        <v>43153</v>
      </c>
      <c r="C55" s="262" t="s">
        <v>254</v>
      </c>
      <c r="D55" s="43"/>
      <c r="E55" s="43"/>
      <c r="F55" s="43"/>
      <c r="G55" s="26" t="s">
        <v>255</v>
      </c>
      <c r="H55" s="56">
        <v>1</v>
      </c>
      <c r="I55" s="56">
        <v>1500</v>
      </c>
    </row>
    <row r="56" spans="1:9" x14ac:dyDescent="0.25">
      <c r="A56" s="64" t="s">
        <v>114</v>
      </c>
      <c r="B56" s="65">
        <v>43186</v>
      </c>
      <c r="C56" s="49" t="s">
        <v>112</v>
      </c>
      <c r="D56" s="43"/>
      <c r="E56" s="43"/>
      <c r="F56" s="43"/>
      <c r="G56" s="26" t="s">
        <v>113</v>
      </c>
      <c r="H56" s="56">
        <v>34</v>
      </c>
      <c r="I56" s="56">
        <v>6800</v>
      </c>
    </row>
    <row r="57" spans="1:9" x14ac:dyDescent="0.25">
      <c r="A57" s="64"/>
      <c r="B57" s="65"/>
      <c r="C57" s="49"/>
      <c r="D57" s="43"/>
      <c r="E57" s="43"/>
      <c r="F57" s="43"/>
      <c r="G57" s="26"/>
      <c r="H57" s="56"/>
      <c r="I57" s="56"/>
    </row>
    <row r="58" spans="1:9" x14ac:dyDescent="0.25">
      <c r="A58" s="66"/>
      <c r="B58" s="17"/>
      <c r="C58" s="14" t="s">
        <v>117</v>
      </c>
      <c r="D58" s="13"/>
      <c r="E58" s="13"/>
      <c r="F58" s="13"/>
      <c r="G58" s="21"/>
      <c r="H58" s="67"/>
      <c r="I58" s="67">
        <f>SUM(I55:I57)</f>
        <v>8300</v>
      </c>
    </row>
    <row r="59" spans="1:9" x14ac:dyDescent="0.25">
      <c r="A59" s="43"/>
      <c r="B59" s="43"/>
      <c r="C59" s="43"/>
      <c r="D59" s="43"/>
      <c r="E59" s="43"/>
      <c r="F59" s="43"/>
      <c r="G59" s="19"/>
      <c r="H59" s="43"/>
      <c r="I59" s="43"/>
    </row>
    <row r="60" spans="1:9" x14ac:dyDescent="0.25">
      <c r="A60" s="43"/>
      <c r="B60" s="4"/>
      <c r="C60" s="4"/>
      <c r="D60" s="43"/>
      <c r="E60" s="43"/>
      <c r="F60" s="43"/>
      <c r="G60" s="43"/>
      <c r="H60" s="43"/>
      <c r="I60" s="43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 t="s">
        <v>540</v>
      </c>
      <c r="B62" s="2"/>
      <c r="C62" s="2" t="s">
        <v>1041</v>
      </c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</sheetData>
  <pageMargins left="0.7" right="0.7" top="0.75" bottom="0.75" header="0.3" footer="0.3"/>
  <pageSetup paperSize="9"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7" workbookViewId="0">
      <selection activeCell="B35" sqref="B35"/>
    </sheetView>
  </sheetViews>
  <sheetFormatPr defaultRowHeight="15" x14ac:dyDescent="0.25"/>
  <cols>
    <col min="1" max="1" width="5.140625" customWidth="1"/>
    <col min="2" max="2" width="35.140625" customWidth="1"/>
    <col min="3" max="3" width="12.5703125" customWidth="1"/>
    <col min="8" max="8" width="13.42578125" customWidth="1"/>
    <col min="9" max="9" width="18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1042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1043</v>
      </c>
      <c r="B7" s="1"/>
      <c r="C7" s="1"/>
      <c r="D7" s="1"/>
      <c r="E7" s="1"/>
      <c r="F7" s="2"/>
      <c r="G7" s="2"/>
      <c r="H7" s="2"/>
      <c r="I7" s="2"/>
    </row>
    <row r="8" spans="1:9" x14ac:dyDescent="0.25">
      <c r="A8" s="2" t="s">
        <v>1044</v>
      </c>
      <c r="B8" s="2"/>
      <c r="C8" s="2"/>
      <c r="D8" s="1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54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53" t="s">
        <v>186</v>
      </c>
      <c r="C18" s="319"/>
      <c r="D18" s="63"/>
      <c r="E18" s="246" t="s">
        <v>72</v>
      </c>
      <c r="F18" s="63" t="s">
        <v>72</v>
      </c>
      <c r="G18" s="159"/>
      <c r="H18" s="63" t="s">
        <v>72</v>
      </c>
      <c r="I18" s="160" t="s">
        <v>72</v>
      </c>
    </row>
    <row r="19" spans="1:9" x14ac:dyDescent="0.25">
      <c r="A19" s="14"/>
      <c r="B19" s="14" t="s">
        <v>187</v>
      </c>
      <c r="C19" s="11">
        <v>8.5500000000000007</v>
      </c>
      <c r="D19" s="16">
        <v>-100.65</v>
      </c>
      <c r="E19" s="13">
        <v>33950.639999999999</v>
      </c>
      <c r="F19" s="11">
        <v>34618.720000000001</v>
      </c>
      <c r="G19" s="13">
        <f>E19</f>
        <v>33950.639999999999</v>
      </c>
      <c r="H19" s="16">
        <f>D19+F19-G19</f>
        <v>567.43000000000029</v>
      </c>
      <c r="I19" s="16"/>
    </row>
    <row r="20" spans="1:9" x14ac:dyDescent="0.25">
      <c r="A20" s="6" t="s">
        <v>36</v>
      </c>
      <c r="B20" s="6" t="s">
        <v>217</v>
      </c>
      <c r="C20" s="43"/>
      <c r="D20" s="26"/>
      <c r="E20" s="19"/>
      <c r="F20" s="26"/>
      <c r="G20" s="49"/>
      <c r="H20" s="6"/>
      <c r="I20" s="26"/>
    </row>
    <row r="21" spans="1:9" x14ac:dyDescent="0.25">
      <c r="A21" s="17"/>
      <c r="B21" s="17" t="s">
        <v>218</v>
      </c>
      <c r="C21" s="61">
        <v>3.08</v>
      </c>
      <c r="D21" s="21"/>
      <c r="E21" s="162">
        <f>E19*36/100</f>
        <v>12222.2304</v>
      </c>
      <c r="F21" s="21">
        <f>F19*36/100</f>
        <v>12462.7392</v>
      </c>
      <c r="G21" s="20">
        <f t="shared" ref="G21:G26" si="0">E21</f>
        <v>12222.2304</v>
      </c>
      <c r="H21" s="21"/>
      <c r="I21" s="21"/>
    </row>
    <row r="22" spans="1:9" x14ac:dyDescent="0.25">
      <c r="A22" s="22" t="s">
        <v>38</v>
      </c>
      <c r="B22" s="5" t="s">
        <v>39</v>
      </c>
      <c r="C22" s="54">
        <v>1.51</v>
      </c>
      <c r="D22" s="26"/>
      <c r="E22" s="24">
        <f>E19*17.7/100</f>
        <v>6009.2632800000001</v>
      </c>
      <c r="F22" s="33">
        <f>F19*17.7/100</f>
        <v>6127.5134400000006</v>
      </c>
      <c r="G22" s="19">
        <f t="shared" si="0"/>
        <v>6009.2632800000001</v>
      </c>
      <c r="H22" s="26"/>
      <c r="I22" s="26"/>
    </row>
    <row r="23" spans="1:9" x14ac:dyDescent="0.25">
      <c r="A23" s="22" t="s">
        <v>40</v>
      </c>
      <c r="B23" s="5" t="s">
        <v>41</v>
      </c>
      <c r="C23" s="54">
        <v>1.36</v>
      </c>
      <c r="D23" s="33"/>
      <c r="E23" s="24">
        <f>E19*16/100</f>
        <v>5432.1023999999998</v>
      </c>
      <c r="F23" s="33">
        <f>F19*16/100</f>
        <v>5538.9952000000003</v>
      </c>
      <c r="G23" s="29">
        <f t="shared" si="0"/>
        <v>5432.1023999999998</v>
      </c>
      <c r="H23" s="30"/>
      <c r="I23" s="33"/>
    </row>
    <row r="24" spans="1:9" x14ac:dyDescent="0.25">
      <c r="A24" s="22" t="s">
        <v>42</v>
      </c>
      <c r="B24" s="5" t="s">
        <v>43</v>
      </c>
      <c r="C24" s="54">
        <v>2.6</v>
      </c>
      <c r="D24" s="33"/>
      <c r="E24" s="24">
        <f>E19*30.3/100</f>
        <v>10287.04392</v>
      </c>
      <c r="F24" s="33">
        <f>F19*30.3/100</f>
        <v>10489.472159999999</v>
      </c>
      <c r="G24" s="20">
        <f t="shared" si="0"/>
        <v>10287.04392</v>
      </c>
      <c r="H24" s="21"/>
      <c r="I24" s="33"/>
    </row>
    <row r="25" spans="1:9" x14ac:dyDescent="0.25">
      <c r="A25" s="22" t="s">
        <v>44</v>
      </c>
      <c r="B25" s="5" t="s">
        <v>276</v>
      </c>
      <c r="C25" s="54" t="s">
        <v>48</v>
      </c>
      <c r="D25" s="33">
        <v>-336.64</v>
      </c>
      <c r="E25" s="24">
        <v>2966.52</v>
      </c>
      <c r="F25" s="33">
        <v>3054.22</v>
      </c>
      <c r="G25" s="162">
        <f t="shared" si="0"/>
        <v>2966.52</v>
      </c>
      <c r="H25" s="21">
        <f>D25+F25-E25</f>
        <v>-248.94000000000005</v>
      </c>
      <c r="I25" s="160">
        <f>H25</f>
        <v>-248.94000000000005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10">
        <v>-1787.53</v>
      </c>
      <c r="E26" s="35">
        <v>18265.68</v>
      </c>
      <c r="F26" s="10">
        <v>18826.61</v>
      </c>
      <c r="G26" s="35">
        <f t="shared" si="0"/>
        <v>18265.68</v>
      </c>
      <c r="H26" s="10">
        <f>D26+F26-G26</f>
        <v>-1226.5999999999985</v>
      </c>
      <c r="I26" s="10">
        <f>H26</f>
        <v>-1226.5999999999985</v>
      </c>
    </row>
    <row r="27" spans="1:9" x14ac:dyDescent="0.25">
      <c r="A27" s="63" t="s">
        <v>51</v>
      </c>
      <c r="B27" s="63" t="s">
        <v>219</v>
      </c>
      <c r="C27" s="159"/>
      <c r="D27" s="63"/>
      <c r="E27" s="159"/>
      <c r="F27" s="63"/>
      <c r="G27" s="159"/>
      <c r="H27" s="63"/>
      <c r="I27" s="63"/>
    </row>
    <row r="28" spans="1:9" x14ac:dyDescent="0.25">
      <c r="A28" s="39"/>
      <c r="B28" s="39" t="s">
        <v>231</v>
      </c>
      <c r="C28" s="4">
        <v>1.65</v>
      </c>
      <c r="D28" s="39">
        <v>16272.76</v>
      </c>
      <c r="E28" s="13">
        <v>6552.12</v>
      </c>
      <c r="F28" s="11">
        <f>F29+F30</f>
        <v>27001.600000000002</v>
      </c>
      <c r="G28" s="13">
        <f>I56</f>
        <v>23231</v>
      </c>
      <c r="H28" s="11">
        <f>D28+F28-G28</f>
        <v>20043.36</v>
      </c>
      <c r="I28" s="11"/>
    </row>
    <row r="29" spans="1:9" x14ac:dyDescent="0.25">
      <c r="A29" s="10"/>
      <c r="B29" s="8" t="s">
        <v>53</v>
      </c>
      <c r="C29" s="35"/>
      <c r="D29" s="10"/>
      <c r="E29" s="13"/>
      <c r="F29" s="11">
        <v>6768.7</v>
      </c>
      <c r="G29" s="13"/>
      <c r="H29" s="11"/>
      <c r="I29" s="11"/>
    </row>
    <row r="30" spans="1:9" x14ac:dyDescent="0.25">
      <c r="A30" s="10"/>
      <c r="B30" s="17" t="s">
        <v>58</v>
      </c>
      <c r="C30" s="13"/>
      <c r="D30" s="11"/>
      <c r="E30" s="13"/>
      <c r="F30" s="11">
        <v>20232.900000000001</v>
      </c>
      <c r="G30" s="13"/>
      <c r="H30" s="11"/>
      <c r="I30" s="11"/>
    </row>
    <row r="31" spans="1:9" x14ac:dyDescent="0.25">
      <c r="A31" s="10" t="s">
        <v>56</v>
      </c>
      <c r="B31" s="10" t="s">
        <v>895</v>
      </c>
      <c r="C31" s="35"/>
      <c r="D31" s="10">
        <v>20232.900000000001</v>
      </c>
      <c r="E31" s="35">
        <v>0</v>
      </c>
      <c r="F31" s="10">
        <v>-20232.900000000001</v>
      </c>
      <c r="G31" s="35">
        <v>0</v>
      </c>
      <c r="H31" s="10">
        <f>D31+F31-G31</f>
        <v>0</v>
      </c>
      <c r="I31" s="10"/>
    </row>
    <row r="32" spans="1:9" x14ac:dyDescent="0.25">
      <c r="A32" s="7"/>
      <c r="B32" s="7" t="s">
        <v>58</v>
      </c>
      <c r="C32" s="7"/>
      <c r="D32" s="36"/>
      <c r="E32" s="10"/>
      <c r="F32" s="42">
        <v>20232.900000000001</v>
      </c>
      <c r="G32" s="42"/>
      <c r="H32" s="42"/>
      <c r="I32" s="48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4" t="s">
        <v>70</v>
      </c>
      <c r="B35" s="2"/>
      <c r="C35" s="2"/>
      <c r="E35" s="2"/>
      <c r="F35" s="2"/>
      <c r="G35" s="2"/>
      <c r="H35" s="2"/>
      <c r="I35" s="2"/>
    </row>
    <row r="36" spans="1:9" x14ac:dyDescent="0.25">
      <c r="A36" s="1" t="s">
        <v>71</v>
      </c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5" t="s">
        <v>72</v>
      </c>
      <c r="B37" s="53" t="s">
        <v>73</v>
      </c>
      <c r="C37" s="5" t="s">
        <v>74</v>
      </c>
      <c r="D37" s="54" t="s">
        <v>75</v>
      </c>
      <c r="E37" s="5" t="s">
        <v>76</v>
      </c>
      <c r="F37" s="54" t="s">
        <v>77</v>
      </c>
      <c r="G37" s="5" t="s">
        <v>385</v>
      </c>
      <c r="H37" s="54" t="s">
        <v>79</v>
      </c>
      <c r="I37" s="5" t="s">
        <v>19</v>
      </c>
    </row>
    <row r="38" spans="1:9" x14ac:dyDescent="0.25">
      <c r="A38" s="6"/>
      <c r="B38" s="55" t="s">
        <v>80</v>
      </c>
      <c r="C38" s="6" t="s">
        <v>81</v>
      </c>
      <c r="D38" s="43" t="s">
        <v>82</v>
      </c>
      <c r="E38" s="6" t="s">
        <v>83</v>
      </c>
      <c r="F38" s="43" t="s">
        <v>84</v>
      </c>
      <c r="G38" s="6" t="s">
        <v>85</v>
      </c>
      <c r="H38" s="43" t="s">
        <v>86</v>
      </c>
      <c r="I38" s="6" t="s">
        <v>87</v>
      </c>
    </row>
    <row r="39" spans="1:9" x14ac:dyDescent="0.25">
      <c r="A39" s="6"/>
      <c r="B39" s="49"/>
      <c r="C39" s="6"/>
      <c r="D39" s="43"/>
      <c r="E39" s="6"/>
      <c r="F39" s="43" t="s">
        <v>88</v>
      </c>
      <c r="G39" s="6" t="s">
        <v>89</v>
      </c>
      <c r="H39" s="43"/>
      <c r="I39" s="6" t="s">
        <v>221</v>
      </c>
    </row>
    <row r="40" spans="1:9" x14ac:dyDescent="0.25">
      <c r="A40" s="5"/>
      <c r="B40" s="5"/>
      <c r="C40" s="159"/>
      <c r="D40" s="5"/>
      <c r="E40" s="5"/>
      <c r="F40" s="46"/>
      <c r="G40" s="8"/>
      <c r="H40" s="5"/>
      <c r="I40" s="8"/>
    </row>
    <row r="41" spans="1:9" x14ac:dyDescent="0.25">
      <c r="A41" s="8">
        <v>1</v>
      </c>
      <c r="B41" s="8" t="s">
        <v>91</v>
      </c>
      <c r="C41" s="35" t="s">
        <v>92</v>
      </c>
      <c r="D41" s="8">
        <v>-2568.16</v>
      </c>
      <c r="E41" s="283">
        <v>42322.45</v>
      </c>
      <c r="F41" s="8">
        <v>43238.8</v>
      </c>
      <c r="G41" s="50">
        <f>E41</f>
        <v>42322.45</v>
      </c>
      <c r="H41" s="8">
        <f>D41+F41-G41</f>
        <v>-1651.8099999999977</v>
      </c>
      <c r="I41" s="51">
        <f>H41</f>
        <v>-1651.8099999999977</v>
      </c>
    </row>
    <row r="42" spans="1:9" x14ac:dyDescent="0.25">
      <c r="A42" s="8"/>
      <c r="B42" s="8" t="s">
        <v>93</v>
      </c>
      <c r="C42" s="35" t="s">
        <v>94</v>
      </c>
      <c r="D42" s="8"/>
      <c r="E42" s="60"/>
      <c r="F42" s="17"/>
      <c r="G42" s="49"/>
      <c r="H42" s="17"/>
      <c r="I42" s="56"/>
    </row>
    <row r="43" spans="1:9" x14ac:dyDescent="0.25">
      <c r="A43" s="8">
        <v>2</v>
      </c>
      <c r="B43" s="8" t="s">
        <v>99</v>
      </c>
      <c r="C43" s="35" t="s">
        <v>100</v>
      </c>
      <c r="D43" s="8">
        <v>-29552.25</v>
      </c>
      <c r="E43" s="9">
        <v>119614.71</v>
      </c>
      <c r="F43" s="8">
        <v>124363.6</v>
      </c>
      <c r="G43" s="7">
        <f>E43</f>
        <v>119614.71</v>
      </c>
      <c r="H43" s="17">
        <f>D43+F43-G43</f>
        <v>-24803.360000000001</v>
      </c>
      <c r="I43" s="48">
        <f>H43</f>
        <v>-24803.360000000001</v>
      </c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 t="s">
        <v>72</v>
      </c>
      <c r="C46" s="2"/>
      <c r="D46" s="2"/>
      <c r="E46" s="2"/>
      <c r="F46" s="2" t="s">
        <v>72</v>
      </c>
      <c r="G46" s="2"/>
      <c r="H46" s="2"/>
      <c r="I46" s="2"/>
    </row>
    <row r="47" spans="1:9" x14ac:dyDescent="0.25">
      <c r="A47" s="1" t="s">
        <v>1045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1046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54"/>
      <c r="G49" s="5" t="s">
        <v>105</v>
      </c>
      <c r="H49" s="47" t="s">
        <v>200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43"/>
      <c r="G50" s="6"/>
      <c r="H50" s="56"/>
      <c r="I50" s="6" t="s">
        <v>109</v>
      </c>
    </row>
    <row r="51" spans="1:9" x14ac:dyDescent="0.25">
      <c r="A51" s="49"/>
      <c r="B51" s="6"/>
      <c r="C51" s="49"/>
      <c r="D51" s="43"/>
      <c r="E51" s="43"/>
      <c r="F51" s="43"/>
      <c r="G51" s="6"/>
      <c r="H51" s="56"/>
      <c r="I51" s="6"/>
    </row>
    <row r="52" spans="1:9" x14ac:dyDescent="0.25">
      <c r="A52" s="62"/>
      <c r="B52" s="63"/>
      <c r="C52" s="53" t="s">
        <v>110</v>
      </c>
      <c r="D52" s="159"/>
      <c r="E52" s="159"/>
      <c r="F52" s="54"/>
      <c r="G52" s="5"/>
      <c r="H52" s="47"/>
      <c r="I52" s="5"/>
    </row>
    <row r="53" spans="1:9" x14ac:dyDescent="0.25">
      <c r="A53" s="64" t="s">
        <v>111</v>
      </c>
      <c r="B53" s="65">
        <v>43186</v>
      </c>
      <c r="C53" s="49" t="s">
        <v>112</v>
      </c>
      <c r="D53" s="43"/>
      <c r="E53" s="43"/>
      <c r="F53" s="43"/>
      <c r="G53" s="6" t="s">
        <v>113</v>
      </c>
      <c r="H53" s="56">
        <v>32</v>
      </c>
      <c r="I53" s="6">
        <v>6400</v>
      </c>
    </row>
    <row r="54" spans="1:9" x14ac:dyDescent="0.25">
      <c r="A54" s="64" t="s">
        <v>114</v>
      </c>
      <c r="B54" s="65">
        <v>43434</v>
      </c>
      <c r="C54" s="49" t="s">
        <v>1047</v>
      </c>
      <c r="D54" s="43"/>
      <c r="E54" s="43"/>
      <c r="F54" s="43"/>
      <c r="G54" s="26" t="s">
        <v>169</v>
      </c>
      <c r="H54" s="56">
        <v>8.5</v>
      </c>
      <c r="I54" s="6">
        <v>16831</v>
      </c>
    </row>
    <row r="55" spans="1:9" x14ac:dyDescent="0.25">
      <c r="A55" s="64"/>
      <c r="B55" s="65"/>
      <c r="C55" s="49"/>
      <c r="D55" s="43"/>
      <c r="E55" s="43"/>
      <c r="F55" s="43"/>
      <c r="G55" s="26"/>
      <c r="H55" s="56"/>
      <c r="I55" s="6"/>
    </row>
    <row r="56" spans="1:9" x14ac:dyDescent="0.25">
      <c r="A56" s="66"/>
      <c r="B56" s="17"/>
      <c r="C56" s="14" t="s">
        <v>117</v>
      </c>
      <c r="D56" s="13"/>
      <c r="E56" s="13"/>
      <c r="F56" s="13"/>
      <c r="G56" s="16"/>
      <c r="H56" s="67"/>
      <c r="I56" s="11">
        <f>SUM(I52:I55)</f>
        <v>23231</v>
      </c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2" t="s">
        <v>118</v>
      </c>
      <c r="B59" s="2"/>
      <c r="C59" s="2" t="s">
        <v>1048</v>
      </c>
      <c r="D59" s="2"/>
      <c r="E59" s="2"/>
      <c r="G59" s="2"/>
      <c r="H59" s="2"/>
      <c r="I59" s="2"/>
    </row>
    <row r="60" spans="1:9" x14ac:dyDescent="0.25">
      <c r="A60" s="2"/>
      <c r="B60" s="2"/>
      <c r="C60" s="2" t="s">
        <v>72</v>
      </c>
      <c r="D60" s="2"/>
      <c r="E60" s="2"/>
      <c r="F60" s="2"/>
      <c r="G60" s="2"/>
      <c r="H60" s="2"/>
      <c r="I60" s="2"/>
    </row>
    <row r="62" spans="1:9" x14ac:dyDescent="0.25">
      <c r="A62" s="2"/>
      <c r="B62" s="2" t="s">
        <v>72</v>
      </c>
      <c r="C62" s="2"/>
      <c r="D62" s="2"/>
      <c r="E62" s="2"/>
      <c r="F62" s="2" t="s">
        <v>72</v>
      </c>
      <c r="G62" s="2"/>
      <c r="H62" s="2"/>
      <c r="I62" s="2"/>
    </row>
    <row r="63" spans="1:9" x14ac:dyDescent="0.25">
      <c r="A63" s="4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4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</sheetData>
  <pageMargins left="0.7" right="0.7" top="0.75" bottom="0.75" header="0.3" footer="0.3"/>
  <pageSetup paperSize="9" orientation="landscape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3" workbookViewId="0">
      <selection activeCell="A27" sqref="A27"/>
    </sheetView>
  </sheetViews>
  <sheetFormatPr defaultRowHeight="15" x14ac:dyDescent="0.25"/>
  <cols>
    <col min="1" max="1" width="5.7109375" customWidth="1"/>
    <col min="2" max="2" width="38" customWidth="1"/>
    <col min="3" max="3" width="13.7109375" customWidth="1"/>
    <col min="6" max="6" width="11.85546875" customWidth="1"/>
    <col min="8" max="8" width="12.42578125" customWidth="1"/>
    <col min="9" max="9" width="21.28515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368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1049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1050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1051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517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518</v>
      </c>
    </row>
    <row r="16" spans="1:9" x14ac:dyDescent="0.25">
      <c r="A16" s="17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832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53">
        <v>1</v>
      </c>
      <c r="B18" s="63" t="s">
        <v>186</v>
      </c>
      <c r="C18" s="63"/>
      <c r="D18" s="159"/>
      <c r="E18" s="160" t="s">
        <v>72</v>
      </c>
      <c r="F18" s="63" t="s">
        <v>72</v>
      </c>
      <c r="G18" s="53"/>
      <c r="H18" s="63" t="s">
        <v>72</v>
      </c>
      <c r="I18" s="160" t="s">
        <v>72</v>
      </c>
    </row>
    <row r="19" spans="1:9" x14ac:dyDescent="0.25">
      <c r="A19" s="14"/>
      <c r="B19" s="11" t="s">
        <v>187</v>
      </c>
      <c r="C19" s="11">
        <v>8.5500000000000007</v>
      </c>
      <c r="D19" s="16">
        <v>-35029.71</v>
      </c>
      <c r="E19" s="11">
        <v>74323.679999999993</v>
      </c>
      <c r="F19" s="11">
        <v>63817.760000000002</v>
      </c>
      <c r="G19" s="14">
        <f>E19</f>
        <v>74323.679999999993</v>
      </c>
      <c r="H19" s="16">
        <f>D19+F19-G19</f>
        <v>-45535.62999999999</v>
      </c>
      <c r="I19" s="16">
        <f>H19</f>
        <v>-45535.62999999999</v>
      </c>
    </row>
    <row r="20" spans="1:9" x14ac:dyDescent="0.25">
      <c r="A20" s="6" t="s">
        <v>36</v>
      </c>
      <c r="B20" s="6" t="s">
        <v>217</v>
      </c>
      <c r="C20" s="6"/>
      <c r="D20" s="26"/>
      <c r="E20" s="43"/>
      <c r="F20" s="26"/>
      <c r="G20" s="49"/>
      <c r="H20" s="6"/>
      <c r="I20" s="26"/>
    </row>
    <row r="21" spans="1:9" x14ac:dyDescent="0.25">
      <c r="A21" s="17"/>
      <c r="B21" s="17" t="s">
        <v>218</v>
      </c>
      <c r="C21" s="17">
        <v>3.08</v>
      </c>
      <c r="D21" s="276"/>
      <c r="E21" s="275">
        <f>E19*36/100</f>
        <v>26756.524799999996</v>
      </c>
      <c r="F21" s="276">
        <f>F19*36/100</f>
        <v>22974.393599999999</v>
      </c>
      <c r="G21" s="320">
        <f t="shared" ref="G21:G26" si="0">E21</f>
        <v>26756.524799999996</v>
      </c>
      <c r="H21" s="276"/>
      <c r="I21" s="276"/>
    </row>
    <row r="22" spans="1:9" x14ac:dyDescent="0.25">
      <c r="A22" s="22" t="s">
        <v>38</v>
      </c>
      <c r="B22" s="5" t="s">
        <v>39</v>
      </c>
      <c r="C22" s="5">
        <v>1.51</v>
      </c>
      <c r="D22" s="321"/>
      <c r="E22" s="277">
        <f>E19*17.7/100</f>
        <v>13155.291359999997</v>
      </c>
      <c r="F22" s="321">
        <f>F19*17.7/100</f>
        <v>11295.74352</v>
      </c>
      <c r="G22" s="322">
        <f t="shared" si="0"/>
        <v>13155.291359999997</v>
      </c>
      <c r="H22" s="321"/>
      <c r="I22" s="321"/>
    </row>
    <row r="23" spans="1:9" x14ac:dyDescent="0.25">
      <c r="A23" s="22" t="s">
        <v>40</v>
      </c>
      <c r="B23" s="5" t="s">
        <v>41</v>
      </c>
      <c r="C23" s="5">
        <v>1.36</v>
      </c>
      <c r="D23" s="321"/>
      <c r="E23" s="277">
        <f>E19*16/100</f>
        <v>11891.788799999998</v>
      </c>
      <c r="F23" s="321">
        <f>F19*16/100</f>
        <v>10210.8416</v>
      </c>
      <c r="G23" s="322">
        <f t="shared" si="0"/>
        <v>11891.788799999998</v>
      </c>
      <c r="H23" s="321"/>
      <c r="I23" s="321"/>
    </row>
    <row r="24" spans="1:9" x14ac:dyDescent="0.25">
      <c r="A24" s="22" t="s">
        <v>42</v>
      </c>
      <c r="B24" s="5" t="s">
        <v>43</v>
      </c>
      <c r="C24" s="5">
        <v>2.6</v>
      </c>
      <c r="D24" s="321"/>
      <c r="E24" s="277">
        <f>E19*30.3%</f>
        <v>22520.075039999996</v>
      </c>
      <c r="F24" s="321">
        <f>F19*30.3/100</f>
        <v>19336.781279999999</v>
      </c>
      <c r="G24" s="322">
        <f t="shared" si="0"/>
        <v>22520.075039999996</v>
      </c>
      <c r="H24" s="321"/>
      <c r="I24" s="321"/>
    </row>
    <row r="25" spans="1:9" x14ac:dyDescent="0.25">
      <c r="A25" s="22" t="s">
        <v>44</v>
      </c>
      <c r="B25" s="5" t="s">
        <v>47</v>
      </c>
      <c r="C25" s="54" t="s">
        <v>48</v>
      </c>
      <c r="D25" s="321">
        <v>-2872.08</v>
      </c>
      <c r="E25" s="54">
        <v>14984.76</v>
      </c>
      <c r="F25" s="5">
        <v>13591.14</v>
      </c>
      <c r="G25" s="8">
        <f t="shared" si="0"/>
        <v>14984.76</v>
      </c>
      <c r="H25" s="205">
        <f>D25+F25-G25</f>
        <v>-4265.7000000000007</v>
      </c>
      <c r="I25" s="63">
        <f>H25</f>
        <v>-4265.7000000000007</v>
      </c>
    </row>
    <row r="26" spans="1:9" x14ac:dyDescent="0.25">
      <c r="A26" s="63" t="s">
        <v>49</v>
      </c>
      <c r="B26" s="10" t="s">
        <v>50</v>
      </c>
      <c r="C26" s="35">
        <v>4.5999999999999996</v>
      </c>
      <c r="D26" s="323">
        <v>-8252.43</v>
      </c>
      <c r="E26" s="324">
        <v>39986.879999999997</v>
      </c>
      <c r="F26" s="323">
        <v>36716.620000000003</v>
      </c>
      <c r="G26" s="325">
        <f t="shared" si="0"/>
        <v>39986.879999999997</v>
      </c>
      <c r="H26" s="323">
        <f>D26+F26-G26</f>
        <v>-11522.689999999995</v>
      </c>
      <c r="I26" s="323">
        <f>H26</f>
        <v>-11522.689999999995</v>
      </c>
    </row>
    <row r="27" spans="1:9" x14ac:dyDescent="0.25">
      <c r="A27" s="63" t="s">
        <v>51</v>
      </c>
      <c r="B27" s="67" t="s">
        <v>310</v>
      </c>
      <c r="C27" s="13">
        <v>1.65</v>
      </c>
      <c r="D27" s="16">
        <v>5128.1099999999997</v>
      </c>
      <c r="E27" s="13">
        <v>14343.48</v>
      </c>
      <c r="F27" s="11">
        <f>F28+F29</f>
        <v>13498.26</v>
      </c>
      <c r="G27" s="11">
        <f>I59</f>
        <v>28985.41</v>
      </c>
      <c r="H27" s="16">
        <f>D27+F27-G27</f>
        <v>-10359.040000000001</v>
      </c>
      <c r="I27" s="16">
        <f>H27</f>
        <v>-10359.040000000001</v>
      </c>
    </row>
    <row r="28" spans="1:9" x14ac:dyDescent="0.25">
      <c r="A28" s="11"/>
      <c r="B28" s="8" t="s">
        <v>53</v>
      </c>
      <c r="C28" s="13"/>
      <c r="D28" s="16"/>
      <c r="E28" s="13"/>
      <c r="F28" s="11">
        <v>13491.68</v>
      </c>
      <c r="G28" s="14"/>
      <c r="H28" s="11"/>
      <c r="I28" s="16"/>
    </row>
    <row r="29" spans="1:9" x14ac:dyDescent="0.25">
      <c r="A29" s="11"/>
      <c r="B29" s="8" t="s">
        <v>367</v>
      </c>
      <c r="C29" s="13"/>
      <c r="D29" s="16"/>
      <c r="E29" s="13"/>
      <c r="F29" s="11">
        <v>6.58</v>
      </c>
      <c r="G29" s="14"/>
      <c r="H29" s="11"/>
      <c r="I29" s="16"/>
    </row>
    <row r="30" spans="1:9" x14ac:dyDescent="0.25">
      <c r="A30" s="11" t="s">
        <v>56</v>
      </c>
      <c r="B30" s="11" t="s">
        <v>1052</v>
      </c>
      <c r="C30" s="13"/>
      <c r="D30" s="10">
        <v>5.03</v>
      </c>
      <c r="E30" s="10">
        <v>0</v>
      </c>
      <c r="F30" s="10">
        <v>-6.58</v>
      </c>
      <c r="G30" s="10">
        <f>G31</f>
        <v>0</v>
      </c>
      <c r="H30" s="10">
        <v>0</v>
      </c>
      <c r="I30" s="38"/>
    </row>
    <row r="31" spans="1:9" x14ac:dyDescent="0.25">
      <c r="A31" s="8"/>
      <c r="B31" s="8" t="s">
        <v>53</v>
      </c>
      <c r="C31" s="8"/>
      <c r="D31" s="8"/>
      <c r="E31" s="8">
        <v>0</v>
      </c>
      <c r="F31" s="8">
        <v>1.55</v>
      </c>
      <c r="G31" s="8">
        <v>0</v>
      </c>
      <c r="H31" s="8">
        <v>0</v>
      </c>
      <c r="I31" s="30"/>
    </row>
    <row r="32" spans="1:9" x14ac:dyDescent="0.25">
      <c r="A32" s="8"/>
      <c r="B32" s="8" t="s">
        <v>58</v>
      </c>
      <c r="C32" s="9"/>
      <c r="D32" s="8"/>
      <c r="E32" s="9"/>
      <c r="F32" s="8">
        <f>D30+F31</f>
        <v>6.58</v>
      </c>
      <c r="G32" s="9"/>
      <c r="H32" s="8"/>
      <c r="I32" s="27"/>
    </row>
    <row r="33" spans="1:9" x14ac:dyDescent="0.25">
      <c r="A33" s="1" t="s">
        <v>59</v>
      </c>
      <c r="B33" s="2"/>
      <c r="C33" s="2"/>
      <c r="E33" s="2"/>
      <c r="F33" s="2"/>
      <c r="G33" s="43"/>
      <c r="H33" s="2"/>
      <c r="I33" s="2"/>
    </row>
    <row r="34" spans="1:9" x14ac:dyDescent="0.25">
      <c r="A34" s="5" t="s">
        <v>60</v>
      </c>
      <c r="B34" s="54" t="s">
        <v>61</v>
      </c>
      <c r="C34" s="5" t="s">
        <v>62</v>
      </c>
      <c r="D34" s="5" t="s">
        <v>63</v>
      </c>
      <c r="E34" s="5" t="s">
        <v>476</v>
      </c>
      <c r="F34" s="47" t="s">
        <v>62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17" t="s">
        <v>23</v>
      </c>
      <c r="E35" s="282">
        <v>0.15</v>
      </c>
      <c r="F35" s="51" t="s">
        <v>30</v>
      </c>
      <c r="G35" s="17"/>
      <c r="H35" s="61"/>
      <c r="I35" s="51"/>
    </row>
    <row r="36" spans="1:9" x14ac:dyDescent="0.25">
      <c r="A36" s="17"/>
      <c r="B36" s="61" t="s">
        <v>69</v>
      </c>
      <c r="C36" s="17">
        <v>5661</v>
      </c>
      <c r="D36" s="17">
        <v>3600</v>
      </c>
      <c r="E36" s="17">
        <f>D36*15/100</f>
        <v>540</v>
      </c>
      <c r="F36" s="51">
        <f>D36-E36+C36</f>
        <v>8721</v>
      </c>
      <c r="G36" s="17"/>
      <c r="H36" s="61">
        <f>F36-G36</f>
        <v>8721</v>
      </c>
      <c r="I36" s="51"/>
    </row>
    <row r="37" spans="1:9" x14ac:dyDescent="0.25">
      <c r="A37" s="2"/>
      <c r="B37" s="2"/>
      <c r="C37" s="2"/>
      <c r="E37" s="2"/>
      <c r="F37" s="2"/>
      <c r="G37" s="2"/>
      <c r="H37" s="2"/>
      <c r="I37" s="2"/>
    </row>
    <row r="38" spans="1:9" x14ac:dyDescent="0.25">
      <c r="A38" s="4" t="s">
        <v>70</v>
      </c>
      <c r="B38" s="2"/>
      <c r="C38" s="2"/>
      <c r="E38" s="2"/>
      <c r="F38" s="2"/>
      <c r="G38" s="2"/>
      <c r="H38" s="2"/>
      <c r="I38" s="2"/>
    </row>
    <row r="39" spans="1:9" x14ac:dyDescent="0.25">
      <c r="A39" s="1" t="s">
        <v>71</v>
      </c>
      <c r="B39" s="2"/>
      <c r="C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385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/>
      <c r="I43" s="6" t="s">
        <v>30</v>
      </c>
    </row>
    <row r="44" spans="1:9" x14ac:dyDescent="0.25">
      <c r="A44" s="6"/>
      <c r="B44" s="49"/>
      <c r="C44" s="6"/>
      <c r="D44" s="43"/>
      <c r="E44" s="6"/>
      <c r="F44" s="43"/>
      <c r="G44" s="226"/>
      <c r="H44" s="43"/>
      <c r="I44" s="6"/>
    </row>
    <row r="45" spans="1:9" x14ac:dyDescent="0.25">
      <c r="A45" s="8">
        <v>1</v>
      </c>
      <c r="B45" s="8" t="s">
        <v>91</v>
      </c>
      <c r="C45" s="35" t="s">
        <v>92</v>
      </c>
      <c r="D45" s="8">
        <v>-55884.9</v>
      </c>
      <c r="E45" s="59">
        <v>130625.86</v>
      </c>
      <c r="F45" s="8">
        <v>109801.54</v>
      </c>
      <c r="G45" s="59">
        <f>E45</f>
        <v>130625.86</v>
      </c>
      <c r="H45" s="8">
        <f>D45+F45-G45</f>
        <v>-76709.22</v>
      </c>
      <c r="I45" s="8">
        <f>H45</f>
        <v>-76709.22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8"/>
      <c r="G46" s="59"/>
      <c r="H46" s="8"/>
      <c r="I46" s="8"/>
    </row>
    <row r="47" spans="1:9" x14ac:dyDescent="0.25">
      <c r="A47" s="8">
        <v>2</v>
      </c>
      <c r="B47" s="8" t="s">
        <v>99</v>
      </c>
      <c r="C47" s="35" t="s">
        <v>100</v>
      </c>
      <c r="D47" s="8">
        <v>-209898.94</v>
      </c>
      <c r="E47" s="9">
        <v>259137.76</v>
      </c>
      <c r="F47" s="8">
        <v>241373.89</v>
      </c>
      <c r="G47" s="9">
        <f>E47</f>
        <v>259137.76</v>
      </c>
      <c r="H47" s="8">
        <f>D47+F47-G47</f>
        <v>-227662.81</v>
      </c>
      <c r="I47" s="8">
        <f>H47</f>
        <v>-227662.81</v>
      </c>
    </row>
    <row r="48" spans="1:9" x14ac:dyDescent="0.25">
      <c r="A48" s="2"/>
      <c r="B48" s="2" t="s">
        <v>72</v>
      </c>
      <c r="C48" s="2"/>
      <c r="D48" s="2"/>
      <c r="E48" s="2"/>
      <c r="F48" s="2" t="s">
        <v>72</v>
      </c>
      <c r="G48" s="2"/>
      <c r="H48" s="2"/>
      <c r="I48" s="2"/>
    </row>
    <row r="49" spans="1:9" x14ac:dyDescent="0.25">
      <c r="A49" s="1" t="s">
        <v>1053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" t="s">
        <v>102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47"/>
      <c r="G51" s="47" t="s">
        <v>105</v>
      </c>
      <c r="H51" s="47" t="s">
        <v>165</v>
      </c>
      <c r="I51" s="5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56"/>
      <c r="G52" s="56"/>
      <c r="H52" s="56" t="s">
        <v>85</v>
      </c>
      <c r="I52" s="6" t="s">
        <v>109</v>
      </c>
    </row>
    <row r="53" spans="1:9" x14ac:dyDescent="0.25">
      <c r="A53" s="50"/>
      <c r="B53" s="17"/>
      <c r="C53" s="50"/>
      <c r="D53" s="61"/>
      <c r="E53" s="61"/>
      <c r="F53" s="51"/>
      <c r="G53" s="56"/>
      <c r="H53" s="56"/>
      <c r="I53" s="17"/>
    </row>
    <row r="54" spans="1:9" x14ac:dyDescent="0.25">
      <c r="A54" s="62"/>
      <c r="B54" s="39"/>
      <c r="C54" s="55" t="s">
        <v>110</v>
      </c>
      <c r="D54" s="4"/>
      <c r="E54" s="4"/>
      <c r="F54" s="56"/>
      <c r="G54" s="5"/>
      <c r="H54" s="5"/>
      <c r="I54" s="47"/>
    </row>
    <row r="55" spans="1:9" x14ac:dyDescent="0.25">
      <c r="A55" s="64" t="s">
        <v>111</v>
      </c>
      <c r="B55" s="65">
        <v>43186</v>
      </c>
      <c r="C55" s="49" t="s">
        <v>237</v>
      </c>
      <c r="D55" s="43"/>
      <c r="E55" s="43"/>
      <c r="F55" s="56" t="s">
        <v>72</v>
      </c>
      <c r="G55" s="26" t="s">
        <v>113</v>
      </c>
      <c r="H55" s="6">
        <v>32</v>
      </c>
      <c r="I55" s="56">
        <v>6400</v>
      </c>
    </row>
    <row r="56" spans="1:9" x14ac:dyDescent="0.25">
      <c r="A56" s="64" t="s">
        <v>114</v>
      </c>
      <c r="B56" s="65">
        <v>43371</v>
      </c>
      <c r="C56" s="49" t="s">
        <v>1054</v>
      </c>
      <c r="D56" s="166"/>
      <c r="E56" s="166"/>
      <c r="F56" s="314"/>
      <c r="G56" s="6" t="s">
        <v>169</v>
      </c>
      <c r="H56" s="6">
        <v>20.8</v>
      </c>
      <c r="I56" s="56">
        <v>17327.41</v>
      </c>
    </row>
    <row r="57" spans="1:9" x14ac:dyDescent="0.25">
      <c r="A57" s="64" t="s">
        <v>170</v>
      </c>
      <c r="B57" s="65">
        <v>43434</v>
      </c>
      <c r="C57" s="49" t="s">
        <v>1055</v>
      </c>
      <c r="D57" s="43"/>
      <c r="E57" s="43"/>
      <c r="F57" s="56"/>
      <c r="G57" s="26" t="s">
        <v>205</v>
      </c>
      <c r="H57" s="6">
        <v>1</v>
      </c>
      <c r="I57" s="56">
        <v>5258</v>
      </c>
    </row>
    <row r="58" spans="1:9" x14ac:dyDescent="0.25">
      <c r="A58" s="64" t="s">
        <v>72</v>
      </c>
      <c r="B58" s="65"/>
      <c r="C58" s="49"/>
      <c r="D58" s="43"/>
      <c r="E58" s="43"/>
      <c r="F58" s="56"/>
      <c r="G58" s="26"/>
      <c r="H58" s="6"/>
      <c r="I58" s="56"/>
    </row>
    <row r="59" spans="1:9" x14ac:dyDescent="0.25">
      <c r="A59" s="66" t="s">
        <v>72</v>
      </c>
      <c r="B59" s="238" t="s">
        <v>72</v>
      </c>
      <c r="C59" s="14" t="s">
        <v>117</v>
      </c>
      <c r="D59" s="13"/>
      <c r="E59" s="13"/>
      <c r="F59" s="67"/>
      <c r="G59" s="16"/>
      <c r="H59" s="11"/>
      <c r="I59" s="67">
        <f>SUM(I54:I58)</f>
        <v>28985.41</v>
      </c>
    </row>
    <row r="60" spans="1:9" x14ac:dyDescent="0.25">
      <c r="A60" s="43"/>
      <c r="B60" s="43"/>
      <c r="C60" s="68"/>
      <c r="D60" s="43"/>
      <c r="E60" s="43"/>
      <c r="F60" s="43"/>
      <c r="G60" s="19"/>
      <c r="H60" s="43"/>
      <c r="I60" s="43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 t="s">
        <v>1015</v>
      </c>
      <c r="B62" s="2"/>
      <c r="C62" s="2" t="s">
        <v>1056</v>
      </c>
      <c r="D62" s="2"/>
      <c r="E62" s="2" t="s">
        <v>120</v>
      </c>
      <c r="F62" s="2"/>
      <c r="G62" s="2"/>
      <c r="H62" s="2" t="s">
        <v>1057</v>
      </c>
      <c r="I62" s="2"/>
    </row>
    <row r="63" spans="1:9" x14ac:dyDescent="0.25">
      <c r="A63" s="2"/>
      <c r="B63" s="2"/>
    </row>
    <row r="68" spans="1:9" x14ac:dyDescent="0.25">
      <c r="A68" s="166"/>
      <c r="B68" s="166"/>
      <c r="C68" s="166"/>
      <c r="D68" s="166"/>
      <c r="E68" s="166"/>
      <c r="F68" s="166"/>
      <c r="G68" s="166"/>
      <c r="H68" s="166"/>
      <c r="I68" s="166"/>
    </row>
  </sheetData>
  <pageMargins left="0.7" right="0.7" top="0.75" bottom="0.75" header="0.3" footer="0.3"/>
  <pageSetup paperSize="9" orientation="landscape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0" workbookViewId="0">
      <selection activeCell="H25" sqref="H25"/>
    </sheetView>
  </sheetViews>
  <sheetFormatPr defaultRowHeight="15" x14ac:dyDescent="0.25"/>
  <cols>
    <col min="1" max="1" width="4.85546875" customWidth="1"/>
    <col min="2" max="2" width="35.42578125" customWidth="1"/>
    <col min="3" max="3" width="13.42578125" customWidth="1"/>
    <col min="5" max="5" width="10.5703125" customWidth="1"/>
    <col min="6" max="6" width="11.42578125" customWidth="1"/>
    <col min="8" max="8" width="13.85546875" customWidth="1"/>
    <col min="9" max="9" width="19.28515625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286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1058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1059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1060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1061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517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1062</v>
      </c>
    </row>
    <row r="15" spans="1:9" x14ac:dyDescent="0.25">
      <c r="A15" s="6"/>
      <c r="B15" s="6"/>
      <c r="C15" s="6" t="s">
        <v>32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1063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0">
        <v>1</v>
      </c>
      <c r="B17" s="11" t="s">
        <v>1038</v>
      </c>
      <c r="C17" s="13">
        <v>8.5500000000000007</v>
      </c>
      <c r="D17" s="16">
        <v>-32931.550000000003</v>
      </c>
      <c r="E17" s="11">
        <v>80531.399999999994</v>
      </c>
      <c r="F17" s="11">
        <v>65750.87</v>
      </c>
      <c r="G17" s="14">
        <f t="shared" ref="G17:G23" si="0">E17</f>
        <v>80531.399999999994</v>
      </c>
      <c r="H17" s="15">
        <f>D17+F17-G17</f>
        <v>-47712.08</v>
      </c>
      <c r="I17" s="16">
        <f>H17</f>
        <v>-47712.08</v>
      </c>
    </row>
    <row r="18" spans="1:9" x14ac:dyDescent="0.25">
      <c r="A18" s="6" t="s">
        <v>36</v>
      </c>
      <c r="B18" s="17" t="s">
        <v>37</v>
      </c>
      <c r="C18" s="61">
        <v>3.08</v>
      </c>
      <c r="D18" s="26"/>
      <c r="E18" s="162">
        <f>E17*36/100</f>
        <v>28991.304</v>
      </c>
      <c r="F18" s="21">
        <f>F17*36/100</f>
        <v>23670.313199999997</v>
      </c>
      <c r="G18" s="20">
        <f t="shared" si="0"/>
        <v>28991.304</v>
      </c>
      <c r="H18" s="21"/>
      <c r="I18" s="32"/>
    </row>
    <row r="19" spans="1:9" x14ac:dyDescent="0.25">
      <c r="A19" s="22" t="s">
        <v>38</v>
      </c>
      <c r="B19" s="5" t="s">
        <v>39</v>
      </c>
      <c r="C19" s="54">
        <v>1.51</v>
      </c>
      <c r="D19" s="33"/>
      <c r="E19" s="24">
        <f>E17*17.7/100</f>
        <v>14254.057799999999</v>
      </c>
      <c r="F19" s="33">
        <f>F17*17.7/100</f>
        <v>11637.903989999999</v>
      </c>
      <c r="G19" s="25">
        <f t="shared" si="0"/>
        <v>14254.057799999999</v>
      </c>
      <c r="H19" s="33"/>
      <c r="I19" s="23"/>
    </row>
    <row r="20" spans="1:9" x14ac:dyDescent="0.25">
      <c r="A20" s="22" t="s">
        <v>40</v>
      </c>
      <c r="B20" s="5" t="s">
        <v>41</v>
      </c>
      <c r="C20" s="54">
        <v>1.36</v>
      </c>
      <c r="D20" s="30"/>
      <c r="E20" s="25">
        <f>E17*16/100</f>
        <v>12885.023999999999</v>
      </c>
      <c r="F20" s="33">
        <f>F17*16/100</f>
        <v>10520.1392</v>
      </c>
      <c r="G20" s="33">
        <f t="shared" si="0"/>
        <v>12885.023999999999</v>
      </c>
      <c r="H20" s="33"/>
      <c r="I20" s="30"/>
    </row>
    <row r="21" spans="1:9" x14ac:dyDescent="0.25">
      <c r="A21" s="22" t="s">
        <v>42</v>
      </c>
      <c r="B21" s="5" t="s">
        <v>43</v>
      </c>
      <c r="C21" s="54">
        <v>2.6</v>
      </c>
      <c r="D21" s="30"/>
      <c r="E21" s="29">
        <f>E17*30.3/100</f>
        <v>24401.014199999998</v>
      </c>
      <c r="F21" s="30">
        <f>F17*30.3/100</f>
        <v>19922.513609999998</v>
      </c>
      <c r="G21" s="30">
        <f t="shared" si="0"/>
        <v>24401.014199999998</v>
      </c>
      <c r="H21" s="30"/>
      <c r="I21" s="27"/>
    </row>
    <row r="22" spans="1:9" x14ac:dyDescent="0.25">
      <c r="A22" s="22" t="s">
        <v>44</v>
      </c>
      <c r="B22" s="5" t="s">
        <v>47</v>
      </c>
      <c r="C22" s="54" t="s">
        <v>48</v>
      </c>
      <c r="D22" s="5">
        <v>-4661.34</v>
      </c>
      <c r="E22" s="54">
        <v>18637.080000000002</v>
      </c>
      <c r="F22" s="5">
        <v>15275.05</v>
      </c>
      <c r="G22" s="43">
        <f>E22</f>
        <v>18637.080000000002</v>
      </c>
      <c r="H22" s="8">
        <f>D22+F22-G22</f>
        <v>-8023.3700000000026</v>
      </c>
      <c r="I22" s="195">
        <f>H22</f>
        <v>-8023.3700000000026</v>
      </c>
    </row>
    <row r="23" spans="1:9" x14ac:dyDescent="0.25">
      <c r="A23" s="63" t="s">
        <v>49</v>
      </c>
      <c r="B23" s="63" t="s">
        <v>50</v>
      </c>
      <c r="C23" s="159">
        <v>4.5999999999999996</v>
      </c>
      <c r="D23" s="38">
        <v>-9238.15</v>
      </c>
      <c r="E23" s="10">
        <v>43326.48</v>
      </c>
      <c r="F23" s="10">
        <v>35611.199999999997</v>
      </c>
      <c r="G23" s="10">
        <f t="shared" si="0"/>
        <v>43326.48</v>
      </c>
      <c r="H23" s="37">
        <f>D23+F23-G23</f>
        <v>-16953.430000000008</v>
      </c>
      <c r="I23" s="38">
        <f>H23</f>
        <v>-16953.430000000008</v>
      </c>
    </row>
    <row r="24" spans="1:9" x14ac:dyDescent="0.25">
      <c r="A24" s="63" t="s">
        <v>51</v>
      </c>
      <c r="B24" s="63" t="s">
        <v>52</v>
      </c>
      <c r="C24" s="63">
        <v>1.65</v>
      </c>
      <c r="D24" s="160">
        <v>-160207.85</v>
      </c>
      <c r="E24" s="63">
        <v>15541.68</v>
      </c>
      <c r="F24" s="63">
        <f>F25</f>
        <v>34471.089999999997</v>
      </c>
      <c r="G24" s="63">
        <f>G25</f>
        <v>7600</v>
      </c>
      <c r="H24" s="164">
        <f>D24+F24-G24</f>
        <v>-133336.76</v>
      </c>
      <c r="I24" s="160">
        <f>H24</f>
        <v>-133336.76</v>
      </c>
    </row>
    <row r="25" spans="1:9" x14ac:dyDescent="0.25">
      <c r="A25" s="10"/>
      <c r="B25" s="8" t="s">
        <v>53</v>
      </c>
      <c r="C25" s="35"/>
      <c r="D25" s="37"/>
      <c r="E25" s="10"/>
      <c r="F25" s="10">
        <v>34471.089999999997</v>
      </c>
      <c r="G25" s="36">
        <f>I47</f>
        <v>7600</v>
      </c>
      <c r="H25" s="37"/>
      <c r="I25" s="38"/>
    </row>
    <row r="26" spans="1:9" x14ac:dyDescent="0.25">
      <c r="A26" s="4" t="s">
        <v>70</v>
      </c>
      <c r="B26" s="4"/>
      <c r="C26" s="4"/>
      <c r="D26" s="52"/>
      <c r="E26" s="4"/>
      <c r="F26" s="4"/>
      <c r="G26" s="4"/>
      <c r="H26" s="4"/>
      <c r="I26" s="4"/>
    </row>
    <row r="27" spans="1:9" x14ac:dyDescent="0.25">
      <c r="A27" s="1" t="s">
        <v>71</v>
      </c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5" t="s">
        <v>72</v>
      </c>
      <c r="B28" s="53" t="s">
        <v>73</v>
      </c>
      <c r="C28" s="5" t="s">
        <v>74</v>
      </c>
      <c r="D28" s="54" t="s">
        <v>75</v>
      </c>
      <c r="E28" s="5" t="s">
        <v>76</v>
      </c>
      <c r="F28" s="54" t="s">
        <v>77</v>
      </c>
      <c r="G28" s="5" t="s">
        <v>78</v>
      </c>
      <c r="H28" s="5" t="s">
        <v>79</v>
      </c>
      <c r="I28" s="5" t="s">
        <v>19</v>
      </c>
    </row>
    <row r="29" spans="1:9" x14ac:dyDescent="0.25">
      <c r="A29" s="6"/>
      <c r="B29" s="55" t="s">
        <v>80</v>
      </c>
      <c r="C29" s="6" t="s">
        <v>81</v>
      </c>
      <c r="D29" s="43" t="s">
        <v>82</v>
      </c>
      <c r="E29" s="6" t="s">
        <v>83</v>
      </c>
      <c r="F29" s="43" t="s">
        <v>84</v>
      </c>
      <c r="G29" s="6" t="s">
        <v>85</v>
      </c>
      <c r="H29" s="6" t="s">
        <v>86</v>
      </c>
      <c r="I29" s="6" t="s">
        <v>87</v>
      </c>
    </row>
    <row r="30" spans="1:9" x14ac:dyDescent="0.25">
      <c r="A30" s="6"/>
      <c r="B30" s="49"/>
      <c r="C30" s="6"/>
      <c r="D30" s="43"/>
      <c r="E30" s="6"/>
      <c r="F30" s="43" t="s">
        <v>88</v>
      </c>
      <c r="G30" s="17" t="s">
        <v>89</v>
      </c>
      <c r="H30" s="17"/>
      <c r="I30" s="6" t="s">
        <v>221</v>
      </c>
    </row>
    <row r="31" spans="1:9" x14ac:dyDescent="0.25">
      <c r="A31" s="8">
        <v>1</v>
      </c>
      <c r="B31" s="8" t="s">
        <v>91</v>
      </c>
      <c r="C31" s="35" t="s">
        <v>92</v>
      </c>
      <c r="D31" s="8">
        <v>-40565.449999999997</v>
      </c>
      <c r="E31" s="59">
        <v>187600.76</v>
      </c>
      <c r="F31" s="8">
        <v>125947.59</v>
      </c>
      <c r="G31" s="59">
        <f>E31</f>
        <v>187600.76</v>
      </c>
      <c r="H31" s="6">
        <f>D31+F31-G31</f>
        <v>-102218.62000000001</v>
      </c>
      <c r="I31" s="8">
        <f>H31</f>
        <v>-102218.62000000001</v>
      </c>
    </row>
    <row r="32" spans="1:9" x14ac:dyDescent="0.25">
      <c r="A32" s="8"/>
      <c r="B32" s="8" t="s">
        <v>487</v>
      </c>
      <c r="C32" s="35" t="s">
        <v>94</v>
      </c>
      <c r="D32" s="8"/>
      <c r="E32" s="59"/>
      <c r="F32" s="8"/>
      <c r="G32" s="59"/>
      <c r="H32" s="8"/>
      <c r="I32" s="8"/>
    </row>
    <row r="33" spans="1:9" x14ac:dyDescent="0.25">
      <c r="A33" s="8">
        <v>2</v>
      </c>
      <c r="B33" s="8" t="s">
        <v>99</v>
      </c>
      <c r="C33" s="35" t="s">
        <v>100</v>
      </c>
      <c r="D33" s="8">
        <v>-201438.3</v>
      </c>
      <c r="E33" s="9">
        <v>283727.95</v>
      </c>
      <c r="F33" s="8">
        <v>230608.17</v>
      </c>
      <c r="G33" s="9">
        <f>E33</f>
        <v>283727.95</v>
      </c>
      <c r="H33" s="8">
        <f>F33-E33+D33</f>
        <v>-254558.07999999999</v>
      </c>
      <c r="I33" s="8">
        <f>H33</f>
        <v>-254558.07999999999</v>
      </c>
    </row>
    <row r="34" spans="1:9" x14ac:dyDescent="0.25">
      <c r="A34" s="2"/>
      <c r="B34" s="2" t="s">
        <v>72</v>
      </c>
      <c r="C34" s="2"/>
      <c r="D34" s="2"/>
      <c r="E34" s="2"/>
      <c r="F34" s="2" t="s">
        <v>72</v>
      </c>
      <c r="G34" s="2"/>
      <c r="H34" s="2"/>
      <c r="I34" s="2"/>
    </row>
    <row r="35" spans="1:9" x14ac:dyDescent="0.25">
      <c r="A35" s="1" t="s">
        <v>1064</v>
      </c>
      <c r="B35" s="2"/>
      <c r="C35" s="43"/>
      <c r="D35" s="43"/>
      <c r="E35" s="43"/>
      <c r="F35" s="43"/>
      <c r="G35" s="43"/>
      <c r="H35" s="43"/>
      <c r="I35" s="43"/>
    </row>
    <row r="36" spans="1:9" x14ac:dyDescent="0.25">
      <c r="A36" s="4" t="s">
        <v>1065</v>
      </c>
      <c r="B36" s="2"/>
      <c r="C36" s="43"/>
      <c r="D36" s="43"/>
      <c r="E36" s="43"/>
      <c r="F36" s="43"/>
      <c r="G36" s="43"/>
      <c r="H36" s="43"/>
      <c r="I36" s="43"/>
    </row>
    <row r="37" spans="1:9" x14ac:dyDescent="0.25">
      <c r="A37" s="46" t="s">
        <v>12</v>
      </c>
      <c r="B37" s="46" t="s">
        <v>103</v>
      </c>
      <c r="C37" s="46" t="s">
        <v>164</v>
      </c>
      <c r="D37" s="54"/>
      <c r="E37" s="54"/>
      <c r="F37" s="54"/>
      <c r="G37" s="5"/>
      <c r="H37" s="54" t="s">
        <v>165</v>
      </c>
      <c r="I37" s="5" t="s">
        <v>107</v>
      </c>
    </row>
    <row r="38" spans="1:9" x14ac:dyDescent="0.25">
      <c r="A38" s="49" t="s">
        <v>108</v>
      </c>
      <c r="B38" s="49"/>
      <c r="C38" s="49"/>
      <c r="D38" s="43"/>
      <c r="E38" s="43"/>
      <c r="F38" s="43"/>
      <c r="G38" s="6" t="s">
        <v>105</v>
      </c>
      <c r="H38" s="43" t="s">
        <v>85</v>
      </c>
      <c r="I38" s="6" t="s">
        <v>109</v>
      </c>
    </row>
    <row r="39" spans="1:9" x14ac:dyDescent="0.25">
      <c r="A39" s="49"/>
      <c r="B39" s="49"/>
      <c r="C39" s="49"/>
      <c r="D39" s="43"/>
      <c r="E39" s="43"/>
      <c r="F39" s="43"/>
      <c r="G39" s="6"/>
      <c r="H39" s="43"/>
      <c r="I39" s="6"/>
    </row>
    <row r="40" spans="1:9" x14ac:dyDescent="0.25">
      <c r="A40" s="49"/>
      <c r="B40" s="50"/>
      <c r="C40" s="50"/>
      <c r="D40" s="61"/>
      <c r="E40" s="61"/>
      <c r="F40" s="61"/>
      <c r="G40" s="17"/>
      <c r="H40" s="61"/>
      <c r="I40" s="17"/>
    </row>
    <row r="41" spans="1:9" x14ac:dyDescent="0.25">
      <c r="A41" s="62" t="s">
        <v>72</v>
      </c>
      <c r="B41" s="39"/>
      <c r="C41" s="55" t="s">
        <v>110</v>
      </c>
      <c r="D41" s="4"/>
      <c r="E41" s="4"/>
      <c r="F41" s="43"/>
      <c r="G41" s="6"/>
      <c r="H41" s="56"/>
      <c r="I41" s="5"/>
    </row>
    <row r="42" spans="1:9" x14ac:dyDescent="0.25">
      <c r="A42" s="64"/>
      <c r="B42" s="6"/>
      <c r="C42" s="49" t="s">
        <v>72</v>
      </c>
      <c r="D42" s="43"/>
      <c r="E42" s="43"/>
      <c r="F42" s="43" t="s">
        <v>72</v>
      </c>
      <c r="G42" s="26"/>
      <c r="H42" s="56" t="s">
        <v>72</v>
      </c>
      <c r="I42" s="6" t="s">
        <v>72</v>
      </c>
    </row>
    <row r="43" spans="1:9" x14ac:dyDescent="0.25">
      <c r="A43" s="64" t="s">
        <v>111</v>
      </c>
      <c r="B43" s="65">
        <v>43189</v>
      </c>
      <c r="C43" s="49" t="s">
        <v>816</v>
      </c>
      <c r="D43" s="43"/>
      <c r="E43" s="43"/>
      <c r="F43" s="43"/>
      <c r="G43" s="26" t="s">
        <v>255</v>
      </c>
      <c r="H43" s="56">
        <v>1</v>
      </c>
      <c r="I43" s="6">
        <v>1200</v>
      </c>
    </row>
    <row r="44" spans="1:9" x14ac:dyDescent="0.25">
      <c r="A44" s="64" t="s">
        <v>114</v>
      </c>
      <c r="B44" s="65">
        <v>43186</v>
      </c>
      <c r="C44" s="49" t="s">
        <v>112</v>
      </c>
      <c r="D44" s="43"/>
      <c r="E44" s="43"/>
      <c r="F44" s="43"/>
      <c r="G44" s="26" t="s">
        <v>113</v>
      </c>
      <c r="H44" s="56">
        <v>32</v>
      </c>
      <c r="I44" s="6">
        <v>6400</v>
      </c>
    </row>
    <row r="45" spans="1:9" x14ac:dyDescent="0.25">
      <c r="A45" s="64"/>
      <c r="B45" s="65"/>
      <c r="C45" s="49"/>
      <c r="D45" s="43"/>
      <c r="E45" s="43"/>
      <c r="F45" s="43"/>
      <c r="G45" s="26"/>
      <c r="H45" s="56"/>
      <c r="I45" s="6"/>
    </row>
    <row r="46" spans="1:9" x14ac:dyDescent="0.25">
      <c r="A46" s="64"/>
      <c r="B46" s="65"/>
      <c r="C46" s="49"/>
      <c r="D46" s="43"/>
      <c r="E46" s="43"/>
      <c r="F46" s="43"/>
      <c r="G46" s="26"/>
      <c r="H46" s="56"/>
      <c r="I46" s="6"/>
    </row>
    <row r="47" spans="1:9" x14ac:dyDescent="0.25">
      <c r="A47" s="66"/>
      <c r="B47" s="17"/>
      <c r="C47" s="14" t="s">
        <v>117</v>
      </c>
      <c r="D47" s="13"/>
      <c r="E47" s="13"/>
      <c r="F47" s="13"/>
      <c r="G47" s="16"/>
      <c r="H47" s="67"/>
      <c r="I47" s="11">
        <f>SUM(I43:I46)</f>
        <v>7600</v>
      </c>
    </row>
    <row r="48" spans="1:9" x14ac:dyDescent="0.25">
      <c r="A48" s="68"/>
      <c r="B48" s="43"/>
      <c r="C48" s="4"/>
      <c r="D48" s="4"/>
      <c r="E48" s="4"/>
      <c r="F48" s="4"/>
      <c r="G48" s="165"/>
      <c r="H48" s="4"/>
      <c r="I48" s="4"/>
    </row>
    <row r="49" spans="1:9" x14ac:dyDescent="0.25">
      <c r="A49" s="2" t="s">
        <v>315</v>
      </c>
      <c r="B49" s="2"/>
      <c r="C49" s="2" t="s">
        <v>119</v>
      </c>
      <c r="D49" s="2"/>
      <c r="E49" s="2" t="s">
        <v>120</v>
      </c>
      <c r="H49" s="2" t="s">
        <v>121</v>
      </c>
      <c r="I49" s="2" t="s">
        <v>122</v>
      </c>
    </row>
    <row r="50" spans="1:9" x14ac:dyDescent="0.25">
      <c r="A50" s="2"/>
      <c r="B50" s="2"/>
    </row>
  </sheetData>
  <pageMargins left="0.7" right="0.7" top="0.75" bottom="0.75" header="0.3" footer="0.3"/>
  <pageSetup paperSize="9"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A2" sqref="A2"/>
    </sheetView>
  </sheetViews>
  <sheetFormatPr defaultRowHeight="15" x14ac:dyDescent="0.25"/>
  <cols>
    <col min="1" max="1" width="4.85546875" customWidth="1"/>
    <col min="2" max="2" width="34.42578125" customWidth="1"/>
    <col min="3" max="3" width="13.28515625" customWidth="1"/>
    <col min="5" max="5" width="10.7109375" customWidth="1"/>
    <col min="6" max="6" width="12.85546875" customWidth="1"/>
    <col min="7" max="7" width="11.42578125" customWidth="1"/>
    <col min="8" max="8" width="12.5703125" customWidth="1"/>
    <col min="9" max="9" width="18.7109375" customWidth="1"/>
  </cols>
  <sheetData>
    <row r="1" spans="1:9" x14ac:dyDescent="0.25">
      <c r="A1" s="1" t="s">
        <v>1066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368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1067</v>
      </c>
      <c r="B5" s="1"/>
      <c r="C5" s="1"/>
      <c r="D5" s="1"/>
      <c r="E5" s="1"/>
      <c r="F5" s="2"/>
      <c r="G5" s="2"/>
      <c r="H5" s="2"/>
      <c r="I5" s="2"/>
    </row>
    <row r="6" spans="1:9" x14ac:dyDescent="0.25">
      <c r="A6" s="2" t="s">
        <v>1068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1069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185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135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34</v>
      </c>
    </row>
    <row r="16" spans="1:9" x14ac:dyDescent="0.25">
      <c r="A16" s="7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0">
        <v>1</v>
      </c>
      <c r="B17" s="11" t="s">
        <v>1070</v>
      </c>
      <c r="C17" s="161">
        <v>8.9600000000000009</v>
      </c>
      <c r="D17" s="16">
        <v>-73730.899999999994</v>
      </c>
      <c r="E17" s="13">
        <v>517676.4</v>
      </c>
      <c r="F17" s="11">
        <v>523573.14</v>
      </c>
      <c r="G17" s="14">
        <f>E17</f>
        <v>517676.4</v>
      </c>
      <c r="H17" s="204">
        <f>D17+F17-G17</f>
        <v>-67834.160000000033</v>
      </c>
      <c r="I17" s="16">
        <f>H17+H22</f>
        <v>-65944.140000000029</v>
      </c>
    </row>
    <row r="18" spans="1:9" x14ac:dyDescent="0.25">
      <c r="A18" s="66" t="s">
        <v>138</v>
      </c>
      <c r="B18" s="17" t="s">
        <v>37</v>
      </c>
      <c r="C18" s="162">
        <v>3.08</v>
      </c>
      <c r="D18" s="26"/>
      <c r="E18" s="162">
        <f>E17*34.4/100</f>
        <v>178080.68160000001</v>
      </c>
      <c r="F18" s="21">
        <f>F17*34.4/100</f>
        <v>180109.16016</v>
      </c>
      <c r="G18" s="19">
        <f t="shared" ref="G18:G26" si="0">E18</f>
        <v>178080.68160000001</v>
      </c>
      <c r="H18" s="26"/>
      <c r="I18" s="26"/>
    </row>
    <row r="19" spans="1:9" x14ac:dyDescent="0.25">
      <c r="A19" s="22" t="s">
        <v>38</v>
      </c>
      <c r="B19" s="5" t="s">
        <v>39</v>
      </c>
      <c r="C19" s="33">
        <v>1.47</v>
      </c>
      <c r="D19" s="33"/>
      <c r="E19" s="24">
        <f>E17*16.4/100</f>
        <v>84898.929599999989</v>
      </c>
      <c r="F19" s="33">
        <f>F17*16.4/100</f>
        <v>85865.994959999996</v>
      </c>
      <c r="G19" s="25">
        <f t="shared" si="0"/>
        <v>84898.929599999989</v>
      </c>
      <c r="H19" s="33"/>
      <c r="I19" s="33"/>
    </row>
    <row r="20" spans="1:9" x14ac:dyDescent="0.25">
      <c r="A20" s="22" t="s">
        <v>40</v>
      </c>
      <c r="B20" s="5" t="s">
        <v>41</v>
      </c>
      <c r="C20" s="33">
        <v>1.81</v>
      </c>
      <c r="D20" s="33"/>
      <c r="E20" s="24">
        <f>E17*20.2/100</f>
        <v>104570.63279999999</v>
      </c>
      <c r="F20" s="33">
        <f>F17*20.2/100</f>
        <v>105761.77428</v>
      </c>
      <c r="G20" s="25">
        <f t="shared" si="0"/>
        <v>104570.63279999999</v>
      </c>
      <c r="H20" s="33"/>
      <c r="I20" s="33"/>
    </row>
    <row r="21" spans="1:9" x14ac:dyDescent="0.25">
      <c r="A21" s="31" t="s">
        <v>42</v>
      </c>
      <c r="B21" s="8" t="s">
        <v>43</v>
      </c>
      <c r="C21" s="30">
        <v>2.6</v>
      </c>
      <c r="D21" s="30"/>
      <c r="E21" s="28">
        <f>E17*29/100</f>
        <v>150126.15600000002</v>
      </c>
      <c r="F21" s="30">
        <f>F17*29/100</f>
        <v>151836.21059999999</v>
      </c>
      <c r="G21" s="29">
        <f t="shared" si="0"/>
        <v>150126.15600000002</v>
      </c>
      <c r="H21" s="30"/>
      <c r="I21" s="30"/>
    </row>
    <row r="22" spans="1:9" x14ac:dyDescent="0.25">
      <c r="A22" s="66" t="s">
        <v>44</v>
      </c>
      <c r="B22" s="17" t="s">
        <v>45</v>
      </c>
      <c r="C22" s="162">
        <v>1755.25</v>
      </c>
      <c r="D22" s="21">
        <v>1453.65</v>
      </c>
      <c r="E22" s="162">
        <v>12842.2</v>
      </c>
      <c r="F22" s="21">
        <v>13278.57</v>
      </c>
      <c r="G22" s="20">
        <f>E22</f>
        <v>12842.2</v>
      </c>
      <c r="H22" s="21">
        <f>D22+F22-G22</f>
        <v>1890.0199999999986</v>
      </c>
      <c r="I22" s="21"/>
    </row>
    <row r="23" spans="1:9" x14ac:dyDescent="0.25">
      <c r="A23" s="66" t="s">
        <v>46</v>
      </c>
      <c r="B23" s="17" t="s">
        <v>47</v>
      </c>
      <c r="C23" s="161" t="s">
        <v>48</v>
      </c>
      <c r="D23" s="21">
        <v>-25996.66</v>
      </c>
      <c r="E23" s="9">
        <v>188261.88</v>
      </c>
      <c r="F23" s="8">
        <v>184052.61</v>
      </c>
      <c r="G23" s="9">
        <f>E23</f>
        <v>188261.88</v>
      </c>
      <c r="H23" s="29">
        <f>D23+F23-G23</f>
        <v>-30205.930000000022</v>
      </c>
      <c r="I23" s="10">
        <f>H23</f>
        <v>-30205.930000000022</v>
      </c>
    </row>
    <row r="24" spans="1:9" x14ac:dyDescent="0.25">
      <c r="A24" s="11" t="s">
        <v>49</v>
      </c>
      <c r="B24" s="11" t="s">
        <v>140</v>
      </c>
      <c r="C24" s="161">
        <v>3.43</v>
      </c>
      <c r="D24" s="16">
        <v>-11448.32</v>
      </c>
      <c r="E24" s="13">
        <v>157922.51999999999</v>
      </c>
      <c r="F24" s="11">
        <v>173193.35</v>
      </c>
      <c r="G24" s="14">
        <f t="shared" si="0"/>
        <v>157922.51999999999</v>
      </c>
      <c r="H24" s="204">
        <f>D24+F24-G24</f>
        <v>3822.5100000000093</v>
      </c>
      <c r="I24" s="16"/>
    </row>
    <row r="25" spans="1:9" x14ac:dyDescent="0.25">
      <c r="A25" s="10" t="s">
        <v>51</v>
      </c>
      <c r="B25" s="10" t="s">
        <v>50</v>
      </c>
      <c r="C25" s="193">
        <v>4.5999999999999996</v>
      </c>
      <c r="D25" s="38">
        <v>-42437.95</v>
      </c>
      <c r="E25" s="35">
        <v>265771.44</v>
      </c>
      <c r="F25" s="10">
        <v>268111.21999999997</v>
      </c>
      <c r="G25" s="36">
        <f>E25</f>
        <v>265771.44</v>
      </c>
      <c r="H25" s="244">
        <f>D25+F25-G25</f>
        <v>-40098.170000000042</v>
      </c>
      <c r="I25" s="38">
        <f>H25</f>
        <v>-40098.170000000042</v>
      </c>
    </row>
    <row r="26" spans="1:9" x14ac:dyDescent="0.25">
      <c r="A26" s="10" t="s">
        <v>56</v>
      </c>
      <c r="B26" s="10" t="s">
        <v>191</v>
      </c>
      <c r="C26" s="193">
        <v>1</v>
      </c>
      <c r="D26" s="38">
        <v>-1141.06</v>
      </c>
      <c r="E26" s="35">
        <v>0</v>
      </c>
      <c r="F26" s="10">
        <v>4.3099999999999996</v>
      </c>
      <c r="G26" s="35">
        <f t="shared" si="0"/>
        <v>0</v>
      </c>
      <c r="H26" s="244">
        <f t="shared" ref="H26" si="1">D26+F26-G26</f>
        <v>-1136.75</v>
      </c>
      <c r="I26" s="38">
        <f>H26</f>
        <v>-1136.75</v>
      </c>
    </row>
    <row r="27" spans="1:9" x14ac:dyDescent="0.25">
      <c r="A27" s="39" t="s">
        <v>60</v>
      </c>
      <c r="B27" s="11" t="s">
        <v>310</v>
      </c>
      <c r="C27" s="161">
        <v>1.82</v>
      </c>
      <c r="D27" s="204">
        <v>6208.72</v>
      </c>
      <c r="E27" s="13">
        <v>105152.88</v>
      </c>
      <c r="F27" s="11">
        <f>F28+F29</f>
        <v>110353.08</v>
      </c>
      <c r="G27" s="13">
        <f>I61</f>
        <v>26991</v>
      </c>
      <c r="H27" s="204">
        <f>D27+F27-G27</f>
        <v>89570.8</v>
      </c>
      <c r="I27" s="16"/>
    </row>
    <row r="28" spans="1:9" x14ac:dyDescent="0.25">
      <c r="A28" s="10"/>
      <c r="B28" s="7" t="s">
        <v>1071</v>
      </c>
      <c r="C28" s="10"/>
      <c r="D28" s="204"/>
      <c r="E28" s="13"/>
      <c r="F28" s="11">
        <v>110180.49</v>
      </c>
      <c r="G28" s="13"/>
      <c r="H28" s="204"/>
      <c r="I28" s="16"/>
    </row>
    <row r="29" spans="1:9" x14ac:dyDescent="0.25">
      <c r="A29" s="10"/>
      <c r="B29" s="7" t="s">
        <v>367</v>
      </c>
      <c r="C29" s="11"/>
      <c r="D29" s="204"/>
      <c r="E29" s="13"/>
      <c r="F29" s="11">
        <v>172.59</v>
      </c>
      <c r="G29" s="13"/>
      <c r="H29" s="204"/>
      <c r="I29" s="16"/>
    </row>
    <row r="30" spans="1:9" x14ac:dyDescent="0.25">
      <c r="A30" s="10" t="s">
        <v>355</v>
      </c>
      <c r="B30" s="10" t="s">
        <v>144</v>
      </c>
      <c r="C30" s="42">
        <v>0</v>
      </c>
      <c r="D30" s="244">
        <v>166.4</v>
      </c>
      <c r="E30" s="35">
        <v>0</v>
      </c>
      <c r="F30" s="10">
        <v>-172.59</v>
      </c>
      <c r="G30" s="35">
        <v>0</v>
      </c>
      <c r="H30" s="244">
        <v>0</v>
      </c>
      <c r="I30" s="38"/>
    </row>
    <row r="31" spans="1:9" x14ac:dyDescent="0.25">
      <c r="A31" s="8"/>
      <c r="B31" s="7" t="s">
        <v>1071</v>
      </c>
      <c r="C31" s="7"/>
      <c r="D31" s="206"/>
      <c r="E31" s="9">
        <v>0</v>
      </c>
      <c r="F31" s="8">
        <v>6.19</v>
      </c>
      <c r="G31" s="9">
        <v>0</v>
      </c>
      <c r="H31" s="206"/>
      <c r="I31" s="27"/>
    </row>
    <row r="32" spans="1:9" x14ac:dyDescent="0.25">
      <c r="A32" s="7"/>
      <c r="B32" s="7" t="s">
        <v>58</v>
      </c>
      <c r="C32" s="7"/>
      <c r="D32" s="235"/>
      <c r="E32" s="8"/>
      <c r="F32" s="48">
        <v>172.59</v>
      </c>
      <c r="G32" s="48"/>
      <c r="H32" s="326"/>
      <c r="I32" s="27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63" t="s">
        <v>193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20">
        <v>30292.46</v>
      </c>
      <c r="D37" s="8">
        <v>6000</v>
      </c>
      <c r="E37" s="162">
        <f>D37*15%</f>
        <v>900</v>
      </c>
      <c r="F37" s="21">
        <f>C37+(D37-E37)</f>
        <v>35392.46</v>
      </c>
      <c r="G37" s="21"/>
      <c r="H37" s="162">
        <f>F37-G37</f>
        <v>35392.46</v>
      </c>
      <c r="I37" s="51"/>
    </row>
    <row r="38" spans="1:9" x14ac:dyDescent="0.25">
      <c r="A38" s="1" t="s">
        <v>248</v>
      </c>
      <c r="B38" s="1"/>
      <c r="C38" s="1"/>
      <c r="D38" s="45"/>
      <c r="E38" s="1"/>
      <c r="F38" s="1"/>
      <c r="G38" s="1"/>
      <c r="H38" s="1"/>
      <c r="I38" s="1"/>
    </row>
    <row r="39" spans="1:9" x14ac:dyDescent="0.25">
      <c r="A39" s="5" t="s">
        <v>72</v>
      </c>
      <c r="B39" s="53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78</v>
      </c>
      <c r="H39" s="46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3" t="s">
        <v>82</v>
      </c>
      <c r="E40" s="6" t="s">
        <v>83</v>
      </c>
      <c r="F40" s="43" t="s">
        <v>84</v>
      </c>
      <c r="G40" s="6" t="s">
        <v>85</v>
      </c>
      <c r="H40" s="49" t="s">
        <v>86</v>
      </c>
      <c r="I40" s="6" t="s">
        <v>87</v>
      </c>
    </row>
    <row r="41" spans="1:9" x14ac:dyDescent="0.25">
      <c r="A41" s="6"/>
      <c r="B41" s="49"/>
      <c r="C41" s="6"/>
      <c r="D41" s="43"/>
      <c r="E41" s="6"/>
      <c r="F41" s="43" t="s">
        <v>88</v>
      </c>
      <c r="G41" s="6" t="s">
        <v>89</v>
      </c>
      <c r="H41" s="49"/>
      <c r="I41" s="6" t="s">
        <v>875</v>
      </c>
    </row>
    <row r="42" spans="1:9" x14ac:dyDescent="0.25">
      <c r="A42" s="8"/>
      <c r="B42" s="7"/>
      <c r="C42" s="8"/>
      <c r="D42" s="8"/>
      <c r="E42" s="9"/>
      <c r="F42" s="8"/>
      <c r="G42" s="9"/>
      <c r="H42" s="7"/>
      <c r="I42" s="8"/>
    </row>
    <row r="43" spans="1:9" x14ac:dyDescent="0.25">
      <c r="A43" s="8">
        <v>1</v>
      </c>
      <c r="B43" s="8" t="s">
        <v>91</v>
      </c>
      <c r="C43" s="35" t="s">
        <v>92</v>
      </c>
      <c r="D43" s="8">
        <v>-118809.51</v>
      </c>
      <c r="E43" s="59">
        <v>493137.61</v>
      </c>
      <c r="F43" s="8">
        <v>505068.16</v>
      </c>
      <c r="G43" s="59">
        <f>E43</f>
        <v>493137.61</v>
      </c>
      <c r="H43" s="8">
        <f>D43+F43-G43</f>
        <v>-106878.96000000002</v>
      </c>
      <c r="I43" s="8">
        <f>H43</f>
        <v>-106878.96000000002</v>
      </c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95</v>
      </c>
      <c r="C45" s="1" t="s">
        <v>96</v>
      </c>
      <c r="D45" s="6">
        <v>-305835.88</v>
      </c>
      <c r="E45" s="2">
        <v>795743.36</v>
      </c>
      <c r="F45" s="6">
        <v>824660.38</v>
      </c>
      <c r="G45" s="2">
        <f>E45</f>
        <v>795743.36</v>
      </c>
      <c r="H45" s="6">
        <f>D45+F45-G45</f>
        <v>-276918.86</v>
      </c>
      <c r="I45" s="6">
        <f>H45</f>
        <v>-276918.86</v>
      </c>
    </row>
    <row r="46" spans="1:9" x14ac:dyDescent="0.25">
      <c r="A46" s="8"/>
      <c r="B46" s="8" t="s">
        <v>97</v>
      </c>
      <c r="C46" s="35"/>
      <c r="D46" s="8"/>
      <c r="E46" s="9"/>
      <c r="F46" s="8"/>
      <c r="G46" s="9"/>
      <c r="H46" s="5" t="s">
        <v>72</v>
      </c>
      <c r="I46" s="8"/>
    </row>
    <row r="47" spans="1:9" x14ac:dyDescent="0.25">
      <c r="A47" s="8"/>
      <c r="B47" s="8" t="s">
        <v>198</v>
      </c>
      <c r="C47" s="35" t="s">
        <v>94</v>
      </c>
      <c r="D47" s="8"/>
      <c r="E47" s="9"/>
      <c r="F47" s="8"/>
      <c r="G47" s="9"/>
      <c r="H47" s="5"/>
      <c r="I47" s="8"/>
    </row>
    <row r="48" spans="1:9" x14ac:dyDescent="0.25">
      <c r="A48" s="8">
        <v>3</v>
      </c>
      <c r="B48" s="8" t="s">
        <v>99</v>
      </c>
      <c r="C48" s="35" t="s">
        <v>100</v>
      </c>
      <c r="D48" s="8">
        <v>-517508.03</v>
      </c>
      <c r="E48" s="9">
        <v>1286552.1000000001</v>
      </c>
      <c r="F48" s="8">
        <v>1300595.26</v>
      </c>
      <c r="G48" s="9">
        <f>E48</f>
        <v>1286552.1000000001</v>
      </c>
      <c r="H48" s="8">
        <f>D48+F48-G48</f>
        <v>-503464.87000000011</v>
      </c>
      <c r="I48" s="8">
        <f>H48</f>
        <v>-503464.87000000011</v>
      </c>
    </row>
    <row r="49" spans="1:9" x14ac:dyDescent="0.25">
      <c r="A49" s="2"/>
      <c r="B49" s="2" t="s">
        <v>72</v>
      </c>
      <c r="C49" s="2"/>
      <c r="D49" s="2"/>
      <c r="E49" s="2"/>
      <c r="F49" s="2" t="s">
        <v>72</v>
      </c>
      <c r="G49" s="2"/>
      <c r="H49" s="2"/>
      <c r="I49" s="2"/>
    </row>
    <row r="50" spans="1:9" x14ac:dyDescent="0.25">
      <c r="A50" s="1" t="s">
        <v>1072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" t="s">
        <v>1073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6" t="s">
        <v>12</v>
      </c>
      <c r="B52" s="46" t="s">
        <v>103</v>
      </c>
      <c r="C52" s="46" t="s">
        <v>104</v>
      </c>
      <c r="D52" s="54"/>
      <c r="E52" s="54"/>
      <c r="F52" s="54"/>
      <c r="G52" s="5" t="s">
        <v>105</v>
      </c>
      <c r="H52" s="47" t="s">
        <v>200</v>
      </c>
      <c r="I52" s="47" t="s">
        <v>107</v>
      </c>
    </row>
    <row r="53" spans="1:9" x14ac:dyDescent="0.25">
      <c r="A53" s="49" t="s">
        <v>108</v>
      </c>
      <c r="B53" s="49"/>
      <c r="C53" s="49"/>
      <c r="D53" s="43"/>
      <c r="E53" s="43"/>
      <c r="F53" s="43"/>
      <c r="G53" s="6"/>
      <c r="H53" s="56"/>
      <c r="I53" s="56" t="s">
        <v>109</v>
      </c>
    </row>
    <row r="54" spans="1:9" x14ac:dyDescent="0.25">
      <c r="A54" s="49"/>
      <c r="B54" s="49"/>
      <c r="C54" s="49"/>
      <c r="D54" s="43"/>
      <c r="E54" s="43"/>
      <c r="F54" s="43"/>
      <c r="G54" s="6"/>
      <c r="H54" s="56"/>
      <c r="I54" s="56"/>
    </row>
    <row r="55" spans="1:9" x14ac:dyDescent="0.25">
      <c r="A55" s="49"/>
      <c r="B55" s="50"/>
      <c r="C55" s="50"/>
      <c r="D55" s="61"/>
      <c r="E55" s="61"/>
      <c r="F55" s="61"/>
      <c r="G55" s="17"/>
      <c r="H55" s="51"/>
      <c r="I55" s="56"/>
    </row>
    <row r="56" spans="1:9" x14ac:dyDescent="0.25">
      <c r="A56" s="62"/>
      <c r="B56" s="55"/>
      <c r="C56" s="55" t="s">
        <v>110</v>
      </c>
      <c r="D56" s="4"/>
      <c r="E56" s="4"/>
      <c r="F56" s="43"/>
      <c r="G56" s="6"/>
      <c r="H56" s="56"/>
      <c r="I56" s="47"/>
    </row>
    <row r="57" spans="1:9" x14ac:dyDescent="0.25">
      <c r="A57" s="64" t="s">
        <v>111</v>
      </c>
      <c r="B57" s="232">
        <v>43186</v>
      </c>
      <c r="C57" s="49" t="s">
        <v>640</v>
      </c>
      <c r="D57" s="43"/>
      <c r="E57" s="43"/>
      <c r="F57" s="43"/>
      <c r="G57" s="26" t="s">
        <v>113</v>
      </c>
      <c r="H57" s="56">
        <v>63</v>
      </c>
      <c r="I57" s="56">
        <v>12600</v>
      </c>
    </row>
    <row r="58" spans="1:9" x14ac:dyDescent="0.25">
      <c r="A58" s="64" t="s">
        <v>114</v>
      </c>
      <c r="B58" s="232">
        <v>43404</v>
      </c>
      <c r="C58" s="49" t="s">
        <v>640</v>
      </c>
      <c r="D58" s="43"/>
      <c r="E58" s="43"/>
      <c r="F58" s="43"/>
      <c r="G58" s="26" t="s">
        <v>116</v>
      </c>
      <c r="H58" s="56">
        <v>63</v>
      </c>
      <c r="I58" s="56">
        <v>12600</v>
      </c>
    </row>
    <row r="59" spans="1:9" x14ac:dyDescent="0.25">
      <c r="A59" s="64" t="s">
        <v>170</v>
      </c>
      <c r="B59" s="232">
        <v>43463</v>
      </c>
      <c r="C59" s="49" t="s">
        <v>1074</v>
      </c>
      <c r="D59" s="43"/>
      <c r="E59" s="43"/>
      <c r="F59" s="43"/>
      <c r="G59" s="26" t="s">
        <v>205</v>
      </c>
      <c r="H59" s="56">
        <v>4</v>
      </c>
      <c r="I59" s="56">
        <v>1791</v>
      </c>
    </row>
    <row r="60" spans="1:9" x14ac:dyDescent="0.25">
      <c r="A60" s="64"/>
      <c r="B60" s="69"/>
      <c r="C60" s="49"/>
      <c r="D60" s="43"/>
      <c r="E60" s="43"/>
      <c r="F60" s="43"/>
      <c r="G60" s="26"/>
      <c r="H60" s="56"/>
      <c r="I60" s="56"/>
    </row>
    <row r="61" spans="1:9" x14ac:dyDescent="0.25">
      <c r="A61" s="66"/>
      <c r="B61" s="50"/>
      <c r="C61" s="14" t="s">
        <v>117</v>
      </c>
      <c r="D61" s="13"/>
      <c r="E61" s="13"/>
      <c r="F61" s="13"/>
      <c r="G61" s="16"/>
      <c r="H61" s="67"/>
      <c r="I61" s="67">
        <f>SUM(I56:I60)</f>
        <v>26991</v>
      </c>
    </row>
    <row r="62" spans="1:9" x14ac:dyDescent="0.25">
      <c r="A62" s="43"/>
      <c r="B62" s="43"/>
      <c r="C62" s="43"/>
      <c r="D62" s="43"/>
      <c r="E62" s="43"/>
      <c r="F62" s="43"/>
      <c r="G62" s="19"/>
      <c r="H62" s="43"/>
      <c r="I62" s="43"/>
    </row>
    <row r="63" spans="1:9" x14ac:dyDescent="0.25">
      <c r="A63" s="43"/>
      <c r="B63" s="4"/>
      <c r="C63" s="4"/>
      <c r="D63" s="43"/>
      <c r="E63" s="43"/>
      <c r="F63" s="43"/>
      <c r="G63" s="43"/>
      <c r="H63" s="43"/>
      <c r="I63" s="43"/>
    </row>
    <row r="64" spans="1:9" x14ac:dyDescent="0.25">
      <c r="A64" s="43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2" t="s">
        <v>1075</v>
      </c>
      <c r="B65" s="2"/>
      <c r="C65" s="2" t="s">
        <v>72</v>
      </c>
      <c r="D65" s="2" t="s">
        <v>1076</v>
      </c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</sheetData>
  <pageMargins left="0.7" right="0.7" top="0.75" bottom="0.75" header="0.3" footer="0.3"/>
  <pageSetup paperSize="9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3" workbookViewId="0">
      <selection activeCell="A33" sqref="A33"/>
    </sheetView>
  </sheetViews>
  <sheetFormatPr defaultRowHeight="15" x14ac:dyDescent="0.25"/>
  <cols>
    <col min="1" max="1" width="5.42578125" customWidth="1"/>
    <col min="2" max="2" width="35.140625" customWidth="1"/>
    <col min="3" max="3" width="14" customWidth="1"/>
    <col min="5" max="5" width="11.85546875" customWidth="1"/>
    <col min="6" max="6" width="10.28515625" customWidth="1"/>
    <col min="8" max="8" width="15.140625" customWidth="1"/>
    <col min="9" max="9" width="19.425781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1077</v>
      </c>
      <c r="B6" s="2"/>
      <c r="C6" s="2"/>
      <c r="D6" s="1"/>
      <c r="E6" s="2"/>
      <c r="F6" s="2"/>
      <c r="G6" s="2"/>
      <c r="H6" s="2"/>
      <c r="I6" s="2"/>
    </row>
    <row r="7" spans="1:9" x14ac:dyDescent="0.25">
      <c r="A7" s="2" t="s">
        <v>1078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1079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221</v>
      </c>
    </row>
    <row r="17" spans="1:9" x14ac:dyDescent="0.25">
      <c r="A17" s="17"/>
      <c r="B17" s="17"/>
      <c r="D17" s="17"/>
      <c r="E17" s="17"/>
      <c r="F17" s="17"/>
      <c r="G17" s="17"/>
      <c r="H17" s="17"/>
      <c r="I17" s="17"/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53">
        <v>1</v>
      </c>
      <c r="B19" s="63" t="s">
        <v>186</v>
      </c>
      <c r="C19" s="63"/>
      <c r="D19" s="63"/>
      <c r="E19" s="203" t="s">
        <v>72</v>
      </c>
      <c r="F19" s="63" t="s">
        <v>72</v>
      </c>
      <c r="G19" s="53"/>
      <c r="H19" s="63" t="s">
        <v>72</v>
      </c>
      <c r="I19" s="160" t="s">
        <v>72</v>
      </c>
    </row>
    <row r="20" spans="1:9" x14ac:dyDescent="0.25">
      <c r="A20" s="14"/>
      <c r="B20" s="11" t="s">
        <v>187</v>
      </c>
      <c r="C20" s="11">
        <v>8.07</v>
      </c>
      <c r="D20" s="16">
        <v>-45394.57</v>
      </c>
      <c r="E20" s="13">
        <v>70005.72</v>
      </c>
      <c r="F20" s="11">
        <v>70454.22</v>
      </c>
      <c r="G20" s="14">
        <f t="shared" ref="G20:G25" si="0">E20</f>
        <v>70005.72</v>
      </c>
      <c r="H20" s="16">
        <f>D20+F20-G20</f>
        <v>-44946.07</v>
      </c>
      <c r="I20" s="16">
        <f>H20</f>
        <v>-44946.07</v>
      </c>
    </row>
    <row r="21" spans="1:9" x14ac:dyDescent="0.25">
      <c r="A21" s="6" t="s">
        <v>36</v>
      </c>
      <c r="B21" s="17" t="s">
        <v>37</v>
      </c>
      <c r="C21" s="17">
        <v>3.08</v>
      </c>
      <c r="D21" s="21"/>
      <c r="E21" s="162">
        <f xml:space="preserve"> E20*38/100</f>
        <v>26602.173599999998</v>
      </c>
      <c r="F21" s="21">
        <f>F20*38/100</f>
        <v>26772.603599999999</v>
      </c>
      <c r="G21" s="50">
        <f t="shared" si="0"/>
        <v>26602.173599999998</v>
      </c>
      <c r="H21" s="21"/>
      <c r="I21" s="21"/>
    </row>
    <row r="22" spans="1:9" x14ac:dyDescent="0.25">
      <c r="A22" s="22" t="s">
        <v>38</v>
      </c>
      <c r="B22" s="5" t="s">
        <v>39</v>
      </c>
      <c r="C22" s="5">
        <v>1.51</v>
      </c>
      <c r="D22" s="26"/>
      <c r="E22" s="24">
        <f>E20*18.7/100</f>
        <v>13091.06964</v>
      </c>
      <c r="F22" s="33">
        <f>F20*18.7/100</f>
        <v>13174.939139999999</v>
      </c>
      <c r="G22" s="19">
        <f t="shared" si="0"/>
        <v>13091.06964</v>
      </c>
      <c r="H22" s="26"/>
      <c r="I22" s="26"/>
    </row>
    <row r="23" spans="1:9" x14ac:dyDescent="0.25">
      <c r="A23" s="22" t="s">
        <v>40</v>
      </c>
      <c r="B23" s="5" t="s">
        <v>41</v>
      </c>
      <c r="C23" s="5">
        <v>0.88</v>
      </c>
      <c r="D23" s="33"/>
      <c r="E23" s="24">
        <f>E20*11.1/100</f>
        <v>7770.6349199999995</v>
      </c>
      <c r="F23" s="33">
        <f>F20*11.1/100</f>
        <v>7820.4184199999991</v>
      </c>
      <c r="G23" s="25">
        <f t="shared" si="0"/>
        <v>7770.6349199999995</v>
      </c>
      <c r="H23" s="30"/>
      <c r="I23" s="33"/>
    </row>
    <row r="24" spans="1:9" x14ac:dyDescent="0.25">
      <c r="A24" s="22" t="s">
        <v>42</v>
      </c>
      <c r="B24" s="5" t="s">
        <v>43</v>
      </c>
      <c r="C24" s="5">
        <v>2.6</v>
      </c>
      <c r="D24" s="30"/>
      <c r="E24" s="24">
        <f>E20*32.2/100</f>
        <v>22541.841840000005</v>
      </c>
      <c r="F24" s="33">
        <f>F20*32.2/100</f>
        <v>22686.258840000002</v>
      </c>
      <c r="G24" s="33">
        <f t="shared" si="0"/>
        <v>22541.841840000005</v>
      </c>
      <c r="H24" s="26"/>
      <c r="I24" s="30"/>
    </row>
    <row r="25" spans="1:9" x14ac:dyDescent="0.25">
      <c r="A25" s="22" t="s">
        <v>44</v>
      </c>
      <c r="B25" s="5" t="s">
        <v>47</v>
      </c>
      <c r="C25" s="5" t="s">
        <v>48</v>
      </c>
      <c r="D25" s="5">
        <v>-3071.94</v>
      </c>
      <c r="E25" s="5">
        <v>12836.1</v>
      </c>
      <c r="F25" s="46">
        <v>12791.04</v>
      </c>
      <c r="G25" s="5">
        <f t="shared" si="0"/>
        <v>12836.1</v>
      </c>
      <c r="H25" s="8">
        <f>D25+F25-G25</f>
        <v>-3117</v>
      </c>
      <c r="I25" s="63">
        <f>H25</f>
        <v>-3117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18926.3</v>
      </c>
      <c r="E26" s="35">
        <v>39904.080000000002</v>
      </c>
      <c r="F26" s="10">
        <v>41732.230000000003</v>
      </c>
      <c r="G26" s="36">
        <f>E26</f>
        <v>39904.080000000002</v>
      </c>
      <c r="H26" s="38">
        <f>D26+F26-G26</f>
        <v>20754.449999999997</v>
      </c>
      <c r="I26" s="38"/>
    </row>
    <row r="27" spans="1:9" x14ac:dyDescent="0.25">
      <c r="A27" s="63" t="s">
        <v>51</v>
      </c>
      <c r="B27" s="63" t="s">
        <v>310</v>
      </c>
      <c r="C27" s="11">
        <v>1.48</v>
      </c>
      <c r="D27" s="16">
        <v>49221.599999999999</v>
      </c>
      <c r="E27" s="13">
        <v>12838.8</v>
      </c>
      <c r="F27" s="11">
        <f>F28+F29</f>
        <v>16581.3</v>
      </c>
      <c r="G27" s="11">
        <f>I55</f>
        <v>0</v>
      </c>
      <c r="H27" s="16">
        <f>D27+F27-G27</f>
        <v>65802.899999999994</v>
      </c>
      <c r="I27" s="16"/>
    </row>
    <row r="28" spans="1:9" x14ac:dyDescent="0.25">
      <c r="A28" s="11"/>
      <c r="B28" s="8" t="s">
        <v>53</v>
      </c>
      <c r="C28" s="13"/>
      <c r="D28" s="38"/>
      <c r="E28" s="35"/>
      <c r="F28" s="10">
        <v>15144.79</v>
      </c>
      <c r="G28" s="36"/>
      <c r="H28" s="38"/>
      <c r="I28" s="38"/>
    </row>
    <row r="29" spans="1:9" x14ac:dyDescent="0.25">
      <c r="A29" s="11"/>
      <c r="B29" s="8" t="s">
        <v>367</v>
      </c>
      <c r="C29" s="35"/>
      <c r="D29" s="41"/>
      <c r="E29" s="14"/>
      <c r="F29" s="17">
        <v>1436.51</v>
      </c>
      <c r="G29" s="55"/>
      <c r="H29" s="41"/>
      <c r="I29" s="41"/>
    </row>
    <row r="30" spans="1:9" x14ac:dyDescent="0.25">
      <c r="A30" s="10" t="s">
        <v>56</v>
      </c>
      <c r="B30" s="10" t="s">
        <v>57</v>
      </c>
      <c r="C30" s="13">
        <v>0</v>
      </c>
      <c r="D30" s="38">
        <v>987.37</v>
      </c>
      <c r="E30" s="9">
        <v>0</v>
      </c>
      <c r="F30" s="8">
        <v>-1436.51</v>
      </c>
      <c r="G30" s="29">
        <v>0</v>
      </c>
      <c r="H30" s="38">
        <v>0</v>
      </c>
      <c r="I30" s="30"/>
    </row>
    <row r="31" spans="1:9" x14ac:dyDescent="0.25">
      <c r="A31" s="8"/>
      <c r="B31" s="8" t="s">
        <v>53</v>
      </c>
      <c r="C31" s="9"/>
      <c r="D31" s="30"/>
      <c r="E31" s="54">
        <v>0</v>
      </c>
      <c r="F31" s="5">
        <v>449.14</v>
      </c>
      <c r="G31" s="7" t="s">
        <v>72</v>
      </c>
      <c r="H31" s="30"/>
      <c r="I31" s="30"/>
    </row>
    <row r="32" spans="1:9" x14ac:dyDescent="0.25">
      <c r="A32" s="8"/>
      <c r="B32" s="8" t="s">
        <v>58</v>
      </c>
      <c r="C32" s="35"/>
      <c r="D32" s="30"/>
      <c r="E32" s="9"/>
      <c r="F32" s="30">
        <f>D30+F31</f>
        <v>1436.51</v>
      </c>
      <c r="G32" s="9"/>
      <c r="H32" s="30"/>
      <c r="I32" s="30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5" t="s">
        <v>60</v>
      </c>
      <c r="B35" s="54" t="s">
        <v>61</v>
      </c>
      <c r="C35" s="5" t="s">
        <v>62</v>
      </c>
      <c r="D35" s="5" t="s">
        <v>63</v>
      </c>
      <c r="E35" s="5" t="s">
        <v>476</v>
      </c>
      <c r="F35" s="47" t="s">
        <v>62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17" t="s">
        <v>23</v>
      </c>
      <c r="E36" s="17" t="s">
        <v>312</v>
      </c>
      <c r="F36" s="56" t="s">
        <v>30</v>
      </c>
      <c r="G36" s="6"/>
      <c r="H36" s="61"/>
      <c r="I36" s="51"/>
    </row>
    <row r="37" spans="1:9" x14ac:dyDescent="0.25">
      <c r="A37" s="17"/>
      <c r="B37" s="61" t="s">
        <v>69</v>
      </c>
      <c r="C37" s="17">
        <v>8658</v>
      </c>
      <c r="D37" s="17">
        <v>3600</v>
      </c>
      <c r="E37" s="50">
        <f>D37*15/100</f>
        <v>540</v>
      </c>
      <c r="F37" s="7">
        <f>C37+D37-E37</f>
        <v>11718</v>
      </c>
      <c r="G37" s="48"/>
      <c r="H37" s="61">
        <f>F37-G37</f>
        <v>11718</v>
      </c>
      <c r="I37" s="51"/>
    </row>
    <row r="38" spans="1:9" x14ac:dyDescent="0.25">
      <c r="A38" s="1"/>
      <c r="B38" s="2"/>
      <c r="C38" s="2"/>
      <c r="E38" s="2"/>
      <c r="F38" s="2"/>
      <c r="G38" s="2"/>
      <c r="H38" s="2"/>
      <c r="I38" s="2"/>
    </row>
    <row r="39" spans="1:9" x14ac:dyDescent="0.25">
      <c r="A39" s="1"/>
      <c r="B39" s="2"/>
      <c r="C39" s="2"/>
      <c r="E39" s="2"/>
      <c r="F39" s="2"/>
      <c r="G39" s="2"/>
      <c r="H39" s="2"/>
      <c r="I39" s="2"/>
    </row>
    <row r="40" spans="1:9" x14ac:dyDescent="0.25">
      <c r="A40" s="4" t="s">
        <v>70</v>
      </c>
      <c r="B40" s="2"/>
      <c r="C40" s="2"/>
      <c r="E40" s="2"/>
      <c r="F40" s="2"/>
      <c r="G40" s="2"/>
      <c r="H40" s="2"/>
      <c r="I40" s="2"/>
    </row>
    <row r="41" spans="1:9" x14ac:dyDescent="0.25">
      <c r="A41" s="1" t="s">
        <v>71</v>
      </c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5" t="s">
        <v>72</v>
      </c>
      <c r="B42" s="53" t="s">
        <v>73</v>
      </c>
      <c r="C42" s="5" t="s">
        <v>74</v>
      </c>
      <c r="D42" s="54" t="s">
        <v>75</v>
      </c>
      <c r="E42" s="5" t="s">
        <v>76</v>
      </c>
      <c r="F42" s="54" t="s">
        <v>77</v>
      </c>
      <c r="G42" s="5" t="s">
        <v>78</v>
      </c>
      <c r="H42" s="54" t="s">
        <v>79</v>
      </c>
      <c r="I42" s="5" t="s">
        <v>19</v>
      </c>
    </row>
    <row r="43" spans="1:9" x14ac:dyDescent="0.25">
      <c r="A43" s="6"/>
      <c r="B43" s="55" t="s">
        <v>80</v>
      </c>
      <c r="C43" s="6" t="s">
        <v>81</v>
      </c>
      <c r="D43" s="43" t="s">
        <v>82</v>
      </c>
      <c r="E43" s="6" t="s">
        <v>83</v>
      </c>
      <c r="F43" s="43" t="s">
        <v>84</v>
      </c>
      <c r="G43" s="6" t="s">
        <v>85</v>
      </c>
      <c r="H43" s="43" t="s">
        <v>86</v>
      </c>
      <c r="I43" s="6" t="s">
        <v>87</v>
      </c>
    </row>
    <row r="44" spans="1:9" x14ac:dyDescent="0.25">
      <c r="A44" s="6"/>
      <c r="B44" s="49"/>
      <c r="C44" s="6"/>
      <c r="D44" s="43"/>
      <c r="E44" s="6"/>
      <c r="F44" s="43" t="s">
        <v>88</v>
      </c>
      <c r="G44" s="6" t="s">
        <v>89</v>
      </c>
      <c r="H44" s="43"/>
      <c r="I44" s="6" t="s">
        <v>30</v>
      </c>
    </row>
    <row r="45" spans="1:9" x14ac:dyDescent="0.25">
      <c r="A45" s="8">
        <v>1</v>
      </c>
      <c r="B45" s="8" t="s">
        <v>91</v>
      </c>
      <c r="C45" s="36" t="s">
        <v>92</v>
      </c>
      <c r="D45" s="5">
        <v>-89316.18</v>
      </c>
      <c r="E45" s="58">
        <v>126783.01</v>
      </c>
      <c r="F45" s="8">
        <v>142039.66</v>
      </c>
      <c r="G45" s="7">
        <f>E45</f>
        <v>126783.01</v>
      </c>
      <c r="H45" s="8">
        <f>D45+F45-G45</f>
        <v>-74059.529999999984</v>
      </c>
      <c r="I45" s="48">
        <f>H45</f>
        <v>-74059.529999999984</v>
      </c>
    </row>
    <row r="46" spans="1:9" x14ac:dyDescent="0.25">
      <c r="A46" s="8"/>
      <c r="B46" s="8" t="s">
        <v>487</v>
      </c>
      <c r="C46" s="35" t="s">
        <v>94</v>
      </c>
      <c r="D46" s="5"/>
      <c r="E46" s="59"/>
      <c r="F46" s="8"/>
      <c r="G46" s="43"/>
      <c r="H46" s="6"/>
      <c r="I46" s="56"/>
    </row>
    <row r="47" spans="1:9" x14ac:dyDescent="0.25">
      <c r="A47" s="8">
        <v>2</v>
      </c>
      <c r="B47" s="8" t="s">
        <v>99</v>
      </c>
      <c r="C47" s="35" t="s">
        <v>100</v>
      </c>
      <c r="D47" s="8">
        <v>-87847.32</v>
      </c>
      <c r="E47" s="9">
        <v>0</v>
      </c>
      <c r="F47" s="8">
        <v>8324.59</v>
      </c>
      <c r="G47" s="7">
        <f>E47</f>
        <v>0</v>
      </c>
      <c r="H47" s="8">
        <f>D47+F47-G47</f>
        <v>-79522.73000000001</v>
      </c>
      <c r="I47" s="48">
        <f>H47</f>
        <v>-79522.73000000001</v>
      </c>
    </row>
    <row r="48" spans="1:9" x14ac:dyDescent="0.25">
      <c r="A48" s="2"/>
      <c r="B48" s="2" t="s">
        <v>72</v>
      </c>
      <c r="C48" s="2"/>
      <c r="D48" s="2"/>
      <c r="E48" s="2"/>
      <c r="F48" s="2" t="s">
        <v>72</v>
      </c>
      <c r="G48" s="2"/>
      <c r="H48" s="2"/>
      <c r="I48" s="2"/>
    </row>
    <row r="49" spans="1:9" x14ac:dyDescent="0.25">
      <c r="A49" s="1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" t="s">
        <v>102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54"/>
      <c r="G51" s="5" t="s">
        <v>105</v>
      </c>
      <c r="H51" s="5" t="s">
        <v>106</v>
      </c>
      <c r="I51" s="5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43"/>
      <c r="G52" s="6"/>
      <c r="H52" s="6"/>
      <c r="I52" s="6" t="s">
        <v>109</v>
      </c>
    </row>
    <row r="53" spans="1:9" x14ac:dyDescent="0.25">
      <c r="A53" s="50"/>
      <c r="B53" s="17"/>
      <c r="C53" s="50"/>
      <c r="D53" s="61"/>
      <c r="E53" s="61"/>
      <c r="F53" s="61" t="s">
        <v>72</v>
      </c>
      <c r="G53" s="6"/>
      <c r="H53" s="6"/>
      <c r="I53" s="17"/>
    </row>
    <row r="54" spans="1:9" x14ac:dyDescent="0.25">
      <c r="A54" s="62"/>
      <c r="B54" s="53"/>
      <c r="C54" s="53" t="s">
        <v>110</v>
      </c>
      <c r="D54" s="159"/>
      <c r="E54" s="159"/>
      <c r="F54" s="54"/>
      <c r="G54" s="5"/>
      <c r="H54" s="5"/>
      <c r="I54" s="5"/>
    </row>
    <row r="55" spans="1:9" x14ac:dyDescent="0.25">
      <c r="A55" s="66"/>
      <c r="B55" s="50"/>
      <c r="C55" s="14" t="s">
        <v>117</v>
      </c>
      <c r="D55" s="13"/>
      <c r="E55" s="13"/>
      <c r="F55" s="13"/>
      <c r="G55" s="16"/>
      <c r="H55" s="11"/>
      <c r="I55" s="11">
        <v>0</v>
      </c>
    </row>
    <row r="56" spans="1:9" x14ac:dyDescent="0.25">
      <c r="A56" s="43"/>
      <c r="B56" s="43"/>
      <c r="C56" s="4"/>
      <c r="D56" s="4"/>
      <c r="E56" s="4"/>
      <c r="F56" s="4"/>
      <c r="G56" s="4"/>
      <c r="H56" s="4"/>
      <c r="I56" s="4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1080</v>
      </c>
      <c r="B58" s="2"/>
      <c r="C58" s="2" t="s">
        <v>72</v>
      </c>
      <c r="D58" s="2" t="s">
        <v>1081</v>
      </c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A48" sqref="A48"/>
    </sheetView>
  </sheetViews>
  <sheetFormatPr defaultRowHeight="15" x14ac:dyDescent="0.25"/>
  <cols>
    <col min="1" max="1" width="4.85546875" style="71" customWidth="1"/>
    <col min="2" max="2" width="34.140625" style="71" customWidth="1"/>
    <col min="3" max="3" width="12.5703125" style="71" customWidth="1"/>
    <col min="4" max="4" width="9.140625" style="71"/>
    <col min="5" max="5" width="10.85546875" style="71" customWidth="1"/>
    <col min="6" max="6" width="13" style="71" customWidth="1"/>
    <col min="7" max="7" width="9.140625" style="71"/>
    <col min="8" max="8" width="12.5703125" style="71" customWidth="1"/>
    <col min="9" max="9" width="20" style="71" customWidth="1"/>
    <col min="10" max="16384" width="9.140625" style="71"/>
  </cols>
  <sheetData>
    <row r="1" spans="1:9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72" t="s">
        <v>1</v>
      </c>
      <c r="B2" s="72"/>
      <c r="C2" s="72"/>
      <c r="D2" s="72"/>
      <c r="E2" s="72"/>
      <c r="F2" s="72"/>
      <c r="G2" s="72"/>
      <c r="H2" s="72"/>
      <c r="I2" s="167"/>
    </row>
    <row r="3" spans="1:9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 t="s">
        <v>4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2" t="s">
        <v>272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3" t="s">
        <v>273</v>
      </c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3" t="s">
        <v>274</v>
      </c>
      <c r="B8" s="73"/>
      <c r="C8" s="73"/>
      <c r="D8" s="73"/>
      <c r="E8" s="73"/>
      <c r="F8" s="73"/>
      <c r="G8" s="73"/>
      <c r="H8" s="73"/>
      <c r="I8" s="73"/>
    </row>
    <row r="9" spans="1:9" x14ac:dyDescent="0.25">
      <c r="A9" s="73" t="s">
        <v>275</v>
      </c>
      <c r="B9" s="73"/>
      <c r="C9" s="73"/>
      <c r="D9" s="73"/>
      <c r="E9" s="73"/>
      <c r="F9" s="73"/>
      <c r="G9" s="73"/>
      <c r="H9" s="73"/>
      <c r="I9" s="73"/>
    </row>
    <row r="10" spans="1:9" x14ac:dyDescent="0.25">
      <c r="A10" s="72" t="s">
        <v>9</v>
      </c>
      <c r="B10" s="73"/>
      <c r="C10" s="73"/>
      <c r="D10" s="73"/>
      <c r="E10" s="73"/>
      <c r="F10" s="73"/>
      <c r="G10" s="73"/>
      <c r="H10" s="73"/>
      <c r="I10" s="73"/>
    </row>
    <row r="11" spans="1:9" x14ac:dyDescent="0.25">
      <c r="A11" s="72" t="s">
        <v>10</v>
      </c>
      <c r="B11" s="73"/>
      <c r="C11" s="73"/>
      <c r="D11" s="73"/>
      <c r="E11" s="73"/>
      <c r="F11" s="73"/>
      <c r="G11" s="73"/>
      <c r="H11" s="73"/>
      <c r="I11" s="73"/>
    </row>
    <row r="12" spans="1:9" x14ac:dyDescent="0.25">
      <c r="A12" s="74" t="s">
        <v>11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75" t="s">
        <v>12</v>
      </c>
      <c r="B13" s="75" t="s">
        <v>13</v>
      </c>
      <c r="C13" s="75" t="s">
        <v>14</v>
      </c>
      <c r="D13" s="75" t="s">
        <v>15</v>
      </c>
      <c r="E13" s="75" t="s">
        <v>16</v>
      </c>
      <c r="F13" s="75" t="s">
        <v>17</v>
      </c>
      <c r="G13" s="75" t="s">
        <v>18</v>
      </c>
      <c r="H13" s="75" t="s">
        <v>15</v>
      </c>
      <c r="I13" s="75" t="s">
        <v>19</v>
      </c>
    </row>
    <row r="14" spans="1:9" x14ac:dyDescent="0.25">
      <c r="A14" s="76" t="s">
        <v>20</v>
      </c>
      <c r="B14" s="76"/>
      <c r="C14" s="76" t="s">
        <v>214</v>
      </c>
      <c r="D14" s="76" t="s">
        <v>22</v>
      </c>
      <c r="E14" s="76" t="s">
        <v>23</v>
      </c>
      <c r="F14" s="76" t="s">
        <v>23</v>
      </c>
      <c r="G14" s="76" t="s">
        <v>24</v>
      </c>
      <c r="H14" s="76" t="s">
        <v>25</v>
      </c>
      <c r="I14" s="76" t="s">
        <v>26</v>
      </c>
    </row>
    <row r="15" spans="1:9" x14ac:dyDescent="0.25">
      <c r="A15" s="76"/>
      <c r="B15" s="76"/>
      <c r="C15" s="76" t="s">
        <v>27</v>
      </c>
      <c r="D15" s="76" t="s">
        <v>28</v>
      </c>
      <c r="E15" s="76"/>
      <c r="F15" s="76"/>
      <c r="G15" s="76" t="s">
        <v>29</v>
      </c>
      <c r="H15" s="76" t="s">
        <v>30</v>
      </c>
      <c r="I15" s="76" t="s">
        <v>31</v>
      </c>
    </row>
    <row r="16" spans="1:9" x14ac:dyDescent="0.25">
      <c r="A16" s="76"/>
      <c r="B16" s="76"/>
      <c r="C16" s="76" t="s">
        <v>32</v>
      </c>
      <c r="D16" s="76" t="s">
        <v>33</v>
      </c>
      <c r="E16" s="76" t="s">
        <v>33</v>
      </c>
      <c r="F16" s="76" t="s">
        <v>33</v>
      </c>
      <c r="G16" s="76" t="s">
        <v>33</v>
      </c>
      <c r="H16" s="76" t="s">
        <v>33</v>
      </c>
      <c r="I16" s="76" t="s">
        <v>34</v>
      </c>
    </row>
    <row r="17" spans="1:9" x14ac:dyDescent="0.25">
      <c r="A17" s="77">
        <v>1</v>
      </c>
      <c r="B17" s="78">
        <v>2</v>
      </c>
      <c r="C17" s="97">
        <v>3</v>
      </c>
      <c r="D17" s="78">
        <v>4</v>
      </c>
      <c r="E17" s="97">
        <v>5</v>
      </c>
      <c r="F17" s="78">
        <v>6</v>
      </c>
      <c r="G17" s="97">
        <v>7</v>
      </c>
      <c r="H17" s="78">
        <v>8</v>
      </c>
      <c r="I17" s="78">
        <v>9</v>
      </c>
    </row>
    <row r="18" spans="1:9" x14ac:dyDescent="0.25">
      <c r="A18" s="81">
        <v>1</v>
      </c>
      <c r="B18" s="103" t="s">
        <v>35</v>
      </c>
      <c r="C18" s="111">
        <v>8.5500000000000007</v>
      </c>
      <c r="D18" s="99">
        <v>-3881.55</v>
      </c>
      <c r="E18" s="99">
        <v>29774.639999999999</v>
      </c>
      <c r="F18" s="99">
        <v>31415.7</v>
      </c>
      <c r="G18" s="110">
        <f>E18</f>
        <v>29774.639999999999</v>
      </c>
      <c r="H18" s="110">
        <f>D18+F18-G18</f>
        <v>-2240.489999999998</v>
      </c>
      <c r="I18" s="99">
        <f>H18</f>
        <v>-2240.489999999998</v>
      </c>
    </row>
    <row r="19" spans="1:9" x14ac:dyDescent="0.25">
      <c r="A19" s="76" t="s">
        <v>36</v>
      </c>
      <c r="B19" s="76" t="s">
        <v>217</v>
      </c>
      <c r="C19" s="89"/>
      <c r="D19" s="147"/>
      <c r="E19" s="147"/>
      <c r="F19" s="147"/>
      <c r="G19" s="89"/>
      <c r="H19" s="131"/>
      <c r="I19" s="147"/>
    </row>
    <row r="20" spans="1:9" x14ac:dyDescent="0.25">
      <c r="A20" s="85"/>
      <c r="B20" s="85" t="s">
        <v>218</v>
      </c>
      <c r="C20" s="102">
        <v>3.08</v>
      </c>
      <c r="D20" s="147"/>
      <c r="E20" s="88">
        <f>E18*36%</f>
        <v>10718.8704</v>
      </c>
      <c r="F20" s="88">
        <f>F18*36%</f>
        <v>11309.652</v>
      </c>
      <c r="G20" s="89">
        <f t="shared" ref="G20:G25" si="0">E20</f>
        <v>10718.8704</v>
      </c>
      <c r="H20" s="131"/>
      <c r="I20" s="147"/>
    </row>
    <row r="21" spans="1:9" x14ac:dyDescent="0.25">
      <c r="A21" s="91" t="s">
        <v>38</v>
      </c>
      <c r="B21" s="75" t="s">
        <v>39</v>
      </c>
      <c r="C21" s="146">
        <v>1.51</v>
      </c>
      <c r="D21" s="92"/>
      <c r="E21" s="92">
        <f>E18*17.7%</f>
        <v>5270.1112799999992</v>
      </c>
      <c r="F21" s="92">
        <f>F18*17.7%</f>
        <v>5560.5788999999995</v>
      </c>
      <c r="G21" s="93">
        <f t="shared" si="0"/>
        <v>5270.1112799999992</v>
      </c>
      <c r="H21" s="93"/>
      <c r="I21" s="92"/>
    </row>
    <row r="22" spans="1:9" x14ac:dyDescent="0.25">
      <c r="A22" s="91" t="s">
        <v>40</v>
      </c>
      <c r="B22" s="75" t="s">
        <v>41</v>
      </c>
      <c r="C22" s="146">
        <v>1.36</v>
      </c>
      <c r="D22" s="87"/>
      <c r="E22" s="87">
        <f xml:space="preserve"> E18*16%</f>
        <v>4763.9423999999999</v>
      </c>
      <c r="F22" s="87">
        <f>F18*16%</f>
        <v>5026.5120000000006</v>
      </c>
      <c r="G22" s="124">
        <f t="shared" si="0"/>
        <v>4763.9423999999999</v>
      </c>
      <c r="H22" s="95"/>
      <c r="I22" s="87"/>
    </row>
    <row r="23" spans="1:9" x14ac:dyDescent="0.25">
      <c r="A23" s="91" t="s">
        <v>42</v>
      </c>
      <c r="B23" s="75" t="s">
        <v>43</v>
      </c>
      <c r="C23" s="146">
        <v>2.6</v>
      </c>
      <c r="D23" s="92"/>
      <c r="E23" s="92">
        <f>E18*30.3%</f>
        <v>9021.7159199999987</v>
      </c>
      <c r="F23" s="92">
        <f>F18*30.3%</f>
        <v>9518.9570999999996</v>
      </c>
      <c r="G23" s="93">
        <f t="shared" si="0"/>
        <v>9021.7159199999987</v>
      </c>
      <c r="H23" s="93"/>
      <c r="I23" s="92"/>
    </row>
    <row r="24" spans="1:9" x14ac:dyDescent="0.25">
      <c r="A24" s="91" t="s">
        <v>44</v>
      </c>
      <c r="B24" s="75" t="s">
        <v>276</v>
      </c>
      <c r="C24" s="179" t="s">
        <v>48</v>
      </c>
      <c r="D24" s="92">
        <v>-1073.23</v>
      </c>
      <c r="E24" s="79">
        <v>5996.58</v>
      </c>
      <c r="F24" s="75">
        <v>6377.82</v>
      </c>
      <c r="G24" s="79">
        <f t="shared" si="0"/>
        <v>5996.58</v>
      </c>
      <c r="H24" s="92">
        <f>D24+F24-G24</f>
        <v>-691.98999999999978</v>
      </c>
      <c r="I24" s="116">
        <f>H24</f>
        <v>-691.98999999999978</v>
      </c>
    </row>
    <row r="25" spans="1:9" x14ac:dyDescent="0.25">
      <c r="A25" s="81" t="s">
        <v>49</v>
      </c>
      <c r="B25" s="81" t="s">
        <v>50</v>
      </c>
      <c r="C25" s="81">
        <v>4.5999999999999996</v>
      </c>
      <c r="D25" s="82">
        <v>-2582</v>
      </c>
      <c r="E25" s="81">
        <v>16019.04</v>
      </c>
      <c r="F25" s="81">
        <v>16910.759999999998</v>
      </c>
      <c r="G25" s="104">
        <f t="shared" si="0"/>
        <v>16019.04</v>
      </c>
      <c r="H25" s="149">
        <f>D25+F25-G25</f>
        <v>-1690.2800000000025</v>
      </c>
      <c r="I25" s="82">
        <f>H25</f>
        <v>-1690.2800000000025</v>
      </c>
    </row>
    <row r="26" spans="1:9" x14ac:dyDescent="0.25">
      <c r="A26" s="114" t="s">
        <v>51</v>
      </c>
      <c r="B26" s="107" t="s">
        <v>52</v>
      </c>
      <c r="C26" s="107">
        <v>1.65</v>
      </c>
      <c r="D26" s="108">
        <v>45061.55</v>
      </c>
      <c r="E26" s="107">
        <v>5746.08</v>
      </c>
      <c r="F26" s="107">
        <f>F27+F28+F29</f>
        <v>23380.28</v>
      </c>
      <c r="G26" s="107">
        <f>I51</f>
        <v>2600</v>
      </c>
      <c r="H26" s="108">
        <f>D26+F26-G26</f>
        <v>65841.83</v>
      </c>
      <c r="I26" s="169"/>
    </row>
    <row r="27" spans="1:9" x14ac:dyDescent="0.25">
      <c r="A27" s="81"/>
      <c r="B27" s="78" t="s">
        <v>53</v>
      </c>
      <c r="C27" s="104"/>
      <c r="D27" s="80"/>
      <c r="E27" s="81"/>
      <c r="F27" s="81">
        <v>6166.99</v>
      </c>
      <c r="G27" s="81">
        <f>I51</f>
        <v>2600</v>
      </c>
      <c r="H27" s="80"/>
      <c r="I27" s="82"/>
    </row>
    <row r="28" spans="1:9" x14ac:dyDescent="0.25">
      <c r="A28" s="107"/>
      <c r="B28" s="75" t="s">
        <v>54</v>
      </c>
      <c r="C28" s="139"/>
      <c r="D28" s="129"/>
      <c r="E28" s="114"/>
      <c r="F28" s="114">
        <v>2441.34</v>
      </c>
      <c r="G28" s="114"/>
      <c r="H28" s="129"/>
      <c r="I28" s="140"/>
    </row>
    <row r="29" spans="1:9" x14ac:dyDescent="0.25">
      <c r="A29" s="81"/>
      <c r="B29" s="78" t="s">
        <v>58</v>
      </c>
      <c r="C29" s="104"/>
      <c r="D29" s="80"/>
      <c r="E29" s="81"/>
      <c r="F29" s="81">
        <v>14771.95</v>
      </c>
      <c r="G29" s="81"/>
      <c r="H29" s="80"/>
      <c r="I29" s="82"/>
    </row>
    <row r="30" spans="1:9" x14ac:dyDescent="0.25">
      <c r="A30" s="107" t="s">
        <v>56</v>
      </c>
      <c r="B30" s="107" t="s">
        <v>144</v>
      </c>
      <c r="C30" s="74"/>
      <c r="D30" s="108" t="s">
        <v>72</v>
      </c>
      <c r="E30" s="107"/>
      <c r="F30" s="107"/>
      <c r="G30" s="107"/>
      <c r="H30" s="108" t="s">
        <v>72</v>
      </c>
      <c r="I30" s="169"/>
    </row>
    <row r="31" spans="1:9" x14ac:dyDescent="0.25">
      <c r="A31" s="81"/>
      <c r="B31" s="81" t="s">
        <v>277</v>
      </c>
      <c r="C31" s="104">
        <v>0</v>
      </c>
      <c r="D31" s="80">
        <v>14771.95</v>
      </c>
      <c r="E31" s="81">
        <v>0</v>
      </c>
      <c r="F31" s="81">
        <v>-14771.95</v>
      </c>
      <c r="G31" s="81">
        <v>0</v>
      </c>
      <c r="H31" s="80">
        <f>D31+F31-G31</f>
        <v>0</v>
      </c>
      <c r="I31" s="82"/>
    </row>
    <row r="32" spans="1:9" x14ac:dyDescent="0.25">
      <c r="A32" s="78"/>
      <c r="B32" s="78" t="s">
        <v>58</v>
      </c>
      <c r="C32" s="97"/>
      <c r="D32" s="77"/>
      <c r="E32" s="78">
        <v>0</v>
      </c>
      <c r="F32" s="78">
        <v>14771.95</v>
      </c>
      <c r="G32" s="97">
        <v>0</v>
      </c>
      <c r="H32" s="77"/>
      <c r="I32" s="88"/>
    </row>
    <row r="33" spans="1:9" x14ac:dyDescent="0.25">
      <c r="A33" s="72" t="s">
        <v>59</v>
      </c>
      <c r="B33" s="73"/>
      <c r="C33" s="73"/>
      <c r="E33" s="73"/>
      <c r="F33" s="73"/>
      <c r="G33" s="73"/>
      <c r="H33" s="73"/>
      <c r="I33" s="73"/>
    </row>
    <row r="34" spans="1:9" x14ac:dyDescent="0.25">
      <c r="A34" s="74" t="s">
        <v>70</v>
      </c>
    </row>
    <row r="35" spans="1:9" x14ac:dyDescent="0.25">
      <c r="A35" s="72" t="s">
        <v>71</v>
      </c>
      <c r="B35" s="74"/>
      <c r="C35" s="74"/>
      <c r="D35" s="152"/>
      <c r="E35" s="74"/>
      <c r="F35" s="74"/>
      <c r="G35" s="74"/>
      <c r="H35" s="74"/>
      <c r="I35" s="74"/>
    </row>
    <row r="36" spans="1:9" x14ac:dyDescent="0.25">
      <c r="A36" s="75" t="s">
        <v>72</v>
      </c>
      <c r="B36" s="139" t="s">
        <v>73</v>
      </c>
      <c r="C36" s="75" t="s">
        <v>74</v>
      </c>
      <c r="D36" s="79" t="s">
        <v>75</v>
      </c>
      <c r="E36" s="75" t="s">
        <v>76</v>
      </c>
      <c r="F36" s="79" t="s">
        <v>77</v>
      </c>
      <c r="G36" s="115" t="s">
        <v>78</v>
      </c>
      <c r="H36" s="92" t="s">
        <v>15</v>
      </c>
      <c r="I36" s="116" t="s">
        <v>19</v>
      </c>
    </row>
    <row r="37" spans="1:9" x14ac:dyDescent="0.25">
      <c r="A37" s="76"/>
      <c r="B37" s="74" t="s">
        <v>80</v>
      </c>
      <c r="C37" s="76" t="s">
        <v>81</v>
      </c>
      <c r="D37" s="117" t="s">
        <v>82</v>
      </c>
      <c r="E37" s="76" t="s">
        <v>83</v>
      </c>
      <c r="F37" s="117" t="s">
        <v>84</v>
      </c>
      <c r="G37" s="118" t="s">
        <v>85</v>
      </c>
      <c r="H37" s="147" t="s">
        <v>25</v>
      </c>
      <c r="I37" s="119" t="s">
        <v>87</v>
      </c>
    </row>
    <row r="38" spans="1:9" x14ac:dyDescent="0.25">
      <c r="A38" s="76"/>
      <c r="B38" s="117"/>
      <c r="C38" s="76"/>
      <c r="D38" s="117"/>
      <c r="E38" s="76"/>
      <c r="F38" s="117" t="s">
        <v>88</v>
      </c>
      <c r="G38" s="118" t="s">
        <v>89</v>
      </c>
      <c r="H38" s="147" t="s">
        <v>30</v>
      </c>
      <c r="I38" s="119" t="s">
        <v>30</v>
      </c>
    </row>
    <row r="39" spans="1:9" x14ac:dyDescent="0.25">
      <c r="A39" s="85"/>
      <c r="B39" s="86"/>
      <c r="C39" s="85"/>
      <c r="D39" s="86"/>
      <c r="E39" s="85"/>
      <c r="F39" s="86"/>
      <c r="G39" s="120"/>
      <c r="H39" s="88"/>
      <c r="I39" s="122" t="s">
        <v>278</v>
      </c>
    </row>
    <row r="40" spans="1:9" x14ac:dyDescent="0.25">
      <c r="A40" s="85"/>
      <c r="B40" s="85"/>
      <c r="C40" s="101"/>
      <c r="D40" s="85"/>
      <c r="E40" s="86"/>
      <c r="F40" s="85"/>
      <c r="G40" s="86"/>
      <c r="H40" s="85"/>
      <c r="I40" s="122"/>
    </row>
    <row r="41" spans="1:9" x14ac:dyDescent="0.25">
      <c r="A41" s="78">
        <v>1</v>
      </c>
      <c r="B41" s="78" t="s">
        <v>91</v>
      </c>
      <c r="C41" s="104" t="s">
        <v>92</v>
      </c>
      <c r="D41" s="78">
        <v>-4499.96</v>
      </c>
      <c r="E41" s="155">
        <v>33369.1</v>
      </c>
      <c r="F41" s="78">
        <v>35292.49</v>
      </c>
      <c r="G41" s="155">
        <f>E41</f>
        <v>33369.1</v>
      </c>
      <c r="H41" s="78">
        <f>D41+F41-G41</f>
        <v>-2576.5699999999997</v>
      </c>
      <c r="I41" s="78">
        <f>H41</f>
        <v>-2576.5699999999997</v>
      </c>
    </row>
    <row r="42" spans="1:9" x14ac:dyDescent="0.25">
      <c r="A42" s="77"/>
      <c r="B42" s="78" t="s">
        <v>279</v>
      </c>
      <c r="C42" s="81" t="s">
        <v>94</v>
      </c>
      <c r="D42" s="77"/>
      <c r="E42" s="77"/>
      <c r="F42" s="78"/>
      <c r="G42" s="123"/>
      <c r="H42" s="123"/>
      <c r="I42" s="123"/>
    </row>
    <row r="43" spans="1:9" x14ac:dyDescent="0.25">
      <c r="A43" s="73"/>
      <c r="B43" s="73" t="s">
        <v>72</v>
      </c>
      <c r="C43" s="73"/>
      <c r="D43" s="73"/>
      <c r="E43" s="73"/>
      <c r="F43" s="73" t="s">
        <v>72</v>
      </c>
      <c r="G43" s="73"/>
      <c r="H43" s="73"/>
      <c r="I43" s="73"/>
    </row>
    <row r="44" spans="1:9" x14ac:dyDescent="0.25">
      <c r="A44" s="72" t="s">
        <v>222</v>
      </c>
      <c r="B44" s="73"/>
      <c r="C44" s="73"/>
      <c r="D44" s="73"/>
      <c r="E44" s="73"/>
      <c r="F44" s="73"/>
      <c r="G44" s="73"/>
      <c r="H44" s="73"/>
      <c r="I44" s="73"/>
    </row>
    <row r="45" spans="1:9" x14ac:dyDescent="0.25">
      <c r="A45" s="74" t="s">
        <v>223</v>
      </c>
      <c r="B45" s="73"/>
      <c r="C45" s="73"/>
      <c r="D45" s="73"/>
      <c r="E45" s="73"/>
      <c r="F45" s="73"/>
      <c r="G45" s="73"/>
      <c r="H45" s="73"/>
      <c r="I45" s="73"/>
    </row>
    <row r="46" spans="1:9" x14ac:dyDescent="0.25">
      <c r="A46" s="115" t="s">
        <v>12</v>
      </c>
      <c r="B46" s="75" t="s">
        <v>103</v>
      </c>
      <c r="C46" s="115" t="s">
        <v>104</v>
      </c>
      <c r="D46" s="79"/>
      <c r="E46" s="79"/>
      <c r="F46" s="79"/>
      <c r="G46" s="75" t="s">
        <v>105</v>
      </c>
      <c r="H46" s="116" t="s">
        <v>106</v>
      </c>
      <c r="I46" s="75" t="s">
        <v>107</v>
      </c>
    </row>
    <row r="47" spans="1:9" x14ac:dyDescent="0.25">
      <c r="A47" s="118" t="s">
        <v>108</v>
      </c>
      <c r="B47" s="76"/>
      <c r="C47" s="118"/>
      <c r="D47" s="117"/>
      <c r="E47" s="117"/>
      <c r="F47" s="117"/>
      <c r="G47" s="76"/>
      <c r="H47" s="119"/>
      <c r="I47" s="76" t="s">
        <v>109</v>
      </c>
    </row>
    <row r="48" spans="1:9" x14ac:dyDescent="0.25">
      <c r="A48" s="118"/>
      <c r="B48" s="85"/>
      <c r="C48" s="120"/>
      <c r="D48" s="86"/>
      <c r="E48" s="86"/>
      <c r="F48" s="86"/>
      <c r="G48" s="85"/>
      <c r="H48" s="119"/>
      <c r="I48" s="76"/>
    </row>
    <row r="49" spans="1:9" x14ac:dyDescent="0.25">
      <c r="A49" s="128"/>
      <c r="B49" s="114"/>
      <c r="C49" s="129" t="s">
        <v>110</v>
      </c>
      <c r="D49" s="139"/>
      <c r="E49" s="139"/>
      <c r="F49" s="79"/>
      <c r="G49" s="75"/>
      <c r="H49" s="116"/>
      <c r="I49" s="75"/>
    </row>
    <row r="50" spans="1:9" x14ac:dyDescent="0.25">
      <c r="A50" s="130" t="s">
        <v>111</v>
      </c>
      <c r="B50" s="156">
        <v>43384</v>
      </c>
      <c r="C50" s="118" t="s">
        <v>254</v>
      </c>
      <c r="D50" s="117"/>
      <c r="E50" s="117"/>
      <c r="F50" s="117"/>
      <c r="G50" s="147" t="s">
        <v>255</v>
      </c>
      <c r="H50" s="119">
        <v>2</v>
      </c>
      <c r="I50" s="76">
        <v>2600</v>
      </c>
    </row>
    <row r="51" spans="1:9" x14ac:dyDescent="0.25">
      <c r="A51" s="84"/>
      <c r="B51" s="85"/>
      <c r="C51" s="105" t="s">
        <v>117</v>
      </c>
      <c r="D51" s="101"/>
      <c r="E51" s="101"/>
      <c r="F51" s="101"/>
      <c r="G51" s="99"/>
      <c r="H51" s="134"/>
      <c r="I51" s="103">
        <f>SUM(I49:I50)</f>
        <v>2600</v>
      </c>
    </row>
    <row r="52" spans="1:9" x14ac:dyDescent="0.25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 x14ac:dyDescent="0.25">
      <c r="A53" s="117"/>
      <c r="B53" s="74"/>
      <c r="C53" s="74"/>
      <c r="D53" s="117"/>
      <c r="E53" s="117"/>
      <c r="F53" s="117"/>
      <c r="G53" s="117"/>
      <c r="H53" s="117"/>
      <c r="I53" s="117"/>
    </row>
    <row r="54" spans="1:9" x14ac:dyDescent="0.25">
      <c r="A54" s="135"/>
      <c r="B54" s="117"/>
      <c r="C54" s="74"/>
      <c r="D54" s="74"/>
      <c r="E54" s="74"/>
      <c r="F54" s="74"/>
      <c r="G54" s="74"/>
      <c r="H54" s="74"/>
      <c r="I54" s="74"/>
    </row>
    <row r="55" spans="1:9" x14ac:dyDescent="0.25">
      <c r="A55" s="135"/>
      <c r="B55" s="117"/>
      <c r="C55" s="117"/>
      <c r="D55" s="117"/>
      <c r="E55" s="117"/>
      <c r="F55" s="117"/>
      <c r="G55" s="117"/>
      <c r="H55" s="117"/>
      <c r="I55" s="117"/>
    </row>
    <row r="56" spans="1:9" x14ac:dyDescent="0.25">
      <c r="A56" s="73" t="s">
        <v>280</v>
      </c>
      <c r="B56" s="73"/>
      <c r="C56" s="73" t="s">
        <v>72</v>
      </c>
      <c r="D56" s="73" t="s">
        <v>119</v>
      </c>
      <c r="E56" s="73"/>
      <c r="F56" s="73" t="s">
        <v>120</v>
      </c>
      <c r="G56" s="73"/>
      <c r="H56" s="73" t="s">
        <v>121</v>
      </c>
      <c r="I56" s="73" t="s">
        <v>281</v>
      </c>
    </row>
  </sheetData>
  <pageMargins left="0.7" right="0.7" top="0.75" bottom="0.75" header="0.3" footer="0.3"/>
  <pageSetup paperSize="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workbookViewId="0">
      <selection activeCell="A34" sqref="A34"/>
    </sheetView>
  </sheetViews>
  <sheetFormatPr defaultRowHeight="15" x14ac:dyDescent="0.25"/>
  <cols>
    <col min="1" max="1" width="5.85546875" customWidth="1"/>
    <col min="2" max="2" width="37.140625" customWidth="1"/>
    <col min="3" max="3" width="12.28515625" customWidth="1"/>
    <col min="4" max="4" width="12.85546875" customWidth="1"/>
    <col min="5" max="5" width="12.7109375" customWidth="1"/>
    <col min="6" max="6" width="11.5703125" customWidth="1"/>
    <col min="8" max="8" width="11.7109375" customWidth="1"/>
    <col min="9" max="9" width="17.71093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1"/>
      <c r="C5" s="2"/>
      <c r="D5" s="2"/>
      <c r="E5" s="2"/>
      <c r="F5" s="2"/>
      <c r="G5" s="2"/>
      <c r="H5" s="2"/>
      <c r="I5" s="2"/>
    </row>
    <row r="6" spans="1:9" x14ac:dyDescent="0.25">
      <c r="A6" s="1" t="s">
        <v>1082</v>
      </c>
      <c r="B6" s="2"/>
      <c r="C6" s="2"/>
      <c r="D6" s="1"/>
      <c r="E6" s="2"/>
      <c r="F6" s="2"/>
      <c r="G6" s="2"/>
      <c r="H6" s="2"/>
      <c r="I6" s="2"/>
    </row>
    <row r="7" spans="1:9" x14ac:dyDescent="0.25">
      <c r="A7" s="2" t="s">
        <v>1083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1084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517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518</v>
      </c>
    </row>
    <row r="17" spans="1:9" x14ac:dyDescent="0.25">
      <c r="A17" s="6"/>
      <c r="B17" s="6"/>
      <c r="C17" s="6" t="s">
        <v>271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1086</v>
      </c>
    </row>
    <row r="18" spans="1:9" x14ac:dyDescent="0.25">
      <c r="A18" s="6"/>
      <c r="B18" s="6"/>
      <c r="C18" s="17" t="s">
        <v>1087</v>
      </c>
      <c r="D18" s="6"/>
      <c r="E18" s="6"/>
      <c r="F18" s="6"/>
      <c r="G18" s="6"/>
      <c r="H18" s="6"/>
      <c r="I18" s="6" t="s">
        <v>1088</v>
      </c>
    </row>
    <row r="19" spans="1:9" x14ac:dyDescent="0.25">
      <c r="A19" s="7">
        <v>1</v>
      </c>
      <c r="B19" s="8">
        <v>2</v>
      </c>
      <c r="C19" s="9">
        <v>3</v>
      </c>
      <c r="D19" s="8">
        <v>4</v>
      </c>
      <c r="E19" s="9">
        <v>5</v>
      </c>
      <c r="F19" s="8">
        <v>6</v>
      </c>
      <c r="G19" s="7">
        <v>7</v>
      </c>
      <c r="H19" s="8">
        <v>8</v>
      </c>
      <c r="I19" s="8">
        <v>9</v>
      </c>
    </row>
    <row r="20" spans="1:9" x14ac:dyDescent="0.25">
      <c r="A20" s="10">
        <v>1</v>
      </c>
      <c r="B20" s="11" t="s">
        <v>1089</v>
      </c>
      <c r="C20" s="13">
        <v>8.5500000000000007</v>
      </c>
      <c r="D20" s="16">
        <v>-20763.599999999999</v>
      </c>
      <c r="E20" s="13">
        <v>69594.12</v>
      </c>
      <c r="F20" s="14">
        <v>66471.27</v>
      </c>
      <c r="G20" s="11">
        <f t="shared" ref="G20:G26" si="0">E20</f>
        <v>69594.12</v>
      </c>
      <c r="H20" s="327">
        <f>D20+F20-G20</f>
        <v>-23886.44999999999</v>
      </c>
      <c r="I20" s="16">
        <f>H20</f>
        <v>-23886.44999999999</v>
      </c>
    </row>
    <row r="21" spans="1:9" x14ac:dyDescent="0.25">
      <c r="A21" s="6" t="s">
        <v>36</v>
      </c>
      <c r="B21" s="17" t="s">
        <v>37</v>
      </c>
      <c r="C21" s="61">
        <v>3.08</v>
      </c>
      <c r="D21" s="21"/>
      <c r="E21" s="162">
        <f>E20*36/100</f>
        <v>25053.883199999997</v>
      </c>
      <c r="F21" s="21">
        <f>F20*36/100</f>
        <v>23929.657200000001</v>
      </c>
      <c r="G21" s="20">
        <f t="shared" si="0"/>
        <v>25053.883199999997</v>
      </c>
      <c r="H21" s="21"/>
      <c r="I21" s="21"/>
    </row>
    <row r="22" spans="1:9" x14ac:dyDescent="0.25">
      <c r="A22" s="22" t="s">
        <v>38</v>
      </c>
      <c r="B22" s="5" t="s">
        <v>1090</v>
      </c>
      <c r="C22" s="54">
        <v>1.51</v>
      </c>
      <c r="D22" s="26"/>
      <c r="E22" s="24">
        <f>E20*17.7/100</f>
        <v>12318.159239999999</v>
      </c>
      <c r="F22" s="33">
        <f>F20*17.7/100</f>
        <v>11765.414790000001</v>
      </c>
      <c r="G22" s="19">
        <f t="shared" si="0"/>
        <v>12318.159239999999</v>
      </c>
      <c r="H22" s="26"/>
      <c r="I22" s="26"/>
    </row>
    <row r="23" spans="1:9" x14ac:dyDescent="0.25">
      <c r="A23" s="22" t="s">
        <v>40</v>
      </c>
      <c r="B23" s="5" t="s">
        <v>41</v>
      </c>
      <c r="C23" s="54">
        <v>1.36</v>
      </c>
      <c r="D23" s="33"/>
      <c r="E23" s="24">
        <f>E20*16/100</f>
        <v>11135.0592</v>
      </c>
      <c r="F23" s="33">
        <f>F20*16/100</f>
        <v>10635.403200000001</v>
      </c>
      <c r="G23" s="25">
        <f t="shared" si="0"/>
        <v>11135.0592</v>
      </c>
      <c r="H23" s="33"/>
      <c r="I23" s="33"/>
    </row>
    <row r="24" spans="1:9" x14ac:dyDescent="0.25">
      <c r="A24" s="22" t="s">
        <v>42</v>
      </c>
      <c r="B24" s="5" t="s">
        <v>43</v>
      </c>
      <c r="C24" s="54">
        <v>2.6</v>
      </c>
      <c r="D24" s="30"/>
      <c r="E24" s="24">
        <f>E20*30.3/100</f>
        <v>21087.018360000002</v>
      </c>
      <c r="F24" s="33">
        <f>F20*30.3/100</f>
        <v>20140.794810000003</v>
      </c>
      <c r="G24" s="29">
        <f t="shared" si="0"/>
        <v>21087.018360000002</v>
      </c>
      <c r="H24" s="30"/>
      <c r="I24" s="30"/>
    </row>
    <row r="25" spans="1:9" x14ac:dyDescent="0.25">
      <c r="A25" s="22" t="s">
        <v>44</v>
      </c>
      <c r="B25" s="5" t="s">
        <v>47</v>
      </c>
      <c r="C25" s="54" t="s">
        <v>48</v>
      </c>
      <c r="D25" s="5">
        <v>-1491.54</v>
      </c>
      <c r="E25" s="5">
        <v>12188.4</v>
      </c>
      <c r="F25" s="5">
        <v>11697.35</v>
      </c>
      <c r="G25" s="54">
        <f>E25</f>
        <v>12188.4</v>
      </c>
      <c r="H25" s="46">
        <f>D25+F25-G25</f>
        <v>-1982.5899999999983</v>
      </c>
      <c r="I25" s="63">
        <f>H25</f>
        <v>-1982.5899999999983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38">
        <v>-3074.21</v>
      </c>
      <c r="E26" s="35">
        <v>37442.160000000003</v>
      </c>
      <c r="F26" s="10">
        <v>36100.29</v>
      </c>
      <c r="G26" s="36">
        <f t="shared" si="0"/>
        <v>37442.160000000003</v>
      </c>
      <c r="H26" s="38">
        <f>D26+F26-G26</f>
        <v>-4416.0800000000017</v>
      </c>
      <c r="I26" s="38">
        <f>H26</f>
        <v>-4416.0800000000017</v>
      </c>
    </row>
    <row r="27" spans="1:9" x14ac:dyDescent="0.25">
      <c r="A27" s="63" t="s">
        <v>51</v>
      </c>
      <c r="B27" s="11" t="s">
        <v>52</v>
      </c>
      <c r="C27" s="13">
        <v>1.65</v>
      </c>
      <c r="D27" s="16">
        <v>-17528.36</v>
      </c>
      <c r="E27" s="13">
        <v>13430.88</v>
      </c>
      <c r="F27" s="16">
        <f>F28+F29+F30</f>
        <v>11496.720000000001</v>
      </c>
      <c r="G27" s="11">
        <f>I57</f>
        <v>10400</v>
      </c>
      <c r="H27" s="16">
        <f>D27+F27-G27</f>
        <v>-16431.64</v>
      </c>
      <c r="I27" s="16">
        <f>H27</f>
        <v>-16431.64</v>
      </c>
    </row>
    <row r="28" spans="1:9" x14ac:dyDescent="0.25">
      <c r="A28" s="11"/>
      <c r="B28" s="8" t="s">
        <v>53</v>
      </c>
      <c r="C28" s="13"/>
      <c r="D28" s="38"/>
      <c r="E28" s="35">
        <v>0</v>
      </c>
      <c r="F28" s="10">
        <v>12977.77</v>
      </c>
      <c r="G28" s="35">
        <f>I57</f>
        <v>10400</v>
      </c>
      <c r="H28" s="10"/>
      <c r="I28" s="38"/>
    </row>
    <row r="29" spans="1:9" x14ac:dyDescent="0.25">
      <c r="A29" s="11"/>
      <c r="B29" s="8" t="s">
        <v>54</v>
      </c>
      <c r="C29" s="13"/>
      <c r="D29" s="38"/>
      <c r="E29" s="35"/>
      <c r="F29" s="10">
        <v>829.01</v>
      </c>
      <c r="G29" s="35"/>
      <c r="H29" s="10"/>
      <c r="I29" s="38"/>
    </row>
    <row r="30" spans="1:9" x14ac:dyDescent="0.25">
      <c r="A30" s="11"/>
      <c r="B30" s="8" t="s">
        <v>1091</v>
      </c>
      <c r="C30" s="13"/>
      <c r="D30" s="16"/>
      <c r="E30" s="13"/>
      <c r="F30" s="11">
        <v>-2310.06</v>
      </c>
      <c r="G30" s="13"/>
      <c r="H30" s="11"/>
      <c r="I30" s="16"/>
    </row>
    <row r="31" spans="1:9" x14ac:dyDescent="0.25">
      <c r="A31" s="10" t="s">
        <v>56</v>
      </c>
      <c r="B31" s="10" t="s">
        <v>57</v>
      </c>
      <c r="C31" s="13">
        <v>0</v>
      </c>
      <c r="D31" s="10">
        <v>-2310.06</v>
      </c>
      <c r="E31" s="35">
        <v>0</v>
      </c>
      <c r="F31" s="10">
        <v>2310.06</v>
      </c>
      <c r="G31" s="36">
        <f>G32</f>
        <v>0</v>
      </c>
      <c r="H31" s="10">
        <v>0</v>
      </c>
      <c r="I31" s="38"/>
    </row>
    <row r="32" spans="1:9" x14ac:dyDescent="0.25">
      <c r="A32" s="5"/>
      <c r="B32" s="5" t="s">
        <v>53</v>
      </c>
      <c r="C32" s="54"/>
      <c r="D32" s="5"/>
      <c r="E32" s="54">
        <v>0</v>
      </c>
      <c r="F32" s="5">
        <v>0</v>
      </c>
      <c r="G32" s="54">
        <v>0</v>
      </c>
      <c r="H32" s="5"/>
      <c r="I32" s="33"/>
    </row>
    <row r="33" spans="1:9" x14ac:dyDescent="0.25">
      <c r="A33" s="36"/>
      <c r="B33" s="7" t="s">
        <v>1092</v>
      </c>
      <c r="C33" s="7"/>
      <c r="D33" s="229"/>
      <c r="E33" s="8"/>
      <c r="F33" s="48">
        <v>2310.66</v>
      </c>
      <c r="G33" s="48"/>
      <c r="H33" s="48"/>
      <c r="I33" s="48"/>
    </row>
    <row r="34" spans="1:9" x14ac:dyDescent="0.25">
      <c r="A34" s="4"/>
      <c r="B34" s="43"/>
      <c r="C34" s="43"/>
      <c r="D34" s="166"/>
      <c r="E34" s="43"/>
      <c r="F34" s="43"/>
      <c r="G34" s="43"/>
      <c r="H34" s="43"/>
      <c r="I34" s="43"/>
    </row>
    <row r="35" spans="1:9" x14ac:dyDescent="0.25">
      <c r="A35" s="5" t="s">
        <v>60</v>
      </c>
      <c r="B35" s="54" t="s">
        <v>61</v>
      </c>
      <c r="C35" s="5" t="s">
        <v>65</v>
      </c>
      <c r="D35" s="5" t="s">
        <v>63</v>
      </c>
      <c r="E35" s="5" t="s">
        <v>476</v>
      </c>
      <c r="F35" s="47" t="s">
        <v>65</v>
      </c>
      <c r="G35" s="5"/>
      <c r="H35" s="54" t="s">
        <v>195</v>
      </c>
      <c r="I35" s="47"/>
    </row>
    <row r="36" spans="1:9" x14ac:dyDescent="0.25">
      <c r="A36" s="17"/>
      <c r="B36" s="61"/>
      <c r="C36" s="17" t="s">
        <v>67</v>
      </c>
      <c r="D36" s="17" t="s">
        <v>23</v>
      </c>
      <c r="E36" s="17" t="s">
        <v>312</v>
      </c>
      <c r="F36" s="51" t="s">
        <v>30</v>
      </c>
      <c r="G36" s="17"/>
      <c r="H36" s="61"/>
      <c r="I36" s="51"/>
    </row>
    <row r="37" spans="1:9" x14ac:dyDescent="0.25">
      <c r="A37" s="17"/>
      <c r="B37" s="61" t="s">
        <v>69</v>
      </c>
      <c r="C37" s="17">
        <v>5598</v>
      </c>
      <c r="D37" s="17">
        <v>3600</v>
      </c>
      <c r="E37" s="17">
        <f>D37*15/100</f>
        <v>540</v>
      </c>
      <c r="F37" s="51">
        <f>D37-E37+C37</f>
        <v>8658</v>
      </c>
      <c r="G37" s="17"/>
      <c r="H37" s="61">
        <f>F37-G37</f>
        <v>8658</v>
      </c>
      <c r="I37" s="51"/>
    </row>
    <row r="38" spans="1:9" x14ac:dyDescent="0.25">
      <c r="A38" s="2"/>
      <c r="B38" s="2"/>
      <c r="C38" s="2"/>
      <c r="E38" s="2"/>
      <c r="F38" s="2"/>
      <c r="G38" s="2"/>
      <c r="H38" s="2"/>
      <c r="I38" s="2"/>
    </row>
    <row r="39" spans="1:9" x14ac:dyDescent="0.25">
      <c r="A39" s="4" t="s">
        <v>70</v>
      </c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1" t="s">
        <v>71</v>
      </c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5" t="s">
        <v>72</v>
      </c>
      <c r="B41" s="53" t="s">
        <v>73</v>
      </c>
      <c r="C41" s="5" t="s">
        <v>74</v>
      </c>
      <c r="D41" s="46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853</v>
      </c>
    </row>
    <row r="42" spans="1:9" x14ac:dyDescent="0.25">
      <c r="A42" s="6"/>
      <c r="B42" s="55" t="s">
        <v>80</v>
      </c>
      <c r="C42" s="6" t="s">
        <v>81</v>
      </c>
      <c r="D42" s="49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50"/>
      <c r="E43" s="17"/>
      <c r="F43" s="61" t="s">
        <v>88</v>
      </c>
      <c r="G43" s="17" t="s">
        <v>89</v>
      </c>
      <c r="H43" s="61"/>
      <c r="I43" s="17" t="s">
        <v>221</v>
      </c>
    </row>
    <row r="44" spans="1:9" x14ac:dyDescent="0.25">
      <c r="A44" s="8">
        <v>1</v>
      </c>
      <c r="B44" s="8" t="s">
        <v>91</v>
      </c>
      <c r="C44" s="35" t="s">
        <v>92</v>
      </c>
      <c r="D44" s="6">
        <v>-25603.360000000001</v>
      </c>
      <c r="E44" s="217">
        <v>124768</v>
      </c>
      <c r="F44" s="6">
        <v>121124.82</v>
      </c>
      <c r="G44" s="217">
        <f>E44</f>
        <v>124768</v>
      </c>
      <c r="H44" s="6">
        <f>D44+F44-G44</f>
        <v>-29246.539999999994</v>
      </c>
      <c r="I44" s="6">
        <f>H44</f>
        <v>-29246.539999999994</v>
      </c>
    </row>
    <row r="45" spans="1:9" x14ac:dyDescent="0.25">
      <c r="A45" s="8"/>
      <c r="B45" s="8" t="s">
        <v>93</v>
      </c>
      <c r="C45" s="35" t="s">
        <v>94</v>
      </c>
      <c r="D45" s="8"/>
      <c r="E45" s="59"/>
      <c r="F45" s="8"/>
      <c r="G45" s="59"/>
      <c r="H45" s="8"/>
      <c r="I45" s="8"/>
    </row>
    <row r="46" spans="1:9" x14ac:dyDescent="0.25">
      <c r="A46" s="8">
        <v>2</v>
      </c>
      <c r="B46" s="8" t="s">
        <v>99</v>
      </c>
      <c r="C46" s="35" t="s">
        <v>100</v>
      </c>
      <c r="D46" s="8">
        <v>-53555.13</v>
      </c>
      <c r="E46" s="9">
        <v>245193.86</v>
      </c>
      <c r="F46" s="8">
        <v>237234.38</v>
      </c>
      <c r="G46" s="9">
        <f>E46</f>
        <v>245193.86</v>
      </c>
      <c r="H46" s="8">
        <f>D46+F46-G46</f>
        <v>-61514.609999999986</v>
      </c>
      <c r="I46" s="8">
        <f>H46</f>
        <v>-61514.609999999986</v>
      </c>
    </row>
    <row r="47" spans="1:9" x14ac:dyDescent="0.25">
      <c r="A47" s="2"/>
      <c r="B47" s="2" t="s">
        <v>72</v>
      </c>
      <c r="C47" s="2"/>
      <c r="D47" s="2"/>
      <c r="E47" s="2"/>
      <c r="F47" s="2" t="s">
        <v>72</v>
      </c>
      <c r="G47" s="2"/>
      <c r="H47" s="2"/>
      <c r="I47" s="2"/>
    </row>
    <row r="48" spans="1:9" x14ac:dyDescent="0.25">
      <c r="A48" s="1" t="s">
        <v>703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752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6" t="s">
        <v>12</v>
      </c>
      <c r="B50" s="5" t="s">
        <v>103</v>
      </c>
      <c r="C50" s="46" t="s">
        <v>104</v>
      </c>
      <c r="D50" s="54"/>
      <c r="E50" s="54"/>
      <c r="F50" s="54"/>
      <c r="G50" s="5" t="s">
        <v>105</v>
      </c>
      <c r="H50" s="47" t="s">
        <v>165</v>
      </c>
      <c r="I50" s="5" t="s">
        <v>107</v>
      </c>
    </row>
    <row r="51" spans="1:9" x14ac:dyDescent="0.25">
      <c r="A51" s="49" t="s">
        <v>108</v>
      </c>
      <c r="B51" s="6"/>
      <c r="C51" s="49"/>
      <c r="D51" s="43"/>
      <c r="E51" s="43"/>
      <c r="F51" s="43"/>
      <c r="G51" s="6"/>
      <c r="H51" s="56" t="s">
        <v>85</v>
      </c>
      <c r="I51" s="6" t="s">
        <v>109</v>
      </c>
    </row>
    <row r="52" spans="1:9" x14ac:dyDescent="0.25">
      <c r="A52" s="49"/>
      <c r="B52" s="6"/>
      <c r="C52" s="49"/>
      <c r="D52" s="43"/>
      <c r="E52" s="43"/>
      <c r="F52" s="43"/>
      <c r="G52" s="6"/>
      <c r="H52" s="56"/>
      <c r="I52" s="6"/>
    </row>
    <row r="53" spans="1:9" x14ac:dyDescent="0.25">
      <c r="A53" s="49"/>
      <c r="B53" s="17"/>
      <c r="C53" s="50"/>
      <c r="D53" s="61"/>
      <c r="E53" s="61"/>
      <c r="F53" s="61"/>
      <c r="G53" s="6"/>
      <c r="H53" s="56"/>
      <c r="I53" s="6"/>
    </row>
    <row r="54" spans="1:9" x14ac:dyDescent="0.25">
      <c r="A54" s="62"/>
      <c r="B54" s="55"/>
      <c r="C54" s="53" t="s">
        <v>110</v>
      </c>
      <c r="D54" s="159"/>
      <c r="E54" s="159"/>
      <c r="F54" s="47"/>
      <c r="G54" s="5"/>
      <c r="H54" s="54"/>
      <c r="I54" s="5"/>
    </row>
    <row r="55" spans="1:9" x14ac:dyDescent="0.25">
      <c r="A55" s="64" t="s">
        <v>111</v>
      </c>
      <c r="B55" s="232">
        <v>43186</v>
      </c>
      <c r="C55" s="49" t="s">
        <v>112</v>
      </c>
      <c r="D55" s="43"/>
      <c r="E55" s="43"/>
      <c r="F55" s="56"/>
      <c r="G55" s="26" t="s">
        <v>203</v>
      </c>
      <c r="H55" s="43">
        <v>52</v>
      </c>
      <c r="I55" s="6">
        <v>10400</v>
      </c>
    </row>
    <row r="56" spans="1:9" x14ac:dyDescent="0.25">
      <c r="A56" s="64"/>
      <c r="B56" s="232"/>
      <c r="C56" s="49"/>
      <c r="D56" s="43"/>
      <c r="E56" s="43"/>
      <c r="F56" s="56"/>
      <c r="G56" s="26"/>
      <c r="H56" s="43"/>
      <c r="I56" s="6"/>
    </row>
    <row r="57" spans="1:9" x14ac:dyDescent="0.25">
      <c r="A57" s="66"/>
      <c r="B57" s="50"/>
      <c r="C57" s="14" t="s">
        <v>117</v>
      </c>
      <c r="D57" s="13"/>
      <c r="E57" s="13"/>
      <c r="F57" s="67"/>
      <c r="G57" s="16"/>
      <c r="H57" s="13"/>
      <c r="I57" s="11">
        <f>SUM(I54:I56)</f>
        <v>10400</v>
      </c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 t="s">
        <v>665</v>
      </c>
      <c r="B60" s="2"/>
      <c r="C60" s="2" t="s">
        <v>1093</v>
      </c>
      <c r="D60" s="2"/>
      <c r="E60" s="2"/>
      <c r="F60" s="2"/>
      <c r="G60" s="2" t="s">
        <v>1094</v>
      </c>
      <c r="H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</sheetData>
  <pageMargins left="0.7" right="0.7" top="0.75" bottom="0.75" header="0.3" footer="0.3"/>
  <pageSetup paperSize="9" orientation="landscape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40" workbookViewId="0">
      <selection activeCell="C31" sqref="C31"/>
    </sheetView>
  </sheetViews>
  <sheetFormatPr defaultRowHeight="15" x14ac:dyDescent="0.25"/>
  <cols>
    <col min="1" max="1" width="6" customWidth="1"/>
    <col min="2" max="2" width="33.140625" customWidth="1"/>
    <col min="3" max="3" width="13.42578125" customWidth="1"/>
    <col min="4" max="4" width="11.28515625" customWidth="1"/>
    <col min="5" max="5" width="10.5703125" customWidth="1"/>
    <col min="6" max="7" width="12" customWidth="1"/>
    <col min="8" max="8" width="12.140625" customWidth="1"/>
    <col min="9" max="9" width="17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1095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1096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1097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7">
        <v>8</v>
      </c>
      <c r="I18" s="8">
        <v>9</v>
      </c>
    </row>
    <row r="19" spans="1:9" x14ac:dyDescent="0.25">
      <c r="A19" s="53">
        <v>2</v>
      </c>
      <c r="B19" s="63" t="s">
        <v>471</v>
      </c>
      <c r="C19" s="13">
        <v>8.9600000000000009</v>
      </c>
      <c r="D19" s="16">
        <v>-58581.56</v>
      </c>
      <c r="E19" s="11">
        <v>340322.16</v>
      </c>
      <c r="F19" s="11">
        <v>337483.62</v>
      </c>
      <c r="G19" s="13">
        <f>E19</f>
        <v>340322.16</v>
      </c>
      <c r="H19" s="15">
        <f>D19+F19-G19</f>
        <v>-61420.099999999977</v>
      </c>
      <c r="I19" s="16">
        <f>H19</f>
        <v>-61420.099999999977</v>
      </c>
    </row>
    <row r="20" spans="1:9" x14ac:dyDescent="0.25">
      <c r="A20" s="6" t="s">
        <v>36</v>
      </c>
      <c r="B20" s="5" t="s">
        <v>217</v>
      </c>
      <c r="C20" s="54"/>
      <c r="D20" s="33"/>
      <c r="E20" s="202"/>
      <c r="F20" s="33"/>
      <c r="G20" s="54"/>
      <c r="H20" s="25"/>
      <c r="I20" s="33"/>
    </row>
    <row r="21" spans="1:9" x14ac:dyDescent="0.25">
      <c r="A21" s="17"/>
      <c r="B21" s="17" t="s">
        <v>218</v>
      </c>
      <c r="C21" s="61">
        <v>3.08</v>
      </c>
      <c r="D21" s="21"/>
      <c r="E21" s="21">
        <f>E19*34.4/100</f>
        <v>117070.82303999999</v>
      </c>
      <c r="F21" s="21">
        <f>F19*34.4/100</f>
        <v>116094.36527999998</v>
      </c>
      <c r="G21" s="162">
        <f t="shared" ref="G21:G27" si="0">E21</f>
        <v>117070.82303999999</v>
      </c>
      <c r="H21" s="20"/>
      <c r="I21" s="21"/>
    </row>
    <row r="22" spans="1:9" x14ac:dyDescent="0.25">
      <c r="A22" s="22" t="s">
        <v>38</v>
      </c>
      <c r="B22" s="5" t="s">
        <v>39</v>
      </c>
      <c r="C22" s="54">
        <v>1.47</v>
      </c>
      <c r="D22" s="33"/>
      <c r="E22" s="33">
        <f>E19*16.4/100</f>
        <v>55812.834239999989</v>
      </c>
      <c r="F22" s="33">
        <f>F19*16.4/100</f>
        <v>55347.313679999999</v>
      </c>
      <c r="G22" s="24">
        <f t="shared" si="0"/>
        <v>55812.834239999989</v>
      </c>
      <c r="H22" s="25"/>
      <c r="I22" s="33"/>
    </row>
    <row r="23" spans="1:9" x14ac:dyDescent="0.25">
      <c r="A23" s="22" t="s">
        <v>40</v>
      </c>
      <c r="B23" s="5" t="s">
        <v>41</v>
      </c>
      <c r="C23" s="54">
        <v>1.81</v>
      </c>
      <c r="D23" s="33"/>
      <c r="E23" s="33">
        <f>E19*20.2/100</f>
        <v>68745.076319999993</v>
      </c>
      <c r="F23" s="33">
        <f>F19*20.2/100</f>
        <v>68171.69124</v>
      </c>
      <c r="G23" s="24">
        <f t="shared" si="0"/>
        <v>68745.076319999993</v>
      </c>
      <c r="H23" s="25"/>
      <c r="I23" s="33"/>
    </row>
    <row r="24" spans="1:9" x14ac:dyDescent="0.25">
      <c r="A24" s="22" t="s">
        <v>42</v>
      </c>
      <c r="B24" s="5" t="s">
        <v>43</v>
      </c>
      <c r="C24" s="54">
        <v>2.6</v>
      </c>
      <c r="D24" s="33"/>
      <c r="E24" s="33">
        <f>E19*29/100</f>
        <v>98693.426399999982</v>
      </c>
      <c r="F24" s="33">
        <f>F19*29/100</f>
        <v>97870.249800000005</v>
      </c>
      <c r="G24" s="24">
        <f t="shared" si="0"/>
        <v>98693.426399999982</v>
      </c>
      <c r="H24" s="25"/>
      <c r="I24" s="33"/>
    </row>
    <row r="25" spans="1:9" x14ac:dyDescent="0.25">
      <c r="A25" s="22" t="s">
        <v>44</v>
      </c>
      <c r="B25" s="5" t="s">
        <v>47</v>
      </c>
      <c r="C25" s="54" t="s">
        <v>48</v>
      </c>
      <c r="D25" s="33">
        <v>-3460.06</v>
      </c>
      <c r="E25" s="8">
        <v>24074.34</v>
      </c>
      <c r="F25" s="8">
        <v>22899.49</v>
      </c>
      <c r="G25" s="9">
        <f t="shared" si="0"/>
        <v>24074.34</v>
      </c>
      <c r="H25" s="30">
        <f>D25+F25-E25</f>
        <v>-4634.91</v>
      </c>
      <c r="I25" s="10">
        <f>H25</f>
        <v>-4634.91</v>
      </c>
    </row>
    <row r="26" spans="1:9" x14ac:dyDescent="0.25">
      <c r="A26" s="22" t="s">
        <v>472</v>
      </c>
      <c r="B26" s="5" t="s">
        <v>245</v>
      </c>
      <c r="C26" s="54">
        <v>1755.25</v>
      </c>
      <c r="D26" s="33">
        <v>-23.53</v>
      </c>
      <c r="E26" s="33">
        <v>438.12</v>
      </c>
      <c r="F26" s="33">
        <v>420.4</v>
      </c>
      <c r="G26" s="24">
        <f t="shared" si="0"/>
        <v>438.12</v>
      </c>
      <c r="H26" s="25">
        <f>D26+F26-E26</f>
        <v>-41.25</v>
      </c>
      <c r="I26" s="160">
        <f>H26</f>
        <v>-41.25</v>
      </c>
    </row>
    <row r="27" spans="1:9" x14ac:dyDescent="0.25">
      <c r="A27" s="10" t="s">
        <v>49</v>
      </c>
      <c r="B27" s="10" t="s">
        <v>50</v>
      </c>
      <c r="C27" s="35">
        <v>4.5999999999999996</v>
      </c>
      <c r="D27" s="38">
        <v>-37958.550000000003</v>
      </c>
      <c r="E27" s="10">
        <v>174719.04</v>
      </c>
      <c r="F27" s="10">
        <v>167025.85999999999</v>
      </c>
      <c r="G27" s="35">
        <f t="shared" si="0"/>
        <v>174719.04</v>
      </c>
      <c r="H27" s="37">
        <f>D27+F27-G27</f>
        <v>-45651.730000000025</v>
      </c>
      <c r="I27" s="38">
        <f>H27</f>
        <v>-45651.730000000025</v>
      </c>
    </row>
    <row r="28" spans="1:9" x14ac:dyDescent="0.25">
      <c r="A28" s="63" t="s">
        <v>51</v>
      </c>
      <c r="B28" s="63" t="s">
        <v>310</v>
      </c>
      <c r="C28" s="13">
        <v>1.82</v>
      </c>
      <c r="D28" s="16">
        <v>59800.13</v>
      </c>
      <c r="E28" s="11">
        <v>69127.679999999993</v>
      </c>
      <c r="F28" s="11">
        <f>F29+F30</f>
        <v>70171.12</v>
      </c>
      <c r="G28" s="55">
        <f>I61</f>
        <v>44296.740000000005</v>
      </c>
      <c r="H28" s="15">
        <f>D28+F28-G28</f>
        <v>85674.51</v>
      </c>
      <c r="I28" s="16"/>
    </row>
    <row r="29" spans="1:9" x14ac:dyDescent="0.25">
      <c r="A29" s="10"/>
      <c r="B29" s="8" t="s">
        <v>53</v>
      </c>
      <c r="C29" s="42"/>
      <c r="D29" s="164"/>
      <c r="E29" s="63"/>
      <c r="F29" s="63">
        <v>66598.149999999994</v>
      </c>
      <c r="G29" s="159">
        <f>I61</f>
        <v>44296.740000000005</v>
      </c>
      <c r="H29" s="164"/>
      <c r="I29" s="160"/>
    </row>
    <row r="30" spans="1:9" x14ac:dyDescent="0.25">
      <c r="A30" s="11"/>
      <c r="B30" s="17" t="s">
        <v>58</v>
      </c>
      <c r="C30" s="13"/>
      <c r="D30" s="37"/>
      <c r="E30" s="10"/>
      <c r="F30" s="10">
        <v>3572.97</v>
      </c>
      <c r="G30" s="36"/>
      <c r="H30" s="37"/>
      <c r="I30" s="38"/>
    </row>
    <row r="31" spans="1:9" x14ac:dyDescent="0.25">
      <c r="A31" s="10" t="s">
        <v>56</v>
      </c>
      <c r="B31" s="10" t="s">
        <v>57</v>
      </c>
      <c r="C31" s="13">
        <v>0</v>
      </c>
      <c r="D31" s="15">
        <v>3572.97</v>
      </c>
      <c r="E31" s="11"/>
      <c r="F31" s="11">
        <v>-3572.97</v>
      </c>
      <c r="G31" s="13">
        <v>0</v>
      </c>
      <c r="H31" s="15">
        <v>0</v>
      </c>
      <c r="I31" s="21"/>
    </row>
    <row r="32" spans="1:9" x14ac:dyDescent="0.25">
      <c r="A32" s="8"/>
      <c r="B32" s="8" t="s">
        <v>58</v>
      </c>
      <c r="C32" s="9"/>
      <c r="D32" s="29"/>
      <c r="E32" s="8"/>
      <c r="F32" s="8">
        <v>3572.97</v>
      </c>
      <c r="G32" s="7"/>
      <c r="H32" s="29"/>
      <c r="I32" s="30"/>
    </row>
    <row r="33" spans="1:9" x14ac:dyDescent="0.25">
      <c r="A33" s="1" t="s">
        <v>59</v>
      </c>
      <c r="B33" s="43"/>
      <c r="C33" s="166"/>
      <c r="D33" s="328"/>
      <c r="E33" s="43"/>
      <c r="F33" s="43"/>
      <c r="G33" s="43"/>
      <c r="H33" s="43"/>
      <c r="I33" s="43"/>
    </row>
    <row r="34" spans="1:9" x14ac:dyDescent="0.25">
      <c r="A34" s="1"/>
      <c r="B34" s="43"/>
      <c r="C34" s="166"/>
      <c r="D34" s="328"/>
      <c r="E34" s="43"/>
      <c r="F34" s="43"/>
      <c r="G34" s="43"/>
      <c r="H34" s="43"/>
      <c r="I34" s="43"/>
    </row>
    <row r="35" spans="1:9" x14ac:dyDescent="0.25">
      <c r="A35" s="63" t="s">
        <v>60</v>
      </c>
      <c r="B35" s="47" t="s">
        <v>61</v>
      </c>
      <c r="C35" s="5" t="s">
        <v>356</v>
      </c>
      <c r="D35" s="5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56"/>
      <c r="C36" s="6" t="s">
        <v>1098</v>
      </c>
      <c r="D36" s="17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51" t="s">
        <v>69</v>
      </c>
      <c r="C37" s="29">
        <v>15620.55</v>
      </c>
      <c r="D37" s="8">
        <v>6000</v>
      </c>
      <c r="E37" s="29">
        <f>D37*15%</f>
        <v>900</v>
      </c>
      <c r="F37" s="30">
        <f>C37+(D37-E37)</f>
        <v>20720.55</v>
      </c>
      <c r="G37" s="30"/>
      <c r="H37" s="28">
        <f>F37-G37</f>
        <v>20720.55</v>
      </c>
      <c r="I37" s="48"/>
    </row>
    <row r="38" spans="1:9" x14ac:dyDescent="0.25">
      <c r="A38" s="4" t="s">
        <v>70</v>
      </c>
      <c r="B38" s="43"/>
      <c r="C38" s="43"/>
      <c r="D38" s="43"/>
      <c r="E38" s="43"/>
      <c r="F38" s="19"/>
      <c r="G38" s="19"/>
      <c r="H38" s="19"/>
      <c r="I38" s="43"/>
    </row>
    <row r="39" spans="1:9" x14ac:dyDescent="0.25">
      <c r="A39" s="1" t="s">
        <v>71</v>
      </c>
      <c r="B39" s="43"/>
      <c r="C39" s="43"/>
      <c r="D39" s="43"/>
      <c r="E39" s="43"/>
      <c r="F39" s="19"/>
      <c r="G39" s="19"/>
      <c r="H39" s="19"/>
      <c r="I39" s="43"/>
    </row>
    <row r="40" spans="1:9" x14ac:dyDescent="0.25">
      <c r="A40" s="2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78</v>
      </c>
      <c r="H41" s="54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55"/>
      <c r="C43" s="6"/>
      <c r="D43" s="43"/>
      <c r="E43" s="6"/>
      <c r="F43" s="43" t="s">
        <v>88</v>
      </c>
      <c r="G43" s="6" t="s">
        <v>89</v>
      </c>
      <c r="H43" s="43"/>
      <c r="I43" s="6" t="s">
        <v>1099</v>
      </c>
    </row>
    <row r="44" spans="1:9" x14ac:dyDescent="0.25">
      <c r="A44" s="8"/>
      <c r="B44" s="7"/>
      <c r="C44" s="8"/>
      <c r="D44" s="8"/>
      <c r="E44" s="8"/>
      <c r="F44" s="8"/>
      <c r="G44" s="9"/>
      <c r="H44" s="8"/>
      <c r="I44" s="8"/>
    </row>
    <row r="45" spans="1:9" x14ac:dyDescent="0.25">
      <c r="A45" s="8">
        <v>1</v>
      </c>
      <c r="B45" s="8" t="s">
        <v>91</v>
      </c>
      <c r="C45" s="35" t="s">
        <v>92</v>
      </c>
      <c r="D45" s="8">
        <v>-126483.93</v>
      </c>
      <c r="E45" s="196">
        <v>272528.02</v>
      </c>
      <c r="F45" s="8">
        <v>243240.62</v>
      </c>
      <c r="G45" s="59">
        <f>E45</f>
        <v>272528.02</v>
      </c>
      <c r="H45" s="8">
        <f>D45+F45-G45</f>
        <v>-155771.33000000002</v>
      </c>
      <c r="I45" s="8">
        <f>H45</f>
        <v>-155771.33000000002</v>
      </c>
    </row>
    <row r="46" spans="1:9" x14ac:dyDescent="0.25">
      <c r="A46" s="8"/>
      <c r="B46" s="8" t="s">
        <v>487</v>
      </c>
      <c r="C46" s="35" t="s">
        <v>94</v>
      </c>
      <c r="D46" s="8"/>
      <c r="E46" s="59"/>
      <c r="F46" s="8"/>
      <c r="G46" s="59"/>
      <c r="H46" s="8"/>
      <c r="I46" s="8"/>
    </row>
    <row r="47" spans="1:9" x14ac:dyDescent="0.25">
      <c r="A47" s="6">
        <v>2</v>
      </c>
      <c r="B47" s="6" t="s">
        <v>95</v>
      </c>
      <c r="C47" s="1" t="s">
        <v>96</v>
      </c>
      <c r="D47" s="6">
        <v>-269652.94</v>
      </c>
      <c r="E47" s="2">
        <v>446949.49</v>
      </c>
      <c r="F47" s="6">
        <v>397430.97</v>
      </c>
      <c r="G47" s="2">
        <f>E47</f>
        <v>446949.49</v>
      </c>
      <c r="H47" s="6">
        <f>D47+F47-G47</f>
        <v>-319171.46000000002</v>
      </c>
      <c r="I47" s="6">
        <f>H47</f>
        <v>-319171.46000000002</v>
      </c>
    </row>
    <row r="48" spans="1:9" x14ac:dyDescent="0.25">
      <c r="A48" s="8" t="s">
        <v>72</v>
      </c>
      <c r="B48" s="8" t="s">
        <v>97</v>
      </c>
      <c r="C48" s="35" t="s">
        <v>94</v>
      </c>
      <c r="D48" s="8"/>
      <c r="E48" s="9"/>
      <c r="F48" s="8"/>
      <c r="G48" s="9"/>
      <c r="H48" s="8"/>
      <c r="I48" s="8"/>
    </row>
    <row r="49" spans="1:9" x14ac:dyDescent="0.25">
      <c r="A49" s="8">
        <v>3</v>
      </c>
      <c r="B49" s="8" t="s">
        <v>99</v>
      </c>
      <c r="C49" s="35" t="s">
        <v>100</v>
      </c>
      <c r="D49" s="8">
        <v>-415369.25</v>
      </c>
      <c r="E49" s="9">
        <v>1144165.71</v>
      </c>
      <c r="F49" s="8">
        <v>1095310.3700000001</v>
      </c>
      <c r="G49" s="9">
        <f>E49</f>
        <v>1144165.71</v>
      </c>
      <c r="H49" s="8">
        <f>D49+F49-G49</f>
        <v>-464224.58999999985</v>
      </c>
      <c r="I49" s="8">
        <f>H49</f>
        <v>-464224.58999999985</v>
      </c>
    </row>
    <row r="50" spans="1:9" x14ac:dyDescent="0.25">
      <c r="A50" s="1" t="s">
        <v>101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" t="s">
        <v>102</v>
      </c>
      <c r="B51" s="1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12</v>
      </c>
      <c r="B52" s="5" t="s">
        <v>103</v>
      </c>
      <c r="C52" s="46" t="s">
        <v>104</v>
      </c>
      <c r="D52" s="54"/>
      <c r="E52" s="54"/>
      <c r="F52" s="54"/>
      <c r="G52" s="5" t="s">
        <v>105</v>
      </c>
      <c r="H52" s="47" t="s">
        <v>106</v>
      </c>
      <c r="I52" s="5" t="s">
        <v>107</v>
      </c>
    </row>
    <row r="53" spans="1:9" x14ac:dyDescent="0.25">
      <c r="A53" s="6" t="s">
        <v>108</v>
      </c>
      <c r="B53" s="6"/>
      <c r="C53" s="49"/>
      <c r="D53" s="43"/>
      <c r="E53" s="43"/>
      <c r="F53" s="43"/>
      <c r="G53" s="6"/>
      <c r="H53" s="56"/>
      <c r="I53" s="6" t="s">
        <v>109</v>
      </c>
    </row>
    <row r="54" spans="1:9" x14ac:dyDescent="0.25">
      <c r="A54" s="6"/>
      <c r="B54" s="17"/>
      <c r="C54" s="50"/>
      <c r="D54" s="61"/>
      <c r="E54" s="61"/>
      <c r="F54" s="61"/>
      <c r="G54" s="6"/>
      <c r="H54" s="56"/>
      <c r="I54" s="6"/>
    </row>
    <row r="55" spans="1:9" x14ac:dyDescent="0.25">
      <c r="A55" s="62"/>
      <c r="B55" s="39"/>
      <c r="C55" s="55"/>
      <c r="D55" s="4"/>
      <c r="E55" s="4"/>
      <c r="F55" s="43"/>
      <c r="G55" s="5"/>
      <c r="H55" s="54"/>
      <c r="I55" s="5"/>
    </row>
    <row r="56" spans="1:9" x14ac:dyDescent="0.25">
      <c r="A56" s="64" t="s">
        <v>111</v>
      </c>
      <c r="B56" s="65">
        <v>43251</v>
      </c>
      <c r="C56" s="49" t="s">
        <v>1100</v>
      </c>
      <c r="D56" s="43"/>
      <c r="E56" s="43"/>
      <c r="F56" s="43"/>
      <c r="G56" s="26" t="s">
        <v>205</v>
      </c>
      <c r="H56" s="43">
        <v>1</v>
      </c>
      <c r="I56" s="6">
        <v>5540.98</v>
      </c>
    </row>
    <row r="57" spans="1:9" x14ac:dyDescent="0.25">
      <c r="A57" s="64" t="s">
        <v>114</v>
      </c>
      <c r="B57" s="65">
        <v>43374</v>
      </c>
      <c r="C57" s="49" t="s">
        <v>1101</v>
      </c>
      <c r="D57" s="43"/>
      <c r="E57" s="43"/>
      <c r="F57" s="69"/>
      <c r="G57" s="26" t="s">
        <v>262</v>
      </c>
      <c r="H57" s="43">
        <v>5</v>
      </c>
      <c r="I57" s="6">
        <v>5500</v>
      </c>
    </row>
    <row r="58" spans="1:9" x14ac:dyDescent="0.25">
      <c r="A58" s="64" t="s">
        <v>170</v>
      </c>
      <c r="B58" s="65">
        <v>43404</v>
      </c>
      <c r="C58" s="49" t="s">
        <v>1102</v>
      </c>
      <c r="D58" s="43"/>
      <c r="E58" s="43"/>
      <c r="F58" s="69"/>
      <c r="G58" s="26" t="s">
        <v>169</v>
      </c>
      <c r="H58" s="43">
        <v>40</v>
      </c>
      <c r="I58" s="6">
        <v>18825.740000000002</v>
      </c>
    </row>
    <row r="59" spans="1:9" x14ac:dyDescent="0.25">
      <c r="A59" s="64" t="s">
        <v>173</v>
      </c>
      <c r="B59" s="65">
        <v>43390</v>
      </c>
      <c r="C59" s="49" t="s">
        <v>1103</v>
      </c>
      <c r="D59" s="43"/>
      <c r="E59" s="43"/>
      <c r="F59" s="69"/>
      <c r="G59" s="26" t="s">
        <v>205</v>
      </c>
      <c r="H59" s="43">
        <v>1</v>
      </c>
      <c r="I59" s="6">
        <v>9390</v>
      </c>
    </row>
    <row r="60" spans="1:9" x14ac:dyDescent="0.25">
      <c r="A60" s="64" t="s">
        <v>257</v>
      </c>
      <c r="B60" s="65">
        <v>43433</v>
      </c>
      <c r="C60" s="49" t="s">
        <v>1104</v>
      </c>
      <c r="D60" s="43"/>
      <c r="E60" s="43"/>
      <c r="F60" s="69"/>
      <c r="G60" s="26" t="s">
        <v>205</v>
      </c>
      <c r="H60" s="43">
        <v>5</v>
      </c>
      <c r="I60" s="6">
        <v>5040.0200000000004</v>
      </c>
    </row>
    <row r="61" spans="1:9" x14ac:dyDescent="0.25">
      <c r="A61" s="66"/>
      <c r="B61" s="17"/>
      <c r="C61" s="14" t="s">
        <v>117</v>
      </c>
      <c r="D61" s="13"/>
      <c r="E61" s="13"/>
      <c r="F61" s="13"/>
      <c r="G61" s="16"/>
      <c r="H61" s="13"/>
      <c r="I61" s="11">
        <f>SUM(I55:I60)</f>
        <v>44296.740000000005</v>
      </c>
    </row>
    <row r="62" spans="1:9" x14ac:dyDescent="0.25">
      <c r="A62" s="43"/>
      <c r="B62" s="43"/>
      <c r="C62" s="43"/>
      <c r="D62" s="43"/>
      <c r="E62" s="43"/>
      <c r="F62" s="43"/>
      <c r="G62" s="43"/>
      <c r="H62" s="43"/>
      <c r="I62" s="43"/>
    </row>
    <row r="63" spans="1:9" x14ac:dyDescent="0.25">
      <c r="A63" s="2"/>
      <c r="B63" s="2"/>
      <c r="C63" s="2" t="s">
        <v>72</v>
      </c>
      <c r="D63" s="2"/>
      <c r="E63" s="2"/>
      <c r="F63" s="2"/>
      <c r="G63" s="2"/>
      <c r="H63" s="2"/>
      <c r="I63" s="2"/>
    </row>
    <row r="64" spans="1:9" x14ac:dyDescent="0.25">
      <c r="A64" s="43" t="s">
        <v>1105</v>
      </c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43"/>
      <c r="B66" s="43"/>
      <c r="C66" s="43"/>
      <c r="D66" s="43"/>
      <c r="E66" s="43"/>
      <c r="F66" s="43"/>
      <c r="G66" s="43"/>
      <c r="H66" s="43"/>
      <c r="I66" s="43"/>
    </row>
  </sheetData>
  <pageMargins left="0.7" right="0.7" top="0.75" bottom="0.75" header="0.3" footer="0.3"/>
  <pageSetup paperSize="9" orientation="landscape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2" workbookViewId="0">
      <selection activeCell="E11" sqref="E11"/>
    </sheetView>
  </sheetViews>
  <sheetFormatPr defaultRowHeight="15" x14ac:dyDescent="0.25"/>
  <cols>
    <col min="1" max="1" width="5.85546875" customWidth="1"/>
    <col min="2" max="2" width="28.28515625" customWidth="1"/>
    <col min="3" max="3" width="12.85546875" customWidth="1"/>
    <col min="5" max="5" width="10" customWidth="1"/>
    <col min="6" max="6" width="11.140625" customWidth="1"/>
    <col min="7" max="7" width="10.28515625" customWidth="1"/>
    <col min="8" max="8" width="12.7109375" customWidth="1"/>
    <col min="9" max="9" width="18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1106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1107</v>
      </c>
      <c r="B8" s="2"/>
      <c r="C8" s="2"/>
      <c r="D8" s="1"/>
      <c r="E8" s="2"/>
      <c r="F8" s="2"/>
      <c r="G8" s="2"/>
      <c r="H8" s="2"/>
      <c r="I8" s="2"/>
    </row>
    <row r="9" spans="1:9" x14ac:dyDescent="0.25">
      <c r="A9" s="2" t="s">
        <v>1108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229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32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30</v>
      </c>
    </row>
    <row r="18" spans="1:9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53">
        <v>1</v>
      </c>
      <c r="B19" s="63" t="s">
        <v>186</v>
      </c>
      <c r="C19" s="63" t="s">
        <v>72</v>
      </c>
      <c r="D19" s="159"/>
      <c r="E19" s="160" t="s">
        <v>72</v>
      </c>
      <c r="F19" s="63" t="s">
        <v>72</v>
      </c>
      <c r="G19" s="159"/>
      <c r="H19" s="63" t="s">
        <v>72</v>
      </c>
      <c r="I19" s="160"/>
    </row>
    <row r="20" spans="1:9" x14ac:dyDescent="0.25">
      <c r="A20" s="14"/>
      <c r="B20" s="11" t="s">
        <v>187</v>
      </c>
      <c r="C20" s="11">
        <v>8.5500000000000007</v>
      </c>
      <c r="D20" s="16">
        <v>-4693.6899999999996</v>
      </c>
      <c r="E20" s="11">
        <v>44337.65</v>
      </c>
      <c r="F20" s="11">
        <v>39292.97</v>
      </c>
      <c r="G20" s="13">
        <f>E20</f>
        <v>44337.65</v>
      </c>
      <c r="H20" s="16">
        <f>D20+F20-G20</f>
        <v>-9738.3700000000026</v>
      </c>
      <c r="I20" s="16">
        <f>H20</f>
        <v>-9738.3700000000026</v>
      </c>
    </row>
    <row r="21" spans="1:9" x14ac:dyDescent="0.25">
      <c r="A21" s="6" t="s">
        <v>36</v>
      </c>
      <c r="B21" s="6" t="s">
        <v>217</v>
      </c>
      <c r="C21" s="6"/>
      <c r="D21" s="23"/>
      <c r="E21" s="26"/>
      <c r="F21" s="44"/>
      <c r="G21" s="25"/>
      <c r="H21" s="33"/>
      <c r="I21" s="23"/>
    </row>
    <row r="22" spans="1:9" x14ac:dyDescent="0.25">
      <c r="A22" s="17"/>
      <c r="B22" s="17" t="s">
        <v>218</v>
      </c>
      <c r="C22" s="6">
        <v>3.08</v>
      </c>
      <c r="D22" s="18"/>
      <c r="E22" s="26">
        <f>E20*36/100</f>
        <v>15961.554000000002</v>
      </c>
      <c r="F22" s="44">
        <f>F20*36/100</f>
        <v>14145.4692</v>
      </c>
      <c r="G22" s="20">
        <f t="shared" ref="G22:G27" si="0">E22</f>
        <v>15961.554000000002</v>
      </c>
      <c r="H22" s="21"/>
      <c r="I22" s="18"/>
    </row>
    <row r="23" spans="1:9" x14ac:dyDescent="0.25">
      <c r="A23" s="22" t="s">
        <v>38</v>
      </c>
      <c r="B23" s="5" t="s">
        <v>39</v>
      </c>
      <c r="C23" s="5">
        <v>1.51</v>
      </c>
      <c r="D23" s="26"/>
      <c r="E23" s="33">
        <f>E20*17.7/100</f>
        <v>7847.7640500000007</v>
      </c>
      <c r="F23" s="33">
        <f>F20*17.7/100</f>
        <v>6954.8556900000003</v>
      </c>
      <c r="G23" s="19">
        <f t="shared" si="0"/>
        <v>7847.7640500000007</v>
      </c>
      <c r="H23" s="26"/>
      <c r="I23" s="26"/>
    </row>
    <row r="24" spans="1:9" x14ac:dyDescent="0.25">
      <c r="A24" s="22" t="s">
        <v>40</v>
      </c>
      <c r="B24" s="5" t="s">
        <v>41</v>
      </c>
      <c r="C24" s="5">
        <v>1.36</v>
      </c>
      <c r="D24" s="30"/>
      <c r="E24" s="33">
        <f>E20*16/100</f>
        <v>7094.0240000000003</v>
      </c>
      <c r="F24" s="33">
        <f>F20*16/100</f>
        <v>6286.8752000000004</v>
      </c>
      <c r="G24" s="29">
        <f t="shared" si="0"/>
        <v>7094.0240000000003</v>
      </c>
      <c r="H24" s="30"/>
      <c r="I24" s="30"/>
    </row>
    <row r="25" spans="1:9" x14ac:dyDescent="0.25">
      <c r="A25" s="22" t="s">
        <v>42</v>
      </c>
      <c r="B25" s="5" t="s">
        <v>43</v>
      </c>
      <c r="C25" s="5">
        <v>2.6</v>
      </c>
      <c r="D25" s="26"/>
      <c r="E25" s="33">
        <f>E20*30.3/100</f>
        <v>13434.307950000002</v>
      </c>
      <c r="F25" s="33">
        <f>F20*30.3/100</f>
        <v>11905.769910000001</v>
      </c>
      <c r="G25" s="19">
        <f t="shared" si="0"/>
        <v>13434.307950000002</v>
      </c>
      <c r="H25" s="26"/>
      <c r="I25" s="26"/>
    </row>
    <row r="26" spans="1:9" x14ac:dyDescent="0.25">
      <c r="A26" s="22" t="s">
        <v>44</v>
      </c>
      <c r="B26" s="5" t="s">
        <v>276</v>
      </c>
      <c r="C26" s="54" t="s">
        <v>48</v>
      </c>
      <c r="D26" s="30">
        <v>-909.3</v>
      </c>
      <c r="E26" s="28">
        <v>8497.19</v>
      </c>
      <c r="F26" s="30">
        <v>7606.85</v>
      </c>
      <c r="G26" s="28">
        <f t="shared" si="0"/>
        <v>8497.19</v>
      </c>
      <c r="H26" s="30">
        <f>D26+F26-E26</f>
        <v>-1799.6400000000003</v>
      </c>
      <c r="I26" s="38">
        <f>H26</f>
        <v>-1799.6400000000003</v>
      </c>
    </row>
    <row r="27" spans="1:9" x14ac:dyDescent="0.25">
      <c r="A27" s="10" t="s">
        <v>49</v>
      </c>
      <c r="B27" s="10" t="s">
        <v>50</v>
      </c>
      <c r="C27" s="35">
        <v>4.5999999999999996</v>
      </c>
      <c r="D27" s="10">
        <v>-2764.67</v>
      </c>
      <c r="E27" s="35">
        <v>24630.240000000002</v>
      </c>
      <c r="F27" s="10">
        <v>22060.36</v>
      </c>
      <c r="G27" s="35">
        <f t="shared" si="0"/>
        <v>24630.240000000002</v>
      </c>
      <c r="H27" s="10">
        <f>D27+F27-G27</f>
        <v>-5334.5499999999993</v>
      </c>
      <c r="I27" s="10">
        <f>H27</f>
        <v>-5334.5499999999993</v>
      </c>
    </row>
    <row r="28" spans="1:9" x14ac:dyDescent="0.25">
      <c r="A28" s="63" t="s">
        <v>51</v>
      </c>
      <c r="B28" s="63" t="s">
        <v>219</v>
      </c>
      <c r="C28" s="4">
        <v>1.65</v>
      </c>
      <c r="D28" s="39">
        <v>-858.15</v>
      </c>
      <c r="E28" s="4">
        <v>8556.1200000000008</v>
      </c>
      <c r="F28" s="39">
        <f>F29+F30</f>
        <v>7744.25</v>
      </c>
      <c r="G28" s="55">
        <f>I52</f>
        <v>0</v>
      </c>
      <c r="H28" s="39">
        <f>D28+F28-G28</f>
        <v>6886.1</v>
      </c>
      <c r="I28" s="39"/>
    </row>
    <row r="29" spans="1:9" x14ac:dyDescent="0.25">
      <c r="A29" s="10"/>
      <c r="B29" s="8" t="s">
        <v>53</v>
      </c>
      <c r="C29" s="35"/>
      <c r="D29" s="63"/>
      <c r="E29" s="159"/>
      <c r="F29" s="63">
        <v>7681.93</v>
      </c>
      <c r="G29" s="159"/>
      <c r="H29" s="63"/>
      <c r="I29" s="63"/>
    </row>
    <row r="30" spans="1:9" x14ac:dyDescent="0.25">
      <c r="A30" s="11"/>
      <c r="B30" s="8" t="s">
        <v>58</v>
      </c>
      <c r="C30" s="13"/>
      <c r="D30" s="10"/>
      <c r="E30" s="35"/>
      <c r="F30" s="10">
        <v>62.32</v>
      </c>
      <c r="G30" s="35"/>
      <c r="H30" s="10"/>
      <c r="I30" s="10"/>
    </row>
    <row r="31" spans="1:9" x14ac:dyDescent="0.25">
      <c r="A31" s="11" t="s">
        <v>56</v>
      </c>
      <c r="B31" s="11" t="s">
        <v>144</v>
      </c>
      <c r="C31" s="13">
        <v>0</v>
      </c>
      <c r="D31" s="10">
        <v>62.32</v>
      </c>
      <c r="E31" s="35">
        <v>0</v>
      </c>
      <c r="F31" s="10">
        <v>-62.32</v>
      </c>
      <c r="G31" s="35">
        <v>0</v>
      </c>
      <c r="H31" s="10">
        <f>D31+F31-G31</f>
        <v>0</v>
      </c>
      <c r="I31" s="10" t="s">
        <v>72</v>
      </c>
    </row>
    <row r="32" spans="1:9" x14ac:dyDescent="0.25">
      <c r="A32" s="8"/>
      <c r="B32" s="8" t="s">
        <v>58</v>
      </c>
      <c r="C32" s="9">
        <v>0</v>
      </c>
      <c r="D32" s="8"/>
      <c r="E32" s="9">
        <v>0</v>
      </c>
      <c r="F32" s="8">
        <v>62.32</v>
      </c>
      <c r="G32" s="9">
        <v>0</v>
      </c>
      <c r="H32" s="8"/>
      <c r="I32" s="8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4" t="s">
        <v>70</v>
      </c>
      <c r="B34" s="43"/>
      <c r="C34" s="43"/>
      <c r="D34" s="43"/>
      <c r="E34" s="43"/>
      <c r="F34" s="19"/>
      <c r="G34" s="19"/>
      <c r="H34" s="19"/>
      <c r="I34" s="43"/>
    </row>
    <row r="35" spans="1:9" x14ac:dyDescent="0.25">
      <c r="A35" s="1" t="s">
        <v>71</v>
      </c>
      <c r="B35" s="43"/>
      <c r="C35" s="43"/>
      <c r="D35" s="43"/>
      <c r="E35" s="43"/>
      <c r="F35" s="19"/>
      <c r="G35" s="19"/>
      <c r="H35" s="19"/>
      <c r="I35" s="43"/>
    </row>
    <row r="36" spans="1:9" x14ac:dyDescent="0.25">
      <c r="A36" s="5" t="s">
        <v>72</v>
      </c>
      <c r="B36" s="46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5" t="s">
        <v>78</v>
      </c>
      <c r="H36" s="54" t="s">
        <v>79</v>
      </c>
      <c r="I36" s="5" t="s">
        <v>19</v>
      </c>
    </row>
    <row r="37" spans="1:9" x14ac:dyDescent="0.25">
      <c r="A37" s="6"/>
      <c r="B37" s="49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6" t="s">
        <v>85</v>
      </c>
      <c r="H37" s="43" t="s">
        <v>86</v>
      </c>
      <c r="I37" s="6" t="s">
        <v>87</v>
      </c>
    </row>
    <row r="38" spans="1:9" x14ac:dyDescent="0.25">
      <c r="A38" s="17"/>
      <c r="B38" s="50"/>
      <c r="C38" s="17"/>
      <c r="D38" s="61"/>
      <c r="E38" s="17"/>
      <c r="F38" s="61" t="s">
        <v>88</v>
      </c>
      <c r="G38" s="17" t="s">
        <v>89</v>
      </c>
      <c r="H38" s="61"/>
      <c r="I38" s="17" t="s">
        <v>1099</v>
      </c>
    </row>
    <row r="39" spans="1:9" x14ac:dyDescent="0.25">
      <c r="A39" s="6"/>
      <c r="B39" s="49"/>
      <c r="C39" s="8"/>
      <c r="D39" s="5"/>
      <c r="E39" s="43"/>
      <c r="F39" s="5"/>
      <c r="G39" s="43"/>
      <c r="H39" s="5"/>
      <c r="I39" s="56"/>
    </row>
    <row r="40" spans="1:9" x14ac:dyDescent="0.25">
      <c r="A40" s="8">
        <v>1</v>
      </c>
      <c r="B40" s="8" t="s">
        <v>91</v>
      </c>
      <c r="C40" s="35" t="s">
        <v>92</v>
      </c>
      <c r="D40" s="8">
        <v>-5256.83</v>
      </c>
      <c r="E40" s="59">
        <v>38996.46</v>
      </c>
      <c r="F40" s="8">
        <v>35833.760000000002</v>
      </c>
      <c r="G40" s="59">
        <f>E40</f>
        <v>38996.46</v>
      </c>
      <c r="H40" s="8">
        <f>D40+F40-G40</f>
        <v>-8419.5299999999988</v>
      </c>
      <c r="I40" s="48">
        <f>H40</f>
        <v>-8419.5299999999988</v>
      </c>
    </row>
    <row r="41" spans="1:9" x14ac:dyDescent="0.25">
      <c r="A41" s="50"/>
      <c r="B41" s="8" t="s">
        <v>1109</v>
      </c>
      <c r="C41" s="13" t="s">
        <v>94</v>
      </c>
      <c r="D41" s="17"/>
      <c r="E41" s="61"/>
      <c r="F41" s="17"/>
      <c r="G41" s="61"/>
      <c r="H41" s="17"/>
      <c r="I41" s="5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 t="s">
        <v>72</v>
      </c>
      <c r="C43" s="2"/>
      <c r="D43" s="2"/>
      <c r="E43" s="2"/>
      <c r="F43" s="2" t="s">
        <v>72</v>
      </c>
      <c r="G43" s="2"/>
      <c r="H43" s="2"/>
      <c r="I43" s="2"/>
    </row>
    <row r="44" spans="1:9" x14ac:dyDescent="0.25">
      <c r="A44" s="1" t="s">
        <v>1110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" t="s">
        <v>1111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6" t="s">
        <v>12</v>
      </c>
      <c r="B46" s="5" t="s">
        <v>103</v>
      </c>
      <c r="C46" s="46" t="s">
        <v>104</v>
      </c>
      <c r="D46" s="54"/>
      <c r="E46" s="54"/>
      <c r="F46" s="47"/>
      <c r="G46" s="5" t="s">
        <v>105</v>
      </c>
      <c r="H46" s="47" t="s">
        <v>106</v>
      </c>
      <c r="I46" s="5" t="s">
        <v>107</v>
      </c>
    </row>
    <row r="47" spans="1:9" x14ac:dyDescent="0.25">
      <c r="A47" s="49" t="s">
        <v>108</v>
      </c>
      <c r="B47" s="6"/>
      <c r="C47" s="49"/>
      <c r="D47" s="43"/>
      <c r="E47" s="43"/>
      <c r="F47" s="56"/>
      <c r="G47" s="6"/>
      <c r="H47" s="56"/>
      <c r="I47" s="6" t="s">
        <v>109</v>
      </c>
    </row>
    <row r="48" spans="1:9" x14ac:dyDescent="0.25">
      <c r="A48" s="50"/>
      <c r="B48" s="17"/>
      <c r="C48" s="50"/>
      <c r="D48" s="61"/>
      <c r="E48" s="61"/>
      <c r="F48" s="51"/>
      <c r="G48" s="6"/>
      <c r="H48" s="56"/>
      <c r="I48" s="17"/>
    </row>
    <row r="49" spans="1:9" x14ac:dyDescent="0.25">
      <c r="A49" s="62"/>
      <c r="B49" s="39"/>
      <c r="C49" s="55" t="s">
        <v>110</v>
      </c>
      <c r="D49" s="4"/>
      <c r="E49" s="4"/>
      <c r="F49" s="43"/>
      <c r="G49" s="5"/>
      <c r="H49" s="47"/>
      <c r="I49" s="5"/>
    </row>
    <row r="50" spans="1:9" x14ac:dyDescent="0.25">
      <c r="A50" s="64"/>
      <c r="B50" s="6"/>
      <c r="C50" s="49" t="s">
        <v>72</v>
      </c>
      <c r="D50" s="43"/>
      <c r="E50" s="43"/>
      <c r="F50" s="43" t="s">
        <v>72</v>
      </c>
      <c r="G50" s="26"/>
      <c r="H50" s="56" t="s">
        <v>72</v>
      </c>
      <c r="I50" s="6" t="s">
        <v>72</v>
      </c>
    </row>
    <row r="51" spans="1:9" x14ac:dyDescent="0.25">
      <c r="A51" s="64"/>
      <c r="B51" s="65"/>
      <c r="C51" s="49"/>
      <c r="D51" s="43"/>
      <c r="E51" s="43"/>
      <c r="F51" s="43"/>
      <c r="G51" s="26"/>
      <c r="H51" s="56"/>
      <c r="I51" s="6"/>
    </row>
    <row r="52" spans="1:9" x14ac:dyDescent="0.25">
      <c r="A52" s="66"/>
      <c r="B52" s="17"/>
      <c r="C52" s="14" t="s">
        <v>117</v>
      </c>
      <c r="D52" s="13"/>
      <c r="E52" s="13"/>
      <c r="F52" s="13"/>
      <c r="G52" s="16"/>
      <c r="H52" s="67"/>
      <c r="I52" s="11">
        <f>SUM(I51:I51)</f>
        <v>0</v>
      </c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 t="s">
        <v>375</v>
      </c>
      <c r="B54" s="2"/>
      <c r="C54" s="2" t="s">
        <v>72</v>
      </c>
      <c r="D54" s="2" t="s">
        <v>1093</v>
      </c>
      <c r="E54" s="2"/>
      <c r="F54" s="2"/>
      <c r="G54" s="2"/>
      <c r="H54" s="2" t="s">
        <v>1112</v>
      </c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</sheetData>
  <pageMargins left="0.7" right="0.7" top="0.75" bottom="0.75" header="0.3" footer="0.3"/>
  <pageSetup paperSize="9" orientation="landscape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28" workbookViewId="0">
      <selection activeCell="G31" sqref="G31:G32"/>
    </sheetView>
  </sheetViews>
  <sheetFormatPr defaultRowHeight="15" x14ac:dyDescent="0.25"/>
  <cols>
    <col min="1" max="1" width="5" customWidth="1"/>
    <col min="2" max="2" width="38.28515625" customWidth="1"/>
    <col min="3" max="3" width="11.42578125" customWidth="1"/>
    <col min="4" max="4" width="12.140625" customWidth="1"/>
    <col min="5" max="5" width="12" customWidth="1"/>
    <col min="6" max="6" width="12.28515625" customWidth="1"/>
    <col min="8" max="8" width="13.5703125" customWidth="1"/>
    <col min="9" max="9" width="16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1113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1114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1115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1116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517</v>
      </c>
    </row>
    <row r="15" spans="1:9" x14ac:dyDescent="0.25">
      <c r="A15" s="6"/>
      <c r="B15" s="6"/>
      <c r="C15" s="6" t="s">
        <v>27</v>
      </c>
      <c r="D15" s="6" t="s">
        <v>1117</v>
      </c>
      <c r="E15" s="6"/>
      <c r="F15" s="6"/>
      <c r="G15" s="6" t="s">
        <v>29</v>
      </c>
      <c r="H15" s="6" t="s">
        <v>30</v>
      </c>
      <c r="I15" s="6" t="s">
        <v>518</v>
      </c>
    </row>
    <row r="16" spans="1:9" x14ac:dyDescent="0.25">
      <c r="A16" s="6"/>
      <c r="B16" s="6"/>
      <c r="C16" s="6" t="s">
        <v>271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1086</v>
      </c>
    </row>
    <row r="17" spans="1:9" x14ac:dyDescent="0.25">
      <c r="A17" s="6"/>
      <c r="B17" s="6"/>
      <c r="C17" s="17" t="s">
        <v>1087</v>
      </c>
      <c r="D17" s="6"/>
      <c r="E17" s="6"/>
      <c r="F17" s="6"/>
      <c r="G17" s="6"/>
      <c r="H17" s="6"/>
      <c r="I17" s="6" t="s">
        <v>1088</v>
      </c>
    </row>
    <row r="18" spans="1:9" x14ac:dyDescent="0.25">
      <c r="A18" s="54">
        <v>1</v>
      </c>
      <c r="B18" s="5">
        <v>2</v>
      </c>
      <c r="C18" s="54">
        <v>3</v>
      </c>
      <c r="D18" s="5">
        <v>4</v>
      </c>
      <c r="E18" s="54">
        <v>5</v>
      </c>
      <c r="F18" s="5">
        <v>6</v>
      </c>
      <c r="G18" s="54">
        <v>7</v>
      </c>
      <c r="H18" s="5">
        <v>8</v>
      </c>
      <c r="I18" s="8">
        <v>9</v>
      </c>
    </row>
    <row r="19" spans="1:9" x14ac:dyDescent="0.25">
      <c r="A19" s="36">
        <v>1</v>
      </c>
      <c r="B19" s="10" t="s">
        <v>1118</v>
      </c>
      <c r="C19" s="35">
        <v>8.9600000000000009</v>
      </c>
      <c r="D19" s="38">
        <v>-14678.05</v>
      </c>
      <c r="E19" s="35">
        <v>287637.59999999998</v>
      </c>
      <c r="F19" s="10">
        <v>274681.87</v>
      </c>
      <c r="G19" s="36">
        <f t="shared" ref="G19:G25" si="0">E19</f>
        <v>287637.59999999998</v>
      </c>
      <c r="H19" s="244">
        <f>D19+F19-G19</f>
        <v>-27633.77999999997</v>
      </c>
      <c r="I19" s="12">
        <f>H19+H24</f>
        <v>-31614.11999999997</v>
      </c>
    </row>
    <row r="20" spans="1:9" x14ac:dyDescent="0.25">
      <c r="A20" s="6" t="s">
        <v>36</v>
      </c>
      <c r="B20" s="17" t="s">
        <v>37</v>
      </c>
      <c r="C20" s="61">
        <v>3.08</v>
      </c>
      <c r="D20" s="26"/>
      <c r="E20" s="162">
        <f>E19*34.4%</f>
        <v>98947.334399999978</v>
      </c>
      <c r="F20" s="21">
        <f>F19*34.4%</f>
        <v>94490.563279999988</v>
      </c>
      <c r="G20" s="19">
        <f t="shared" si="0"/>
        <v>98947.334399999978</v>
      </c>
      <c r="H20" s="21"/>
      <c r="I20" s="26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24">
        <f>E19*16.4%</f>
        <v>47172.566399999989</v>
      </c>
      <c r="F21" s="30">
        <f>F19*16.4%</f>
        <v>45047.826679999991</v>
      </c>
      <c r="G21" s="30">
        <f t="shared" si="0"/>
        <v>47172.566399999989</v>
      </c>
      <c r="H21" s="26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0"/>
      <c r="E22" s="24">
        <f>E19*20.2%</f>
        <v>58102.795199999993</v>
      </c>
      <c r="F22" s="26">
        <f>F19*20.2%</f>
        <v>55485.737739999997</v>
      </c>
      <c r="G22" s="19">
        <f t="shared" si="0"/>
        <v>58102.795199999993</v>
      </c>
      <c r="H22" s="33"/>
      <c r="I22" s="30"/>
    </row>
    <row r="23" spans="1:9" x14ac:dyDescent="0.25">
      <c r="A23" s="22" t="s">
        <v>42</v>
      </c>
      <c r="B23" s="5" t="s">
        <v>43</v>
      </c>
      <c r="C23" s="54">
        <v>2.6</v>
      </c>
      <c r="D23" s="33"/>
      <c r="E23" s="28">
        <f>E19*29%</f>
        <v>83414.90399999998</v>
      </c>
      <c r="F23" s="30">
        <f>F19*29%</f>
        <v>79657.742299999998</v>
      </c>
      <c r="G23" s="29">
        <f t="shared" si="0"/>
        <v>83414.90399999998</v>
      </c>
      <c r="H23" s="30"/>
      <c r="I23" s="33"/>
    </row>
    <row r="24" spans="1:9" x14ac:dyDescent="0.25">
      <c r="A24" s="22" t="s">
        <v>44</v>
      </c>
      <c r="B24" s="5" t="s">
        <v>1119</v>
      </c>
      <c r="C24" s="159" t="s">
        <v>48</v>
      </c>
      <c r="D24" s="33">
        <v>-3066.41</v>
      </c>
      <c r="E24" s="28">
        <v>22909.02</v>
      </c>
      <c r="F24" s="30">
        <v>21995.09</v>
      </c>
      <c r="G24" s="28">
        <f t="shared" si="0"/>
        <v>22909.02</v>
      </c>
      <c r="H24" s="30">
        <f>D24+F24-G24</f>
        <v>-3980.34</v>
      </c>
      <c r="I24" s="160">
        <f>H24</f>
        <v>-3980.34</v>
      </c>
    </row>
    <row r="25" spans="1:9" x14ac:dyDescent="0.25">
      <c r="A25" s="10" t="s">
        <v>49</v>
      </c>
      <c r="B25" s="10" t="s">
        <v>50</v>
      </c>
      <c r="C25" s="35">
        <v>4.5999999999999996</v>
      </c>
      <c r="D25" s="38">
        <v>-18517.810000000001</v>
      </c>
      <c r="E25" s="34">
        <v>147671.04000000001</v>
      </c>
      <c r="F25" s="38">
        <v>141699.64000000001</v>
      </c>
      <c r="G25" s="193">
        <f t="shared" si="0"/>
        <v>147671.04000000001</v>
      </c>
      <c r="H25" s="38">
        <f>D25+F25-G25</f>
        <v>-24489.209999999992</v>
      </c>
      <c r="I25" s="38">
        <f>H25</f>
        <v>-24489.209999999992</v>
      </c>
    </row>
    <row r="26" spans="1:9" x14ac:dyDescent="0.25">
      <c r="A26" s="10" t="s">
        <v>51</v>
      </c>
      <c r="B26" s="11" t="s">
        <v>310</v>
      </c>
      <c r="C26" s="13">
        <v>1.82</v>
      </c>
      <c r="D26" s="11">
        <v>101233.43</v>
      </c>
      <c r="E26" s="13">
        <v>58426.080000000002</v>
      </c>
      <c r="F26" s="11">
        <f>F27+F28+F29</f>
        <v>149395.02000000002</v>
      </c>
      <c r="G26" s="11">
        <f>I63</f>
        <v>99525.59</v>
      </c>
      <c r="H26" s="11">
        <f>D26+F26-G26</f>
        <v>151102.86000000002</v>
      </c>
      <c r="I26" s="11"/>
    </row>
    <row r="27" spans="1:9" x14ac:dyDescent="0.25">
      <c r="A27" s="10"/>
      <c r="B27" s="8" t="s">
        <v>53</v>
      </c>
      <c r="C27" s="4"/>
      <c r="D27" s="39"/>
      <c r="E27" s="13" t="s">
        <v>72</v>
      </c>
      <c r="F27" s="11">
        <v>56282.41</v>
      </c>
      <c r="G27" s="4"/>
      <c r="H27" s="39"/>
      <c r="I27" s="39"/>
    </row>
    <row r="28" spans="1:9" x14ac:dyDescent="0.25">
      <c r="A28" s="39"/>
      <c r="B28" s="5" t="s">
        <v>54</v>
      </c>
      <c r="C28" s="53"/>
      <c r="D28" s="63"/>
      <c r="E28" s="159"/>
      <c r="F28" s="63">
        <v>1239.6199999999999</v>
      </c>
      <c r="G28" s="159"/>
      <c r="H28" s="63"/>
      <c r="I28" s="63"/>
    </row>
    <row r="29" spans="1:9" x14ac:dyDescent="0.25">
      <c r="A29" s="10"/>
      <c r="B29" s="8" t="s">
        <v>367</v>
      </c>
      <c r="C29" s="35"/>
      <c r="D29" s="10"/>
      <c r="E29" s="35"/>
      <c r="F29" s="10">
        <v>91872.99</v>
      </c>
      <c r="G29" s="35"/>
      <c r="H29" s="10"/>
      <c r="I29" s="10"/>
    </row>
    <row r="30" spans="1:9" x14ac:dyDescent="0.25">
      <c r="A30" s="39" t="s">
        <v>56</v>
      </c>
      <c r="B30" s="10" t="s">
        <v>246</v>
      </c>
      <c r="C30" s="42">
        <v>0</v>
      </c>
      <c r="D30" s="10">
        <v>91746.53</v>
      </c>
      <c r="E30" s="35">
        <v>0</v>
      </c>
      <c r="F30" s="10">
        <v>-91872.99</v>
      </c>
      <c r="G30" s="10">
        <v>0</v>
      </c>
      <c r="H30" s="10">
        <v>0</v>
      </c>
      <c r="I30" s="10"/>
    </row>
    <row r="31" spans="1:9" x14ac:dyDescent="0.25">
      <c r="A31" s="8"/>
      <c r="B31" s="8" t="s">
        <v>53</v>
      </c>
      <c r="C31" s="9">
        <v>0</v>
      </c>
      <c r="D31" s="8">
        <v>0</v>
      </c>
      <c r="E31" s="35">
        <v>0</v>
      </c>
      <c r="F31" s="10">
        <v>126.46</v>
      </c>
      <c r="G31" s="8"/>
      <c r="H31" s="8"/>
      <c r="I31" s="8"/>
    </row>
    <row r="32" spans="1:9" x14ac:dyDescent="0.25">
      <c r="A32" s="8"/>
      <c r="B32" s="8" t="s">
        <v>58</v>
      </c>
      <c r="C32" s="9"/>
      <c r="D32" s="8"/>
      <c r="E32" s="9">
        <v>0</v>
      </c>
      <c r="F32" s="8">
        <f>D30+F31</f>
        <v>91872.99</v>
      </c>
      <c r="G32" s="9"/>
      <c r="H32" s="8"/>
      <c r="I32" s="8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4" t="s">
        <v>70</v>
      </c>
      <c r="B34" s="43"/>
      <c r="C34" s="43"/>
      <c r="D34" s="43"/>
      <c r="E34" s="43"/>
      <c r="F34" s="19"/>
      <c r="G34" s="19"/>
      <c r="H34" s="19"/>
      <c r="I34" s="43"/>
    </row>
    <row r="35" spans="1:9" x14ac:dyDescent="0.25">
      <c r="A35" s="1" t="s">
        <v>71</v>
      </c>
      <c r="B35" s="43"/>
      <c r="C35" s="43"/>
      <c r="D35" s="43"/>
      <c r="E35" s="43"/>
      <c r="F35" s="19"/>
      <c r="G35" s="19"/>
      <c r="H35" s="19"/>
      <c r="I35" s="43"/>
    </row>
    <row r="36" spans="1:9" x14ac:dyDescent="0.25">
      <c r="A36" s="63" t="s">
        <v>60</v>
      </c>
      <c r="B36" s="54" t="s">
        <v>61</v>
      </c>
      <c r="C36" s="5" t="s">
        <v>65</v>
      </c>
      <c r="D36" s="47" t="s">
        <v>63</v>
      </c>
      <c r="E36" s="54" t="s">
        <v>64</v>
      </c>
      <c r="F36" s="5" t="s">
        <v>65</v>
      </c>
      <c r="G36" s="5"/>
      <c r="H36" s="54" t="s">
        <v>195</v>
      </c>
      <c r="I36" s="47"/>
    </row>
    <row r="37" spans="1:9" x14ac:dyDescent="0.25">
      <c r="A37" s="6"/>
      <c r="B37" s="43"/>
      <c r="C37" s="17" t="s">
        <v>67</v>
      </c>
      <c r="D37" s="51" t="s">
        <v>23</v>
      </c>
      <c r="E37" s="61" t="s">
        <v>312</v>
      </c>
      <c r="F37" s="17" t="s">
        <v>30</v>
      </c>
      <c r="G37" s="17"/>
      <c r="H37" s="61"/>
      <c r="I37" s="51"/>
    </row>
    <row r="38" spans="1:9" x14ac:dyDescent="0.25">
      <c r="A38" s="11"/>
      <c r="B38" s="61" t="s">
        <v>69</v>
      </c>
      <c r="C38" s="20">
        <v>18158.55</v>
      </c>
      <c r="D38" s="8">
        <v>6000</v>
      </c>
      <c r="E38" s="162">
        <f>D38*15%</f>
        <v>900</v>
      </c>
      <c r="F38" s="21">
        <f>C38+(D38-E38)</f>
        <v>23258.55</v>
      </c>
      <c r="G38" s="21"/>
      <c r="H38" s="162">
        <f>F38</f>
        <v>23258.55</v>
      </c>
      <c r="I38" s="51"/>
    </row>
    <row r="39" spans="1:9" x14ac:dyDescent="0.25">
      <c r="A39" s="1" t="s">
        <v>248</v>
      </c>
      <c r="B39" s="43"/>
      <c r="C39" s="43"/>
      <c r="D39" s="43"/>
      <c r="E39" s="43"/>
      <c r="F39" s="19"/>
      <c r="G39" s="43"/>
      <c r="H39" s="43"/>
      <c r="I39" s="19"/>
    </row>
    <row r="40" spans="1:9" x14ac:dyDescent="0.25">
      <c r="A40" s="5" t="s">
        <v>72</v>
      </c>
      <c r="B40" s="53" t="s">
        <v>73</v>
      </c>
      <c r="C40" s="5" t="s">
        <v>74</v>
      </c>
      <c r="D40" s="54" t="s">
        <v>75</v>
      </c>
      <c r="E40" s="5" t="s">
        <v>76</v>
      </c>
      <c r="F40" s="54" t="s">
        <v>77</v>
      </c>
      <c r="G40" s="5" t="s">
        <v>385</v>
      </c>
      <c r="H40" s="5" t="s">
        <v>79</v>
      </c>
      <c r="I40" s="5" t="s">
        <v>19</v>
      </c>
    </row>
    <row r="41" spans="1:9" x14ac:dyDescent="0.25">
      <c r="A41" s="6"/>
      <c r="B41" s="55" t="s">
        <v>80</v>
      </c>
      <c r="C41" s="6" t="s">
        <v>81</v>
      </c>
      <c r="D41" s="43" t="s">
        <v>82</v>
      </c>
      <c r="E41" s="6" t="s">
        <v>83</v>
      </c>
      <c r="F41" s="43" t="s">
        <v>84</v>
      </c>
      <c r="G41" s="6" t="s">
        <v>85</v>
      </c>
      <c r="H41" s="6" t="s">
        <v>86</v>
      </c>
      <c r="I41" s="6" t="s">
        <v>87</v>
      </c>
    </row>
    <row r="42" spans="1:9" x14ac:dyDescent="0.25">
      <c r="A42" s="17"/>
      <c r="B42" s="50"/>
      <c r="C42" s="17"/>
      <c r="D42" s="61"/>
      <c r="E42" s="17"/>
      <c r="F42" s="61" t="s">
        <v>88</v>
      </c>
      <c r="G42" s="17" t="s">
        <v>89</v>
      </c>
      <c r="H42" s="17"/>
      <c r="I42" s="17" t="s">
        <v>30</v>
      </c>
    </row>
    <row r="43" spans="1:9" x14ac:dyDescent="0.25">
      <c r="A43" s="6">
        <v>1</v>
      </c>
      <c r="B43" s="6" t="s">
        <v>91</v>
      </c>
      <c r="C43" s="4" t="s">
        <v>92</v>
      </c>
      <c r="D43" s="6">
        <v>-61203.25</v>
      </c>
      <c r="E43" s="217">
        <v>227431.85</v>
      </c>
      <c r="F43" s="6">
        <v>214400.76</v>
      </c>
      <c r="G43" s="217">
        <f>E43</f>
        <v>227431.85</v>
      </c>
      <c r="H43" s="6">
        <f>D43+F43-G43</f>
        <v>-74234.34</v>
      </c>
      <c r="I43" s="6">
        <f>H43</f>
        <v>-74234.34</v>
      </c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95</v>
      </c>
      <c r="C45" s="1" t="s">
        <v>96</v>
      </c>
      <c r="D45" s="6">
        <v>-153636.39000000001</v>
      </c>
      <c r="E45" s="2">
        <v>398725.09</v>
      </c>
      <c r="F45" s="6">
        <v>392734.44</v>
      </c>
      <c r="G45" s="2">
        <f>E45</f>
        <v>398725.09</v>
      </c>
      <c r="H45" s="6">
        <f>D45+F45-G45</f>
        <v>-159627.04000000004</v>
      </c>
      <c r="I45" s="6">
        <f>H45</f>
        <v>-159627.04000000004</v>
      </c>
    </row>
    <row r="46" spans="1:9" x14ac:dyDescent="0.25">
      <c r="A46" s="8"/>
      <c r="B46" s="8" t="s">
        <v>97</v>
      </c>
      <c r="C46" s="35"/>
      <c r="D46" s="8"/>
      <c r="E46" s="9"/>
      <c r="F46" s="8"/>
      <c r="G46" s="9"/>
      <c r="H46" s="5"/>
      <c r="I46" s="8"/>
    </row>
    <row r="47" spans="1:9" x14ac:dyDescent="0.25">
      <c r="A47" s="8"/>
      <c r="B47" s="8" t="s">
        <v>198</v>
      </c>
      <c r="C47" s="35" t="s">
        <v>94</v>
      </c>
      <c r="D47" s="8"/>
      <c r="E47" s="9"/>
      <c r="F47" s="8"/>
      <c r="G47" s="9"/>
      <c r="H47" s="5"/>
      <c r="I47" s="8"/>
    </row>
    <row r="48" spans="1:9" x14ac:dyDescent="0.25">
      <c r="A48" s="8">
        <v>3</v>
      </c>
      <c r="B48" s="8" t="s">
        <v>99</v>
      </c>
      <c r="C48" s="35" t="s">
        <v>100</v>
      </c>
      <c r="D48" s="8">
        <v>-331303.28999999998</v>
      </c>
      <c r="E48" s="9">
        <v>967039.24</v>
      </c>
      <c r="F48" s="8">
        <v>929451</v>
      </c>
      <c r="G48" s="9">
        <f>E48</f>
        <v>967039.24</v>
      </c>
      <c r="H48" s="8">
        <f>D48+F48-G48</f>
        <v>-368891.53</v>
      </c>
      <c r="I48" s="8">
        <f>H48</f>
        <v>-368891.53</v>
      </c>
    </row>
    <row r="49" spans="1:9" x14ac:dyDescent="0.25">
      <c r="A49" s="1" t="s">
        <v>1120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" t="s">
        <v>1121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54"/>
      <c r="G51" s="5" t="s">
        <v>105</v>
      </c>
      <c r="H51" s="5" t="s">
        <v>165</v>
      </c>
      <c r="I51" s="5" t="s">
        <v>107</v>
      </c>
    </row>
    <row r="52" spans="1:9" x14ac:dyDescent="0.25">
      <c r="A52" s="49" t="s">
        <v>108</v>
      </c>
      <c r="B52" s="6" t="s">
        <v>72</v>
      </c>
      <c r="C52" s="50"/>
      <c r="D52" s="61"/>
      <c r="E52" s="61"/>
      <c r="F52" s="61"/>
      <c r="G52" s="17"/>
      <c r="H52" s="17" t="s">
        <v>85</v>
      </c>
      <c r="I52" s="6" t="s">
        <v>109</v>
      </c>
    </row>
    <row r="53" spans="1:9" x14ac:dyDescent="0.25">
      <c r="A53" s="242"/>
      <c r="B53" s="63"/>
      <c r="C53" s="55" t="s">
        <v>110</v>
      </c>
      <c r="D53" s="4"/>
      <c r="E53" s="4"/>
      <c r="F53" s="43"/>
      <c r="G53" s="6"/>
      <c r="H53" s="6"/>
      <c r="I53" s="5"/>
    </row>
    <row r="54" spans="1:9" x14ac:dyDescent="0.25">
      <c r="A54" s="236" t="s">
        <v>111</v>
      </c>
      <c r="B54" s="65">
        <v>43159</v>
      </c>
      <c r="C54" s="49" t="s">
        <v>1122</v>
      </c>
      <c r="D54" s="43"/>
      <c r="E54" s="43"/>
      <c r="F54" s="43"/>
      <c r="G54" s="199" t="s">
        <v>205</v>
      </c>
      <c r="H54" s="6">
        <v>2</v>
      </c>
      <c r="I54" s="6">
        <v>3598.15</v>
      </c>
    </row>
    <row r="55" spans="1:9" x14ac:dyDescent="0.25">
      <c r="A55" s="236" t="s">
        <v>114</v>
      </c>
      <c r="B55" s="65">
        <v>43159</v>
      </c>
      <c r="C55" s="49" t="s">
        <v>641</v>
      </c>
      <c r="D55" s="43"/>
      <c r="E55" s="43"/>
      <c r="F55" s="43"/>
      <c r="G55" s="199" t="s">
        <v>205</v>
      </c>
      <c r="H55" s="6">
        <v>2</v>
      </c>
      <c r="I55" s="6">
        <v>3209.58</v>
      </c>
    </row>
    <row r="56" spans="1:9" x14ac:dyDescent="0.25">
      <c r="A56" s="236" t="s">
        <v>170</v>
      </c>
      <c r="B56" s="65">
        <v>43186</v>
      </c>
      <c r="C56" s="232" t="s">
        <v>237</v>
      </c>
      <c r="D56" s="43"/>
      <c r="E56" s="43"/>
      <c r="F56" s="43"/>
      <c r="G56" s="199" t="s">
        <v>113</v>
      </c>
      <c r="H56" s="6">
        <v>72</v>
      </c>
      <c r="I56" s="6">
        <v>14400</v>
      </c>
    </row>
    <row r="57" spans="1:9" x14ac:dyDescent="0.25">
      <c r="A57" s="236" t="s">
        <v>173</v>
      </c>
      <c r="B57" s="65">
        <v>43220</v>
      </c>
      <c r="C57" s="49" t="s">
        <v>582</v>
      </c>
      <c r="D57" s="43"/>
      <c r="E57" s="43"/>
      <c r="F57" s="43"/>
      <c r="G57" s="199" t="s">
        <v>205</v>
      </c>
      <c r="H57" s="6">
        <v>2</v>
      </c>
      <c r="I57" s="6">
        <v>6430.82</v>
      </c>
    </row>
    <row r="58" spans="1:9" x14ac:dyDescent="0.25">
      <c r="A58" s="236" t="s">
        <v>257</v>
      </c>
      <c r="B58" s="65">
        <v>43290</v>
      </c>
      <c r="C58" s="49" t="s">
        <v>254</v>
      </c>
      <c r="D58" s="43"/>
      <c r="E58" s="43"/>
      <c r="F58" s="43"/>
      <c r="G58" s="199" t="s">
        <v>255</v>
      </c>
      <c r="H58" s="6">
        <v>2</v>
      </c>
      <c r="I58" s="6">
        <v>2600</v>
      </c>
    </row>
    <row r="59" spans="1:9" x14ac:dyDescent="0.25">
      <c r="A59" s="236" t="s">
        <v>406</v>
      </c>
      <c r="B59" s="65">
        <v>43312</v>
      </c>
      <c r="C59" s="49" t="s">
        <v>1123</v>
      </c>
      <c r="D59" s="43"/>
      <c r="E59" s="43"/>
      <c r="F59" s="43"/>
      <c r="G59" s="199" t="s">
        <v>169</v>
      </c>
      <c r="H59" s="6">
        <v>100</v>
      </c>
      <c r="I59" s="6">
        <v>47376.99</v>
      </c>
    </row>
    <row r="60" spans="1:9" x14ac:dyDescent="0.25">
      <c r="A60" s="236" t="s">
        <v>408</v>
      </c>
      <c r="B60" s="65">
        <v>43371</v>
      </c>
      <c r="C60" s="49" t="s">
        <v>1124</v>
      </c>
      <c r="D60" s="43"/>
      <c r="E60" s="43"/>
      <c r="F60" s="43"/>
      <c r="G60" s="199" t="s">
        <v>116</v>
      </c>
      <c r="H60" s="6">
        <v>7.3</v>
      </c>
      <c r="I60" s="6">
        <v>6611.05</v>
      </c>
    </row>
    <row r="61" spans="1:9" x14ac:dyDescent="0.25">
      <c r="A61" s="236" t="s">
        <v>561</v>
      </c>
      <c r="B61" s="65">
        <v>43404</v>
      </c>
      <c r="C61" s="232" t="s">
        <v>237</v>
      </c>
      <c r="D61" s="43"/>
      <c r="E61" s="43"/>
      <c r="F61" s="43"/>
      <c r="G61" s="199" t="s">
        <v>116</v>
      </c>
      <c r="H61" s="6">
        <v>72</v>
      </c>
      <c r="I61" s="6">
        <v>14400</v>
      </c>
    </row>
    <row r="62" spans="1:9" x14ac:dyDescent="0.25">
      <c r="A62" s="236" t="s">
        <v>633</v>
      </c>
      <c r="B62" s="65">
        <v>43458</v>
      </c>
      <c r="C62" s="232" t="s">
        <v>1125</v>
      </c>
      <c r="D62" s="43"/>
      <c r="E62" s="43"/>
      <c r="F62" s="43"/>
      <c r="G62" s="199" t="s">
        <v>205</v>
      </c>
      <c r="H62" s="6">
        <v>2</v>
      </c>
      <c r="I62" s="6">
        <v>899</v>
      </c>
    </row>
    <row r="63" spans="1:9" x14ac:dyDescent="0.25">
      <c r="A63" s="237"/>
      <c r="B63" s="17"/>
      <c r="C63" s="14" t="s">
        <v>117</v>
      </c>
      <c r="D63" s="13"/>
      <c r="E63" s="13"/>
      <c r="F63" s="13"/>
      <c r="G63" s="204"/>
      <c r="H63" s="11"/>
      <c r="I63" s="11">
        <f>SUM(I54:I62)</f>
        <v>99525.59</v>
      </c>
    </row>
    <row r="64" spans="1:9" x14ac:dyDescent="0.25">
      <c r="A64" s="43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2" t="s">
        <v>540</v>
      </c>
      <c r="B65" s="2"/>
      <c r="C65" s="2" t="s">
        <v>72</v>
      </c>
      <c r="D65" s="2" t="s">
        <v>1126</v>
      </c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</sheetData>
  <pageMargins left="0.7" right="0.7" top="0.75" bottom="0.75" header="0.3" footer="0.3"/>
  <pageSetup paperSize="9" orientation="landscape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4" workbookViewId="0">
      <selection activeCell="A19" sqref="A19"/>
    </sheetView>
  </sheetViews>
  <sheetFormatPr defaultRowHeight="15" x14ac:dyDescent="0.25"/>
  <cols>
    <col min="1" max="1" width="5.7109375" customWidth="1"/>
    <col min="2" max="2" width="32.7109375" customWidth="1"/>
    <col min="3" max="3" width="13.5703125" customWidth="1"/>
    <col min="5" max="5" width="11.42578125" customWidth="1"/>
    <col min="6" max="6" width="13.140625" customWidth="1"/>
    <col min="8" max="8" width="12.140625" customWidth="1"/>
    <col min="9" max="9" width="19.57031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317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1127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1128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1129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34</v>
      </c>
    </row>
    <row r="18" spans="1:9" x14ac:dyDescent="0.25">
      <c r="A18" s="7">
        <v>1</v>
      </c>
      <c r="B18" s="8">
        <v>2</v>
      </c>
      <c r="C18" s="54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14">
        <v>1</v>
      </c>
      <c r="B19" s="14" t="s">
        <v>580</v>
      </c>
      <c r="C19" s="11">
        <v>8.9600000000000009</v>
      </c>
      <c r="D19" s="16">
        <v>-5697.29</v>
      </c>
      <c r="E19" s="13">
        <v>357945.12</v>
      </c>
      <c r="F19" s="11">
        <v>367608.35</v>
      </c>
      <c r="G19" s="13">
        <f t="shared" ref="G19:G26" si="0">E19</f>
        <v>357945.12</v>
      </c>
      <c r="H19" s="16">
        <f>D19+F19-G19</f>
        <v>3965.9400000000023</v>
      </c>
      <c r="I19" s="16">
        <f>H19</f>
        <v>3965.9400000000023</v>
      </c>
    </row>
    <row r="20" spans="1:9" x14ac:dyDescent="0.25">
      <c r="A20" s="6" t="s">
        <v>36</v>
      </c>
      <c r="B20" s="17" t="s">
        <v>37</v>
      </c>
      <c r="C20" s="61">
        <v>3.08</v>
      </c>
      <c r="D20" s="21"/>
      <c r="E20" s="162">
        <f>E19*34.4%</f>
        <v>123133.12127999999</v>
      </c>
      <c r="F20" s="21">
        <f>F19*34.4%</f>
        <v>126457.27239999999</v>
      </c>
      <c r="G20" s="20">
        <f t="shared" si="0"/>
        <v>123133.12127999999</v>
      </c>
      <c r="H20" s="21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26"/>
      <c r="E21" s="24">
        <f>E19*16.4/100</f>
        <v>58702.999679999994</v>
      </c>
      <c r="F21" s="33">
        <f>F19*16.4%</f>
        <v>60287.76939999999</v>
      </c>
      <c r="G21" s="19">
        <f t="shared" si="0"/>
        <v>58702.999679999994</v>
      </c>
      <c r="H21" s="26"/>
      <c r="I21" s="26"/>
    </row>
    <row r="22" spans="1:9" x14ac:dyDescent="0.25">
      <c r="A22" s="22" t="s">
        <v>40</v>
      </c>
      <c r="B22" s="5" t="s">
        <v>41</v>
      </c>
      <c r="C22" s="54">
        <v>1.81</v>
      </c>
      <c r="D22" s="33"/>
      <c r="E22" s="24">
        <f>E19*20.2%</f>
        <v>72304.914239999998</v>
      </c>
      <c r="F22" s="33">
        <f>F19*20.2%</f>
        <v>74256.886699999988</v>
      </c>
      <c r="G22" s="25">
        <f t="shared" si="0"/>
        <v>72304.914239999998</v>
      </c>
      <c r="H22" s="33"/>
      <c r="I22" s="33"/>
    </row>
    <row r="23" spans="1:9" x14ac:dyDescent="0.25">
      <c r="A23" s="22" t="s">
        <v>42</v>
      </c>
      <c r="B23" s="5" t="s">
        <v>43</v>
      </c>
      <c r="C23" s="54">
        <v>2.6</v>
      </c>
      <c r="D23" s="30"/>
      <c r="E23" s="28">
        <f>E19*29%</f>
        <v>103804.0848</v>
      </c>
      <c r="F23" s="30">
        <f>F19*29%</f>
        <v>106606.42149999998</v>
      </c>
      <c r="G23" s="28">
        <f t="shared" si="0"/>
        <v>103804.0848</v>
      </c>
      <c r="H23" s="30"/>
      <c r="I23" s="30"/>
    </row>
    <row r="24" spans="1:9" x14ac:dyDescent="0.25">
      <c r="A24" s="22" t="s">
        <v>44</v>
      </c>
      <c r="B24" s="5" t="s">
        <v>45</v>
      </c>
      <c r="C24" s="54">
        <v>1755.25</v>
      </c>
      <c r="D24" s="30">
        <v>1085.6199999999999</v>
      </c>
      <c r="E24" s="28">
        <v>12403.62</v>
      </c>
      <c r="F24" s="30">
        <v>12388.32</v>
      </c>
      <c r="G24" s="28">
        <f>E24</f>
        <v>12403.62</v>
      </c>
      <c r="H24" s="30">
        <f>D24+F24-G24</f>
        <v>1070.3199999999979</v>
      </c>
      <c r="I24" s="30"/>
    </row>
    <row r="25" spans="1:9" x14ac:dyDescent="0.25">
      <c r="A25" s="22" t="s">
        <v>46</v>
      </c>
      <c r="B25" s="5" t="s">
        <v>47</v>
      </c>
      <c r="C25" s="159" t="s">
        <v>48</v>
      </c>
      <c r="D25" s="30">
        <v>-3975.92</v>
      </c>
      <c r="E25" s="28">
        <v>32128.86</v>
      </c>
      <c r="F25" s="30">
        <v>32340.33</v>
      </c>
      <c r="G25" s="28">
        <v>32128.86</v>
      </c>
      <c r="H25" s="30">
        <f>D25+F25-G25</f>
        <v>-3764.4499999999971</v>
      </c>
      <c r="I25" s="38">
        <f>H25</f>
        <v>-3764.4499999999971</v>
      </c>
    </row>
    <row r="26" spans="1:9" x14ac:dyDescent="0.25">
      <c r="A26" s="10" t="s">
        <v>49</v>
      </c>
      <c r="B26" s="10" t="s">
        <v>50</v>
      </c>
      <c r="C26" s="35">
        <v>4.5999999999999996</v>
      </c>
      <c r="D26" s="10">
        <v>-16841.7</v>
      </c>
      <c r="E26" s="10">
        <v>183766.32</v>
      </c>
      <c r="F26" s="10">
        <v>184538.92</v>
      </c>
      <c r="G26" s="35">
        <f t="shared" si="0"/>
        <v>183766.32</v>
      </c>
      <c r="H26" s="10">
        <f>D26+F26-G26</f>
        <v>-16069.100000000006</v>
      </c>
      <c r="I26" s="10">
        <f>H26</f>
        <v>-16069.100000000006</v>
      </c>
    </row>
    <row r="27" spans="1:9" x14ac:dyDescent="0.25">
      <c r="A27" s="11" t="s">
        <v>51</v>
      </c>
      <c r="B27" s="11" t="s">
        <v>310</v>
      </c>
      <c r="C27" s="13">
        <v>1.82</v>
      </c>
      <c r="D27" s="11">
        <v>67944.740000000005</v>
      </c>
      <c r="E27" s="13">
        <v>72707.759999999995</v>
      </c>
      <c r="F27" s="11">
        <f>F28+F29</f>
        <v>74203.39</v>
      </c>
      <c r="G27" s="13">
        <f>I55</f>
        <v>18453</v>
      </c>
      <c r="H27" s="11">
        <f>D27+F27-G27</f>
        <v>123695.13</v>
      </c>
      <c r="I27" s="11"/>
    </row>
    <row r="28" spans="1:9" x14ac:dyDescent="0.25">
      <c r="A28" s="10"/>
      <c r="B28" s="8" t="s">
        <v>398</v>
      </c>
      <c r="C28" s="35"/>
      <c r="D28" s="10"/>
      <c r="E28" s="35"/>
      <c r="F28" s="10">
        <v>73734.91</v>
      </c>
      <c r="G28" s="35"/>
      <c r="H28" s="10"/>
      <c r="I28" s="10"/>
    </row>
    <row r="29" spans="1:9" x14ac:dyDescent="0.25">
      <c r="A29" s="10"/>
      <c r="B29" s="7" t="s">
        <v>1130</v>
      </c>
      <c r="C29" s="10"/>
      <c r="D29" s="10"/>
      <c r="E29" s="35"/>
      <c r="F29" s="10">
        <v>468.48</v>
      </c>
      <c r="G29" s="35"/>
      <c r="H29" s="10"/>
      <c r="I29" s="10"/>
    </row>
    <row r="30" spans="1:9" x14ac:dyDescent="0.25">
      <c r="A30" s="1"/>
      <c r="B30" s="2"/>
      <c r="C30" s="2"/>
      <c r="E30" s="2"/>
      <c r="F30" s="2"/>
      <c r="G30" s="2"/>
      <c r="H30" s="2"/>
      <c r="I30" s="2"/>
    </row>
    <row r="31" spans="1:9" x14ac:dyDescent="0.25">
      <c r="A31" s="63" t="s">
        <v>60</v>
      </c>
      <c r="B31" s="54" t="s">
        <v>61</v>
      </c>
      <c r="C31" s="5" t="s">
        <v>65</v>
      </c>
      <c r="D31" s="47" t="s">
        <v>63</v>
      </c>
      <c r="E31" s="54" t="s">
        <v>64</v>
      </c>
      <c r="F31" s="5" t="s">
        <v>65</v>
      </c>
      <c r="G31" s="5"/>
      <c r="H31" s="54" t="s">
        <v>195</v>
      </c>
      <c r="I31" s="47"/>
    </row>
    <row r="32" spans="1:9" x14ac:dyDescent="0.25">
      <c r="A32" s="6"/>
      <c r="B32" s="43"/>
      <c r="C32" s="17" t="s">
        <v>67</v>
      </c>
      <c r="D32" s="51" t="s">
        <v>23</v>
      </c>
      <c r="E32" s="61" t="s">
        <v>312</v>
      </c>
      <c r="F32" s="17" t="s">
        <v>30</v>
      </c>
      <c r="G32" s="17"/>
      <c r="H32" s="61"/>
      <c r="I32" s="51"/>
    </row>
    <row r="33" spans="1:9" x14ac:dyDescent="0.25">
      <c r="A33" s="11"/>
      <c r="B33" s="61" t="s">
        <v>69</v>
      </c>
      <c r="C33" s="30">
        <v>15620.55</v>
      </c>
      <c r="D33" s="8">
        <v>6000</v>
      </c>
      <c r="E33" s="162">
        <f>D33*15%</f>
        <v>900</v>
      </c>
      <c r="F33" s="21">
        <f>C33+(D33-E33)</f>
        <v>20720.55</v>
      </c>
      <c r="G33" s="21"/>
      <c r="H33" s="162">
        <f>F33</f>
        <v>20720.55</v>
      </c>
      <c r="I33" s="51"/>
    </row>
    <row r="34" spans="1:9" x14ac:dyDescent="0.25">
      <c r="A34" s="4"/>
      <c r="B34" s="43"/>
      <c r="C34" s="19"/>
      <c r="D34" s="43"/>
      <c r="E34" s="19"/>
      <c r="F34" s="19"/>
      <c r="G34" s="19"/>
      <c r="H34" s="19"/>
      <c r="I34" s="43"/>
    </row>
    <row r="35" spans="1:9" x14ac:dyDescent="0.25">
      <c r="A35" s="1" t="s">
        <v>248</v>
      </c>
      <c r="B35" s="43"/>
      <c r="C35" s="43"/>
      <c r="D35" s="43"/>
      <c r="E35" s="43"/>
      <c r="F35" s="19"/>
      <c r="G35" s="43"/>
      <c r="H35" s="19"/>
      <c r="I35" s="43"/>
    </row>
    <row r="36" spans="1:9" x14ac:dyDescent="0.25">
      <c r="A36" s="5" t="s">
        <v>72</v>
      </c>
      <c r="B36" s="53" t="s">
        <v>73</v>
      </c>
      <c r="C36" s="5" t="s">
        <v>74</v>
      </c>
      <c r="D36" s="54" t="s">
        <v>75</v>
      </c>
      <c r="E36" s="5" t="s">
        <v>76</v>
      </c>
      <c r="F36" s="54" t="s">
        <v>77</v>
      </c>
      <c r="G36" s="5" t="s">
        <v>78</v>
      </c>
      <c r="H36" s="5" t="s">
        <v>79</v>
      </c>
      <c r="I36" s="5" t="s">
        <v>19</v>
      </c>
    </row>
    <row r="37" spans="1:9" x14ac:dyDescent="0.25">
      <c r="A37" s="6"/>
      <c r="B37" s="55" t="s">
        <v>80</v>
      </c>
      <c r="C37" s="6" t="s">
        <v>81</v>
      </c>
      <c r="D37" s="43" t="s">
        <v>82</v>
      </c>
      <c r="E37" s="6" t="s">
        <v>83</v>
      </c>
      <c r="F37" s="43" t="s">
        <v>84</v>
      </c>
      <c r="G37" s="6" t="s">
        <v>85</v>
      </c>
      <c r="H37" s="6" t="s">
        <v>86</v>
      </c>
      <c r="I37" s="6" t="s">
        <v>87</v>
      </c>
    </row>
    <row r="38" spans="1:9" x14ac:dyDescent="0.25">
      <c r="A38" s="6"/>
      <c r="B38" s="49"/>
      <c r="C38" s="6"/>
      <c r="D38" s="43"/>
      <c r="E38" s="6"/>
      <c r="F38" s="43" t="s">
        <v>88</v>
      </c>
      <c r="G38" s="17" t="s">
        <v>89</v>
      </c>
      <c r="H38" s="17"/>
      <c r="I38" s="6" t="s">
        <v>30</v>
      </c>
    </row>
    <row r="39" spans="1:9" x14ac:dyDescent="0.25">
      <c r="A39" s="5">
        <v>1</v>
      </c>
      <c r="B39" s="5" t="s">
        <v>91</v>
      </c>
      <c r="C39" s="159" t="s">
        <v>92</v>
      </c>
      <c r="D39" s="5">
        <v>-39563.410000000003</v>
      </c>
      <c r="E39" s="329">
        <v>329664.55</v>
      </c>
      <c r="F39" s="5">
        <v>328507.46999999997</v>
      </c>
      <c r="G39" s="188">
        <f>E39</f>
        <v>329664.55</v>
      </c>
      <c r="H39" s="6">
        <f>D39+F39-G39</f>
        <v>-40720.490000000049</v>
      </c>
      <c r="I39" s="5">
        <f>H39</f>
        <v>-40720.490000000049</v>
      </c>
    </row>
    <row r="40" spans="1:9" x14ac:dyDescent="0.25">
      <c r="A40" s="8"/>
      <c r="B40" s="8" t="s">
        <v>93</v>
      </c>
      <c r="C40" s="35" t="s">
        <v>94</v>
      </c>
      <c r="D40" s="8"/>
      <c r="E40" s="59"/>
      <c r="F40" s="8"/>
      <c r="G40" s="59"/>
      <c r="H40" s="8"/>
      <c r="I40" s="8"/>
    </row>
    <row r="41" spans="1:9" x14ac:dyDescent="0.25">
      <c r="A41" s="6">
        <v>2</v>
      </c>
      <c r="B41" s="6" t="s">
        <v>160</v>
      </c>
      <c r="C41" s="39" t="s">
        <v>658</v>
      </c>
      <c r="D41" s="6">
        <v>-122437.21</v>
      </c>
      <c r="E41" s="2">
        <v>506418.46</v>
      </c>
      <c r="F41" s="6">
        <v>503818.62</v>
      </c>
      <c r="G41" s="2">
        <f>E41</f>
        <v>506418.46</v>
      </c>
      <c r="H41" s="6">
        <f>D41+F41-G41</f>
        <v>-125037.05000000005</v>
      </c>
      <c r="I41" s="6">
        <f>H41</f>
        <v>-125037.05000000005</v>
      </c>
    </row>
    <row r="42" spans="1:9" x14ac:dyDescent="0.25">
      <c r="A42" s="8"/>
      <c r="B42" s="8" t="s">
        <v>198</v>
      </c>
      <c r="C42" s="35" t="s">
        <v>94</v>
      </c>
      <c r="D42" s="8"/>
      <c r="E42" s="9"/>
      <c r="F42" s="8"/>
      <c r="G42" s="9"/>
      <c r="H42" s="8"/>
      <c r="I42" s="8"/>
    </row>
    <row r="43" spans="1:9" x14ac:dyDescent="0.25">
      <c r="A43" s="8">
        <v>3</v>
      </c>
      <c r="B43" s="8" t="s">
        <v>99</v>
      </c>
      <c r="C43" s="35" t="s">
        <v>100</v>
      </c>
      <c r="D43" s="8">
        <v>-290502.11</v>
      </c>
      <c r="E43" s="9">
        <v>1009235.67</v>
      </c>
      <c r="F43" s="8">
        <v>980284.89</v>
      </c>
      <c r="G43" s="9">
        <f>E43</f>
        <v>1009235.67</v>
      </c>
      <c r="H43" s="8">
        <f>D43+F43-G43</f>
        <v>-319452.89</v>
      </c>
      <c r="I43" s="8">
        <f>H43</f>
        <v>-319452.89</v>
      </c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1" t="s">
        <v>1110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1131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6" t="s">
        <v>12</v>
      </c>
      <c r="B47" s="5" t="s">
        <v>103</v>
      </c>
      <c r="C47" s="46" t="s">
        <v>104</v>
      </c>
      <c r="D47" s="54"/>
      <c r="E47" s="54"/>
      <c r="F47" s="54"/>
      <c r="G47" s="5" t="s">
        <v>105</v>
      </c>
      <c r="H47" s="47" t="s">
        <v>106</v>
      </c>
      <c r="I47" s="47" t="s">
        <v>107</v>
      </c>
    </row>
    <row r="48" spans="1:9" x14ac:dyDescent="0.25">
      <c r="A48" s="49" t="s">
        <v>108</v>
      </c>
      <c r="B48" s="6"/>
      <c r="C48" s="49"/>
      <c r="D48" s="43"/>
      <c r="E48" s="43"/>
      <c r="F48" s="43"/>
      <c r="G48" s="6"/>
      <c r="H48" s="56"/>
      <c r="I48" s="56" t="s">
        <v>109</v>
      </c>
    </row>
    <row r="49" spans="1:9" x14ac:dyDescent="0.25">
      <c r="A49" s="49"/>
      <c r="B49" s="6"/>
      <c r="C49" s="49"/>
      <c r="D49" s="43"/>
      <c r="E49" s="43"/>
      <c r="F49" s="43"/>
      <c r="G49" s="6"/>
      <c r="H49" s="56"/>
      <c r="I49" s="56"/>
    </row>
    <row r="50" spans="1:9" x14ac:dyDescent="0.25">
      <c r="A50" s="62"/>
      <c r="B50" s="63"/>
      <c r="C50" s="53" t="s">
        <v>110</v>
      </c>
      <c r="D50" s="159"/>
      <c r="E50" s="159"/>
      <c r="F50" s="54"/>
      <c r="G50" s="5"/>
      <c r="H50" s="47"/>
      <c r="I50" s="47"/>
    </row>
    <row r="51" spans="1:9" x14ac:dyDescent="0.25">
      <c r="A51" s="64"/>
      <c r="B51" s="6"/>
      <c r="C51" s="49" t="s">
        <v>166</v>
      </c>
      <c r="D51" s="43"/>
      <c r="E51" s="43"/>
      <c r="F51" s="43"/>
      <c r="G51" s="26"/>
      <c r="H51" s="56"/>
      <c r="I51" s="56"/>
    </row>
    <row r="52" spans="1:9" x14ac:dyDescent="0.25">
      <c r="A52" s="64" t="s">
        <v>111</v>
      </c>
      <c r="B52" s="65">
        <v>43123</v>
      </c>
      <c r="C52" s="49" t="s">
        <v>1132</v>
      </c>
      <c r="D52" s="43"/>
      <c r="E52" s="43"/>
      <c r="F52" s="43"/>
      <c r="G52" s="26" t="s">
        <v>205</v>
      </c>
      <c r="H52" s="56">
        <v>1</v>
      </c>
      <c r="I52" s="56">
        <v>2053</v>
      </c>
    </row>
    <row r="53" spans="1:9" x14ac:dyDescent="0.25">
      <c r="A53" s="236" t="s">
        <v>114</v>
      </c>
      <c r="B53" s="65">
        <v>43404</v>
      </c>
      <c r="C53" s="49" t="s">
        <v>112</v>
      </c>
      <c r="D53" s="43"/>
      <c r="E53" s="43"/>
      <c r="F53" s="43"/>
      <c r="G53" s="26" t="s">
        <v>116</v>
      </c>
      <c r="H53" s="56">
        <v>82</v>
      </c>
      <c r="I53" s="56">
        <v>16400</v>
      </c>
    </row>
    <row r="54" spans="1:9" x14ac:dyDescent="0.25">
      <c r="A54" s="236"/>
      <c r="B54" s="65"/>
      <c r="C54" s="49"/>
      <c r="D54" s="43"/>
      <c r="E54" s="43"/>
      <c r="F54" s="43"/>
      <c r="G54" s="26"/>
      <c r="H54" s="56"/>
      <c r="I54" s="56"/>
    </row>
    <row r="55" spans="1:9" x14ac:dyDescent="0.25">
      <c r="A55" s="66"/>
      <c r="B55" s="17"/>
      <c r="C55" s="14" t="s">
        <v>117</v>
      </c>
      <c r="D55" s="13"/>
      <c r="E55" s="13"/>
      <c r="F55" s="13"/>
      <c r="G55" s="16"/>
      <c r="H55" s="67"/>
      <c r="I55" s="67">
        <f>SUM(I52:I54)</f>
        <v>18453</v>
      </c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 t="s">
        <v>1133</v>
      </c>
      <c r="B57" s="2"/>
      <c r="C57" s="2" t="s">
        <v>1134</v>
      </c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</sheetData>
  <pageMargins left="0.7" right="0.7" top="0.75" bottom="0.75" header="0.3" footer="0.3"/>
  <pageSetup paperSize="9"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25" workbookViewId="0">
      <selection activeCell="A49" sqref="A49"/>
    </sheetView>
  </sheetViews>
  <sheetFormatPr defaultRowHeight="15" x14ac:dyDescent="0.25"/>
  <cols>
    <col min="1" max="1" width="5.85546875" customWidth="1"/>
    <col min="2" max="2" width="33.28515625" customWidth="1"/>
    <col min="3" max="3" width="14" customWidth="1"/>
    <col min="5" max="5" width="10.85546875" customWidth="1"/>
    <col min="6" max="6" width="11.42578125" customWidth="1"/>
    <col min="8" max="8" width="12.42578125" customWidth="1"/>
    <col min="9" max="9" width="20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58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368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1135</v>
      </c>
      <c r="B6" s="1"/>
      <c r="C6" s="1"/>
      <c r="D6" s="2"/>
      <c r="E6" s="2"/>
      <c r="F6" s="2"/>
      <c r="G6" s="2"/>
      <c r="H6" s="2"/>
      <c r="I6" s="2"/>
    </row>
    <row r="7" spans="1:9" x14ac:dyDescent="0.25">
      <c r="A7" s="2" t="s">
        <v>1136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1137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1138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30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948</v>
      </c>
      <c r="C18" s="13">
        <v>8.9600000000000009</v>
      </c>
      <c r="D18" s="16">
        <v>10882.17</v>
      </c>
      <c r="E18" s="13">
        <v>289046.40000000002</v>
      </c>
      <c r="F18" s="11">
        <v>288171.48</v>
      </c>
      <c r="G18" s="15">
        <f t="shared" ref="G18:G24" si="0">E18</f>
        <v>289046.40000000002</v>
      </c>
      <c r="H18" s="16">
        <f>D18+F18-G18</f>
        <v>10007.249999999942</v>
      </c>
      <c r="I18" s="16"/>
    </row>
    <row r="19" spans="1:9" x14ac:dyDescent="0.25">
      <c r="A19" s="6" t="s">
        <v>36</v>
      </c>
      <c r="B19" s="17" t="s">
        <v>37</v>
      </c>
      <c r="C19" s="61">
        <v>3.08</v>
      </c>
      <c r="D19" s="26"/>
      <c r="E19" s="162">
        <f>E18*34.4%</f>
        <v>99431.961599999995</v>
      </c>
      <c r="F19" s="21">
        <f>F18*34.4/100</f>
        <v>99130.989119999984</v>
      </c>
      <c r="G19" s="19">
        <f t="shared" si="0"/>
        <v>99431.961599999995</v>
      </c>
      <c r="H19" s="26"/>
      <c r="I19" s="26"/>
    </row>
    <row r="20" spans="1:9" x14ac:dyDescent="0.25">
      <c r="A20" s="22" t="s">
        <v>38</v>
      </c>
      <c r="B20" s="329" t="s">
        <v>39</v>
      </c>
      <c r="C20" s="54">
        <v>1.47</v>
      </c>
      <c r="D20" s="33"/>
      <c r="E20" s="24">
        <f>E18*16.4/100</f>
        <v>47403.609599999996</v>
      </c>
      <c r="F20" s="33">
        <f>F18*16.4/100</f>
        <v>47260.122719999992</v>
      </c>
      <c r="G20" s="25">
        <f t="shared" si="0"/>
        <v>47403.609599999996</v>
      </c>
      <c r="H20" s="33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0"/>
      <c r="E21" s="24">
        <f>E18*20.2/100</f>
        <v>58387.372800000005</v>
      </c>
      <c r="F21" s="33">
        <f>F18*20.2/100</f>
        <v>58210.638959999997</v>
      </c>
      <c r="G21" s="29">
        <f t="shared" si="0"/>
        <v>58387.372800000005</v>
      </c>
      <c r="H21" s="30"/>
      <c r="I21" s="30"/>
    </row>
    <row r="22" spans="1:9" x14ac:dyDescent="0.25">
      <c r="A22" s="22" t="s">
        <v>42</v>
      </c>
      <c r="B22" s="5" t="s">
        <v>43</v>
      </c>
      <c r="C22" s="54">
        <v>2.6</v>
      </c>
      <c r="D22" s="33"/>
      <c r="E22" s="24">
        <f>E18*29/100</f>
        <v>83823.456000000006</v>
      </c>
      <c r="F22" s="33">
        <f>F18*29/100</f>
        <v>83569.729200000002</v>
      </c>
      <c r="G22" s="25">
        <f t="shared" si="0"/>
        <v>83823.456000000006</v>
      </c>
      <c r="H22" s="33"/>
      <c r="I22" s="33"/>
    </row>
    <row r="23" spans="1:9" x14ac:dyDescent="0.25">
      <c r="A23" s="22" t="s">
        <v>44</v>
      </c>
      <c r="B23" s="5" t="s">
        <v>47</v>
      </c>
      <c r="C23" s="159" t="s">
        <v>48</v>
      </c>
      <c r="D23" s="33">
        <v>-2343.0500000000002</v>
      </c>
      <c r="E23" s="9">
        <v>25645.5</v>
      </c>
      <c r="F23" s="8">
        <v>25383.67</v>
      </c>
      <c r="G23" s="9">
        <f>E23</f>
        <v>25645.5</v>
      </c>
      <c r="H23" s="30">
        <f>D23+F23-E23</f>
        <v>-2604.880000000001</v>
      </c>
      <c r="I23" s="10">
        <f>H23</f>
        <v>-2604.880000000001</v>
      </c>
    </row>
    <row r="24" spans="1:9" x14ac:dyDescent="0.25">
      <c r="A24" s="10" t="s">
        <v>49</v>
      </c>
      <c r="B24" s="10" t="s">
        <v>50</v>
      </c>
      <c r="C24" s="35">
        <v>4.5999999999999996</v>
      </c>
      <c r="D24" s="10">
        <v>-6904.37</v>
      </c>
      <c r="E24" s="42">
        <v>148394.16</v>
      </c>
      <c r="F24" s="10">
        <v>148703.47</v>
      </c>
      <c r="G24" s="35">
        <f t="shared" si="0"/>
        <v>148394.16</v>
      </c>
      <c r="H24" s="10">
        <f>D24+F24-G24</f>
        <v>-6595.0599999999977</v>
      </c>
      <c r="I24" s="10">
        <f>H24</f>
        <v>-6595.0599999999977</v>
      </c>
    </row>
    <row r="25" spans="1:9" x14ac:dyDescent="0.25">
      <c r="A25" s="11" t="s">
        <v>51</v>
      </c>
      <c r="B25" s="11" t="s">
        <v>192</v>
      </c>
      <c r="C25" s="13">
        <v>1.82</v>
      </c>
      <c r="D25" s="11">
        <v>283376.21000000002</v>
      </c>
      <c r="E25" s="13">
        <v>58712.52</v>
      </c>
      <c r="F25" s="11">
        <f>F26+F27+F28</f>
        <v>254894.47</v>
      </c>
      <c r="G25" s="14">
        <f>G26</f>
        <v>209417.45</v>
      </c>
      <c r="H25" s="11">
        <f>D25+F25-G25</f>
        <v>328853.23000000004</v>
      </c>
      <c r="I25" s="11"/>
    </row>
    <row r="26" spans="1:9" x14ac:dyDescent="0.25">
      <c r="A26" s="39"/>
      <c r="B26" s="8" t="s">
        <v>398</v>
      </c>
      <c r="C26" s="4"/>
      <c r="D26" s="39"/>
      <c r="E26" s="13">
        <v>0</v>
      </c>
      <c r="F26" s="11">
        <v>59461.72</v>
      </c>
      <c r="G26" s="4">
        <f>I63</f>
        <v>209417.45</v>
      </c>
      <c r="H26" s="39"/>
      <c r="I26" s="39"/>
    </row>
    <row r="27" spans="1:9" x14ac:dyDescent="0.25">
      <c r="A27" s="10"/>
      <c r="B27" s="8" t="s">
        <v>54</v>
      </c>
      <c r="C27" s="36"/>
      <c r="D27" s="10"/>
      <c r="E27" s="35"/>
      <c r="F27" s="10">
        <v>1677.16</v>
      </c>
      <c r="G27" s="35"/>
      <c r="H27" s="10"/>
      <c r="I27" s="10"/>
    </row>
    <row r="28" spans="1:9" x14ac:dyDescent="0.25">
      <c r="A28" s="10"/>
      <c r="B28" s="8" t="s">
        <v>58</v>
      </c>
      <c r="C28" s="35"/>
      <c r="D28" s="10"/>
      <c r="E28" s="35"/>
      <c r="F28" s="10">
        <v>193755.59</v>
      </c>
      <c r="G28" s="35"/>
      <c r="H28" s="10"/>
      <c r="I28" s="10"/>
    </row>
    <row r="29" spans="1:9" x14ac:dyDescent="0.25">
      <c r="A29" s="10" t="s">
        <v>56</v>
      </c>
      <c r="B29" s="10" t="s">
        <v>1139</v>
      </c>
      <c r="C29" s="35">
        <v>0</v>
      </c>
      <c r="D29" s="10">
        <v>193413.44</v>
      </c>
      <c r="E29" s="35">
        <f>E30</f>
        <v>0</v>
      </c>
      <c r="F29" s="10">
        <v>-193755.59</v>
      </c>
      <c r="G29" s="35">
        <v>0</v>
      </c>
      <c r="H29" s="10"/>
      <c r="I29" s="10"/>
    </row>
    <row r="30" spans="1:9" x14ac:dyDescent="0.25">
      <c r="A30" s="8"/>
      <c r="B30" s="8" t="s">
        <v>398</v>
      </c>
      <c r="C30" s="9"/>
      <c r="D30" s="10"/>
      <c r="E30" s="35">
        <v>0</v>
      </c>
      <c r="F30" s="10">
        <v>342.15</v>
      </c>
      <c r="G30" s="35">
        <f>I65</f>
        <v>0</v>
      </c>
      <c r="H30" s="10"/>
      <c r="I30" s="8"/>
    </row>
    <row r="31" spans="1:9" x14ac:dyDescent="0.25">
      <c r="A31" s="8"/>
      <c r="B31" s="8" t="s">
        <v>58</v>
      </c>
      <c r="C31" s="9"/>
      <c r="D31" s="8"/>
      <c r="E31" s="9">
        <v>0</v>
      </c>
      <c r="F31" s="8">
        <f>D29+F30</f>
        <v>193755.59</v>
      </c>
      <c r="G31" s="9">
        <v>0</v>
      </c>
      <c r="H31" s="8"/>
      <c r="I31" s="8"/>
    </row>
    <row r="32" spans="1:9" x14ac:dyDescent="0.25">
      <c r="A32" s="1" t="s">
        <v>59</v>
      </c>
      <c r="B32" s="2"/>
      <c r="C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E33" s="2"/>
      <c r="F33" s="2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 t="s">
        <v>151</v>
      </c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9140.5499999999993</v>
      </c>
      <c r="D36" s="8">
        <v>2400</v>
      </c>
      <c r="E36" s="162">
        <f>D36*15%</f>
        <v>360</v>
      </c>
      <c r="F36" s="21">
        <f>C36+(D36-E36)</f>
        <v>11180.55</v>
      </c>
      <c r="G36" s="21"/>
      <c r="H36" s="162">
        <f>F36-G36</f>
        <v>11180.55</v>
      </c>
      <c r="I36" s="51"/>
    </row>
    <row r="37" spans="1:9" x14ac:dyDescent="0.25">
      <c r="A37" s="1" t="s">
        <v>248</v>
      </c>
      <c r="B37" s="43"/>
      <c r="C37" s="19"/>
      <c r="D37" s="43"/>
      <c r="E37" s="43"/>
      <c r="F37" s="19"/>
      <c r="G37" s="43"/>
      <c r="H37" s="19"/>
      <c r="I37" s="43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5" t="s">
        <v>72</v>
      </c>
      <c r="B39" s="53" t="s">
        <v>73</v>
      </c>
      <c r="C39" s="5" t="s">
        <v>74</v>
      </c>
      <c r="D39" s="54" t="s">
        <v>75</v>
      </c>
      <c r="E39" s="5" t="s">
        <v>76</v>
      </c>
      <c r="F39" s="54" t="s">
        <v>77</v>
      </c>
      <c r="G39" s="5" t="s">
        <v>78</v>
      </c>
      <c r="H39" s="54" t="s">
        <v>79</v>
      </c>
      <c r="I39" s="5" t="s">
        <v>19</v>
      </c>
    </row>
    <row r="40" spans="1:9" x14ac:dyDescent="0.25">
      <c r="A40" s="6"/>
      <c r="B40" s="55" t="s">
        <v>80</v>
      </c>
      <c r="C40" s="6" t="s">
        <v>81</v>
      </c>
      <c r="D40" s="43" t="s">
        <v>230</v>
      </c>
      <c r="E40" s="6" t="s">
        <v>83</v>
      </c>
      <c r="F40" s="43" t="s">
        <v>84</v>
      </c>
      <c r="G40" s="6" t="s">
        <v>85</v>
      </c>
      <c r="H40" s="43" t="s">
        <v>86</v>
      </c>
      <c r="I40" s="6" t="s">
        <v>87</v>
      </c>
    </row>
    <row r="41" spans="1:9" x14ac:dyDescent="0.25">
      <c r="A41" s="6"/>
      <c r="B41" s="49"/>
      <c r="C41" s="6"/>
      <c r="D41" s="43" t="s">
        <v>33</v>
      </c>
      <c r="E41" s="6"/>
      <c r="F41" s="43" t="s">
        <v>88</v>
      </c>
      <c r="G41" s="6" t="s">
        <v>89</v>
      </c>
      <c r="H41" s="43"/>
      <c r="I41" s="6" t="s">
        <v>30</v>
      </c>
    </row>
    <row r="42" spans="1:9" x14ac:dyDescent="0.25">
      <c r="A42" s="8"/>
      <c r="B42" s="7"/>
      <c r="C42" s="8"/>
      <c r="D42" s="8"/>
      <c r="E42" s="9"/>
      <c r="F42" s="8"/>
      <c r="G42" s="9"/>
      <c r="H42" s="8"/>
      <c r="I42" s="8"/>
    </row>
    <row r="43" spans="1:9" x14ac:dyDescent="0.25">
      <c r="A43" s="8">
        <v>1</v>
      </c>
      <c r="B43" s="8" t="s">
        <v>91</v>
      </c>
      <c r="C43" s="35" t="s">
        <v>92</v>
      </c>
      <c r="D43" s="8">
        <v>-2433.89</v>
      </c>
      <c r="E43" s="59">
        <v>194817.74</v>
      </c>
      <c r="F43" s="8">
        <v>200208.68</v>
      </c>
      <c r="G43" s="59">
        <f>E43</f>
        <v>194817.74</v>
      </c>
      <c r="H43" s="8">
        <f>D43+F43-G43</f>
        <v>2957.0499999999884</v>
      </c>
      <c r="I43" s="8"/>
    </row>
    <row r="44" spans="1:9" x14ac:dyDescent="0.25">
      <c r="A44" s="8"/>
      <c r="B44" s="8" t="s">
        <v>93</v>
      </c>
      <c r="C44" s="35" t="s">
        <v>94</v>
      </c>
      <c r="D44" s="8"/>
      <c r="E44" s="59"/>
      <c r="F44" s="8"/>
      <c r="G44" s="59"/>
      <c r="H44" s="8"/>
      <c r="I44" s="8"/>
    </row>
    <row r="45" spans="1:9" x14ac:dyDescent="0.25">
      <c r="A45" s="6">
        <v>2</v>
      </c>
      <c r="B45" s="6" t="s">
        <v>95</v>
      </c>
      <c r="C45" s="1" t="s">
        <v>96</v>
      </c>
      <c r="D45" s="6">
        <v>17185.62</v>
      </c>
      <c r="E45" s="2">
        <v>323800.90000000002</v>
      </c>
      <c r="F45" s="6">
        <v>342007.67</v>
      </c>
      <c r="G45" s="2">
        <f>E45</f>
        <v>323800.90000000002</v>
      </c>
      <c r="H45" s="6">
        <f>D45+F45-G45</f>
        <v>35392.389999999956</v>
      </c>
      <c r="I45" s="6"/>
    </row>
    <row r="46" spans="1:9" x14ac:dyDescent="0.25">
      <c r="A46" s="8"/>
      <c r="B46" s="8" t="s">
        <v>97</v>
      </c>
      <c r="C46" s="35"/>
      <c r="D46" s="8"/>
      <c r="E46" s="9"/>
      <c r="F46" s="8"/>
      <c r="G46" s="9"/>
      <c r="H46" s="8"/>
      <c r="I46" s="8"/>
    </row>
    <row r="47" spans="1:9" x14ac:dyDescent="0.25">
      <c r="A47" s="8"/>
      <c r="B47" s="8" t="s">
        <v>313</v>
      </c>
      <c r="C47" s="35" t="s">
        <v>94</v>
      </c>
      <c r="D47" s="8"/>
      <c r="E47" s="9"/>
      <c r="F47" s="8"/>
      <c r="G47" s="9"/>
      <c r="H47" s="8"/>
      <c r="I47" s="8"/>
    </row>
    <row r="48" spans="1:9" x14ac:dyDescent="0.25">
      <c r="A48" s="8">
        <v>3</v>
      </c>
      <c r="B48" s="8" t="s">
        <v>99</v>
      </c>
      <c r="C48" s="35" t="s">
        <v>100</v>
      </c>
      <c r="D48" s="8">
        <v>-180888.63</v>
      </c>
      <c r="E48" s="9">
        <v>971774.68</v>
      </c>
      <c r="F48" s="8">
        <v>962716.48</v>
      </c>
      <c r="G48" s="9">
        <f>E48</f>
        <v>971774.68</v>
      </c>
      <c r="H48" s="8">
        <f>D48+F48-G48</f>
        <v>-189946.83000000007</v>
      </c>
      <c r="I48" s="8">
        <f>H48</f>
        <v>-189946.83000000007</v>
      </c>
    </row>
    <row r="49" spans="1:9" x14ac:dyDescent="0.25">
      <c r="A49" s="1" t="s">
        <v>1110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" t="s">
        <v>1140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6" t="s">
        <v>12</v>
      </c>
      <c r="B51" s="5" t="s">
        <v>103</v>
      </c>
      <c r="C51" s="46" t="s">
        <v>104</v>
      </c>
      <c r="D51" s="54"/>
      <c r="E51" s="54"/>
      <c r="F51" s="47"/>
      <c r="G51" s="46" t="s">
        <v>105</v>
      </c>
      <c r="H51" s="5" t="s">
        <v>106</v>
      </c>
      <c r="I51" s="47" t="s">
        <v>107</v>
      </c>
    </row>
    <row r="52" spans="1:9" x14ac:dyDescent="0.25">
      <c r="A52" s="49" t="s">
        <v>108</v>
      </c>
      <c r="B52" s="6"/>
      <c r="C52" s="49"/>
      <c r="D52" s="43"/>
      <c r="E52" s="43"/>
      <c r="F52" s="56"/>
      <c r="G52" s="49"/>
      <c r="H52" s="6"/>
      <c r="I52" s="56" t="s">
        <v>109</v>
      </c>
    </row>
    <row r="53" spans="1:9" x14ac:dyDescent="0.25">
      <c r="A53" s="50"/>
      <c r="B53" s="17"/>
      <c r="C53" s="50"/>
      <c r="D53" s="61"/>
      <c r="E53" s="61"/>
      <c r="F53" s="51"/>
      <c r="G53" s="50"/>
      <c r="H53" s="17"/>
      <c r="I53" s="51"/>
    </row>
    <row r="54" spans="1:9" x14ac:dyDescent="0.25">
      <c r="A54" s="64" t="s">
        <v>111</v>
      </c>
      <c r="B54" s="65">
        <v>43250</v>
      </c>
      <c r="C54" s="43" t="s">
        <v>254</v>
      </c>
      <c r="D54" s="43"/>
      <c r="E54" s="43"/>
      <c r="F54" s="56"/>
      <c r="G54" s="44" t="s">
        <v>255</v>
      </c>
      <c r="H54" s="6">
        <v>2</v>
      </c>
      <c r="I54" s="56">
        <v>2400</v>
      </c>
    </row>
    <row r="55" spans="1:9" x14ac:dyDescent="0.25">
      <c r="A55" s="64" t="s">
        <v>114</v>
      </c>
      <c r="B55" s="65">
        <v>43269</v>
      </c>
      <c r="C55" s="43" t="s">
        <v>254</v>
      </c>
      <c r="D55" s="43"/>
      <c r="E55" s="43"/>
      <c r="F55" s="56"/>
      <c r="G55" s="44" t="s">
        <v>255</v>
      </c>
      <c r="H55" s="6">
        <v>6</v>
      </c>
      <c r="I55" s="56">
        <v>8400</v>
      </c>
    </row>
    <row r="56" spans="1:9" x14ac:dyDescent="0.25">
      <c r="A56" s="64" t="s">
        <v>170</v>
      </c>
      <c r="B56" s="65">
        <v>43280</v>
      </c>
      <c r="C56" s="43" t="s">
        <v>254</v>
      </c>
      <c r="D56" s="43"/>
      <c r="E56" s="43"/>
      <c r="F56" s="56"/>
      <c r="G56" s="44" t="s">
        <v>255</v>
      </c>
      <c r="H56" s="6">
        <v>2</v>
      </c>
      <c r="I56" s="56">
        <v>2600</v>
      </c>
    </row>
    <row r="57" spans="1:9" x14ac:dyDescent="0.25">
      <c r="A57" s="64" t="s">
        <v>173</v>
      </c>
      <c r="B57" s="65">
        <v>43280</v>
      </c>
      <c r="C57" s="43" t="s">
        <v>1141</v>
      </c>
      <c r="D57" s="43"/>
      <c r="E57" s="43"/>
      <c r="F57" s="56"/>
      <c r="G57" s="44" t="s">
        <v>169</v>
      </c>
      <c r="H57" s="6">
        <v>230</v>
      </c>
      <c r="I57" s="56">
        <v>106377.14</v>
      </c>
    </row>
    <row r="58" spans="1:9" x14ac:dyDescent="0.25">
      <c r="A58" s="64" t="s">
        <v>173</v>
      </c>
      <c r="B58" s="65">
        <v>43283</v>
      </c>
      <c r="C58" s="43" t="s">
        <v>254</v>
      </c>
      <c r="D58" s="43"/>
      <c r="E58" s="43"/>
      <c r="F58" s="56"/>
      <c r="G58" s="44" t="s">
        <v>255</v>
      </c>
      <c r="H58" s="6">
        <v>1</v>
      </c>
      <c r="I58" s="56">
        <v>1400</v>
      </c>
    </row>
    <row r="59" spans="1:9" x14ac:dyDescent="0.25">
      <c r="A59" s="64" t="s">
        <v>257</v>
      </c>
      <c r="B59" s="65">
        <v>43286</v>
      </c>
      <c r="C59" s="43" t="s">
        <v>254</v>
      </c>
      <c r="D59" s="43"/>
      <c r="E59" s="43"/>
      <c r="F59" s="56"/>
      <c r="G59" s="44" t="s">
        <v>255</v>
      </c>
      <c r="H59" s="6">
        <v>1</v>
      </c>
      <c r="I59" s="56">
        <v>1400</v>
      </c>
    </row>
    <row r="60" spans="1:9" x14ac:dyDescent="0.25">
      <c r="A60" s="64" t="s">
        <v>406</v>
      </c>
      <c r="B60" s="65">
        <v>43312</v>
      </c>
      <c r="C60" s="43" t="s">
        <v>1142</v>
      </c>
      <c r="D60" s="43"/>
      <c r="E60" s="43"/>
      <c r="F60" s="56"/>
      <c r="G60" s="44" t="s">
        <v>1143</v>
      </c>
      <c r="H60" s="6"/>
      <c r="I60" s="56">
        <v>75440.31</v>
      </c>
    </row>
    <row r="61" spans="1:9" x14ac:dyDescent="0.25">
      <c r="A61" s="64" t="s">
        <v>408</v>
      </c>
      <c r="B61" s="65">
        <v>43404</v>
      </c>
      <c r="C61" s="43" t="s">
        <v>112</v>
      </c>
      <c r="D61" s="43"/>
      <c r="E61" s="43"/>
      <c r="F61" s="56"/>
      <c r="G61" s="44" t="s">
        <v>116</v>
      </c>
      <c r="H61" s="6">
        <v>57</v>
      </c>
      <c r="I61" s="56">
        <v>11400</v>
      </c>
    </row>
    <row r="62" spans="1:9" x14ac:dyDescent="0.25">
      <c r="A62" s="64"/>
      <c r="B62" s="65"/>
      <c r="C62" s="43"/>
      <c r="D62" s="43"/>
      <c r="E62" s="43"/>
      <c r="F62" s="56"/>
      <c r="G62" s="44"/>
      <c r="H62" s="6"/>
      <c r="I62" s="56"/>
    </row>
    <row r="63" spans="1:9" x14ac:dyDescent="0.25">
      <c r="A63" s="66"/>
      <c r="B63" s="238"/>
      <c r="C63" s="13" t="s">
        <v>117</v>
      </c>
      <c r="D63" s="13"/>
      <c r="E63" s="13"/>
      <c r="F63" s="67"/>
      <c r="G63" s="15"/>
      <c r="H63" s="11"/>
      <c r="I63" s="67">
        <f>SUM(I53:I62)</f>
        <v>209417.45</v>
      </c>
    </row>
    <row r="64" spans="1:9" x14ac:dyDescent="0.25">
      <c r="A64" s="68"/>
      <c r="B64" s="43"/>
      <c r="C64" s="4"/>
      <c r="D64" s="4"/>
      <c r="E64" s="4"/>
      <c r="F64" s="4"/>
      <c r="G64" s="165"/>
      <c r="H64" s="4"/>
      <c r="I64" s="4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 t="s">
        <v>375</v>
      </c>
      <c r="B66" s="2"/>
      <c r="C66" s="2" t="s">
        <v>1144</v>
      </c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</sheetData>
  <pageMargins left="0.7" right="0.7" top="0.75" bottom="0.75" header="0.3" footer="0.3"/>
  <pageSetup paperSize="9"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52" workbookViewId="0">
      <selection activeCell="B66" sqref="B66"/>
    </sheetView>
  </sheetViews>
  <sheetFormatPr defaultRowHeight="15" x14ac:dyDescent="0.25"/>
  <cols>
    <col min="1" max="1" width="5.5703125" customWidth="1"/>
    <col min="2" max="2" width="34.140625" customWidth="1"/>
    <col min="3" max="3" width="12" customWidth="1"/>
    <col min="5" max="5" width="10.5703125" customWidth="1"/>
    <col min="6" max="6" width="12.140625" customWidth="1"/>
    <col min="8" max="8" width="13" customWidth="1"/>
    <col min="9" max="9" width="16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1145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1146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1147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15</v>
      </c>
      <c r="I14" s="5" t="s">
        <v>19</v>
      </c>
    </row>
    <row r="15" spans="1:9" x14ac:dyDescent="0.25">
      <c r="A15" s="6" t="s">
        <v>20</v>
      </c>
      <c r="B15" s="6"/>
      <c r="C15" s="6" t="s">
        <v>214</v>
      </c>
      <c r="D15" s="6" t="s">
        <v>22</v>
      </c>
      <c r="E15" s="6" t="s">
        <v>23</v>
      </c>
      <c r="F15" s="6" t="s">
        <v>23</v>
      </c>
      <c r="G15" s="6" t="s">
        <v>24</v>
      </c>
      <c r="H15" s="6" t="s">
        <v>25</v>
      </c>
      <c r="I15" s="6" t="s">
        <v>26</v>
      </c>
    </row>
    <row r="16" spans="1:9" x14ac:dyDescent="0.25">
      <c r="A16" s="6"/>
      <c r="B16" s="6"/>
      <c r="C16" s="6" t="s">
        <v>27</v>
      </c>
      <c r="D16" s="6" t="s">
        <v>28</v>
      </c>
      <c r="E16" s="6"/>
      <c r="F16" s="6"/>
      <c r="G16" s="6" t="s">
        <v>29</v>
      </c>
      <c r="H16" s="6" t="s">
        <v>30</v>
      </c>
      <c r="I16" s="6" t="s">
        <v>31</v>
      </c>
    </row>
    <row r="17" spans="1:9" x14ac:dyDescent="0.25">
      <c r="A17" s="6"/>
      <c r="B17" s="6"/>
      <c r="C17" s="6" t="s">
        <v>135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34</v>
      </c>
    </row>
    <row r="18" spans="1:9" x14ac:dyDescent="0.25">
      <c r="A18" s="9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8">
        <v>8</v>
      </c>
      <c r="I18" s="8">
        <v>9</v>
      </c>
    </row>
    <row r="19" spans="1:9" x14ac:dyDescent="0.25">
      <c r="A19" s="10">
        <v>1</v>
      </c>
      <c r="B19" s="11" t="s">
        <v>948</v>
      </c>
      <c r="C19" s="11">
        <v>8.9600000000000009</v>
      </c>
      <c r="D19" s="16">
        <v>1169.07</v>
      </c>
      <c r="E19" s="16">
        <v>305564.64</v>
      </c>
      <c r="F19" s="13">
        <v>305380.11</v>
      </c>
      <c r="G19" s="16">
        <f t="shared" ref="G19:G26" si="0">E19</f>
        <v>305564.64</v>
      </c>
      <c r="H19" s="15">
        <f>D19+F19-G19</f>
        <v>984.53999999997905</v>
      </c>
      <c r="I19" s="16"/>
    </row>
    <row r="20" spans="1:9" x14ac:dyDescent="0.25">
      <c r="A20" s="66" t="s">
        <v>138</v>
      </c>
      <c r="B20" s="17" t="s">
        <v>37</v>
      </c>
      <c r="C20" s="61">
        <v>3.08</v>
      </c>
      <c r="D20" s="21"/>
      <c r="E20" s="187">
        <f>E19*34.4%</f>
        <v>105114.23616</v>
      </c>
      <c r="F20" s="21">
        <f>F19*34.4%</f>
        <v>105050.75783999999</v>
      </c>
      <c r="G20" s="21">
        <f t="shared" si="0"/>
        <v>105114.23616</v>
      </c>
      <c r="H20" s="20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33">
        <f>E19*16.4%</f>
        <v>50112.600959999996</v>
      </c>
      <c r="F21" s="33">
        <f>F19*16.4%</f>
        <v>50082.338039999988</v>
      </c>
      <c r="G21" s="33">
        <f t="shared" si="0"/>
        <v>50112.600959999996</v>
      </c>
      <c r="H21" s="25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3"/>
      <c r="E22" s="33">
        <f>E19*20.2%</f>
        <v>61724.057280000001</v>
      </c>
      <c r="F22" s="33">
        <f>F19*20.2%</f>
        <v>61686.782219999994</v>
      </c>
      <c r="G22" s="33">
        <f t="shared" si="0"/>
        <v>61724.057280000001</v>
      </c>
      <c r="H22" s="234"/>
      <c r="I22" s="33"/>
    </row>
    <row r="23" spans="1:9" x14ac:dyDescent="0.25">
      <c r="A23" s="22" t="s">
        <v>42</v>
      </c>
      <c r="B23" s="5" t="s">
        <v>43</v>
      </c>
      <c r="C23" s="54">
        <v>2.6</v>
      </c>
      <c r="D23" s="30"/>
      <c r="E23" s="33">
        <f>E19*29%</f>
        <v>88613.745599999995</v>
      </c>
      <c r="F23" s="33">
        <f>F19*29%</f>
        <v>88560.231899999984</v>
      </c>
      <c r="G23" s="30">
        <f t="shared" si="0"/>
        <v>88613.745599999995</v>
      </c>
      <c r="H23" s="25"/>
      <c r="I23" s="30"/>
    </row>
    <row r="24" spans="1:9" x14ac:dyDescent="0.25">
      <c r="A24" s="22" t="s">
        <v>44</v>
      </c>
      <c r="B24" s="5" t="s">
        <v>45</v>
      </c>
      <c r="C24" s="54">
        <v>1755.25</v>
      </c>
      <c r="D24" s="30">
        <v>-2621.2600000000002</v>
      </c>
      <c r="E24" s="33">
        <v>12842.42</v>
      </c>
      <c r="F24" s="33">
        <v>13182.81</v>
      </c>
      <c r="G24" s="28">
        <f>E24</f>
        <v>12842.42</v>
      </c>
      <c r="H24" s="25">
        <f>D24-E24+F24</f>
        <v>-2280.8700000000008</v>
      </c>
      <c r="I24" s="38">
        <f>H24</f>
        <v>-2280.8700000000008</v>
      </c>
    </row>
    <row r="25" spans="1:9" x14ac:dyDescent="0.25">
      <c r="A25" s="22" t="s">
        <v>46</v>
      </c>
      <c r="B25" s="5" t="s">
        <v>1148</v>
      </c>
      <c r="C25" s="54" t="s">
        <v>48</v>
      </c>
      <c r="D25" s="30">
        <v>-4139.82</v>
      </c>
      <c r="E25" s="33">
        <v>27736.5</v>
      </c>
      <c r="F25" s="33">
        <v>28430.61</v>
      </c>
      <c r="G25" s="28">
        <f>E25</f>
        <v>27736.5</v>
      </c>
      <c r="H25" s="25">
        <f>D25+F25-E25</f>
        <v>-3445.7099999999991</v>
      </c>
      <c r="I25" s="38">
        <f>H25</f>
        <v>-3445.7099999999991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-17047.98</v>
      </c>
      <c r="E26" s="10">
        <v>156874.72</v>
      </c>
      <c r="F26" s="10">
        <v>158539.41</v>
      </c>
      <c r="G26" s="35">
        <f t="shared" si="0"/>
        <v>156874.72</v>
      </c>
      <c r="H26" s="37">
        <f>D26++F26-G26</f>
        <v>-15383.290000000008</v>
      </c>
      <c r="I26" s="38">
        <f>H26</f>
        <v>-15383.290000000008</v>
      </c>
    </row>
    <row r="27" spans="1:9" x14ac:dyDescent="0.25">
      <c r="A27" s="63" t="s">
        <v>51</v>
      </c>
      <c r="B27" s="11" t="s">
        <v>310</v>
      </c>
      <c r="C27" s="13">
        <v>1.82</v>
      </c>
      <c r="D27" s="38">
        <v>-60626.11</v>
      </c>
      <c r="E27" s="10">
        <v>62067.88</v>
      </c>
      <c r="F27" s="10">
        <f>F28+F29</f>
        <v>92834.12999999999</v>
      </c>
      <c r="G27" s="10">
        <f>I62</f>
        <v>180241.91</v>
      </c>
      <c r="H27" s="37">
        <f>D27+F27-G27</f>
        <v>-148033.89000000001</v>
      </c>
      <c r="I27" s="38">
        <f>H27</f>
        <v>-148033.89000000001</v>
      </c>
    </row>
    <row r="28" spans="1:9" x14ac:dyDescent="0.25">
      <c r="A28" s="63"/>
      <c r="B28" s="17" t="s">
        <v>53</v>
      </c>
      <c r="C28" s="13"/>
      <c r="D28" s="40"/>
      <c r="E28" s="11"/>
      <c r="F28" s="11">
        <v>88980.29</v>
      </c>
      <c r="G28" s="13"/>
      <c r="H28" s="14"/>
      <c r="I28" s="41"/>
    </row>
    <row r="29" spans="1:9" x14ac:dyDescent="0.25">
      <c r="A29" s="10"/>
      <c r="B29" s="8" t="s">
        <v>296</v>
      </c>
      <c r="C29" s="35"/>
      <c r="D29" s="36" t="s">
        <v>72</v>
      </c>
      <c r="E29" s="10"/>
      <c r="F29" s="11">
        <v>3853.84</v>
      </c>
      <c r="G29" s="35" t="s">
        <v>145</v>
      </c>
      <c r="H29" s="36" t="s">
        <v>72</v>
      </c>
      <c r="I29" s="38" t="str">
        <f>H29</f>
        <v xml:space="preserve"> </v>
      </c>
    </row>
    <row r="30" spans="1:9" x14ac:dyDescent="0.25">
      <c r="A30" s="10" t="s">
        <v>56</v>
      </c>
      <c r="B30" s="11" t="s">
        <v>1139</v>
      </c>
      <c r="C30" s="16"/>
      <c r="D30" s="14">
        <v>3853.84</v>
      </c>
      <c r="E30" s="11">
        <f>E31+E32</f>
        <v>0</v>
      </c>
      <c r="F30" s="11">
        <f>F31+F32</f>
        <v>3853.84</v>
      </c>
      <c r="G30" s="13" t="e">
        <f>G31</f>
        <v>#REF!</v>
      </c>
      <c r="H30" s="14">
        <v>0</v>
      </c>
      <c r="I30" s="16"/>
    </row>
    <row r="31" spans="1:9" x14ac:dyDescent="0.25">
      <c r="A31" s="8"/>
      <c r="B31" s="8" t="s">
        <v>398</v>
      </c>
      <c r="C31" s="28"/>
      <c r="D31" s="14"/>
      <c r="E31" s="11">
        <v>0</v>
      </c>
      <c r="F31" s="11">
        <v>0</v>
      </c>
      <c r="G31" s="13" t="e">
        <f>#REF!</f>
        <v>#REF!</v>
      </c>
      <c r="H31" s="14"/>
      <c r="I31" s="30"/>
    </row>
    <row r="32" spans="1:9" x14ac:dyDescent="0.25">
      <c r="A32" s="8"/>
      <c r="B32" s="8" t="s">
        <v>58</v>
      </c>
      <c r="C32" s="9"/>
      <c r="D32" s="7"/>
      <c r="E32" s="8">
        <v>0</v>
      </c>
      <c r="F32" s="8">
        <v>3853.84</v>
      </c>
      <c r="G32" s="9">
        <v>0</v>
      </c>
      <c r="H32" s="7"/>
      <c r="I32" s="21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15620.55</v>
      </c>
      <c r="D36" s="8">
        <v>6000</v>
      </c>
      <c r="E36" s="162">
        <f>D36*15%</f>
        <v>900</v>
      </c>
      <c r="F36" s="21">
        <f>C36+(D36-E36)</f>
        <v>20720.55</v>
      </c>
      <c r="G36" s="21"/>
      <c r="H36" s="162">
        <f>F36-G36</f>
        <v>20720.55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 t="s">
        <v>89</v>
      </c>
      <c r="H40" s="6"/>
      <c r="I40" s="6" t="s">
        <v>30</v>
      </c>
    </row>
    <row r="41" spans="1:9" x14ac:dyDescent="0.25">
      <c r="A41" s="6"/>
      <c r="B41" s="49"/>
      <c r="C41" s="6"/>
      <c r="D41" s="43"/>
      <c r="E41" s="6"/>
      <c r="F41" s="43"/>
      <c r="G41" s="17"/>
      <c r="H41" s="17"/>
      <c r="I41" s="6"/>
    </row>
    <row r="42" spans="1:9" x14ac:dyDescent="0.25">
      <c r="A42" s="5">
        <v>1</v>
      </c>
      <c r="B42" s="5" t="s">
        <v>91</v>
      </c>
      <c r="C42" s="159" t="s">
        <v>92</v>
      </c>
      <c r="D42" s="5">
        <v>-32571.360000000001</v>
      </c>
      <c r="E42" s="188">
        <v>245324.57</v>
      </c>
      <c r="F42" s="5">
        <v>239709.09</v>
      </c>
      <c r="G42" s="188">
        <f>E42</f>
        <v>245324.57</v>
      </c>
      <c r="H42" s="6">
        <f>D42+F42-G42</f>
        <v>-38186.840000000026</v>
      </c>
      <c r="I42" s="5">
        <f>H42</f>
        <v>-38186.840000000026</v>
      </c>
    </row>
    <row r="43" spans="1:9" x14ac:dyDescent="0.25">
      <c r="A43" s="8"/>
      <c r="B43" s="8" t="s">
        <v>487</v>
      </c>
      <c r="C43" s="35" t="s">
        <v>94</v>
      </c>
      <c r="D43" s="8"/>
      <c r="E43" s="59"/>
      <c r="F43" s="8"/>
      <c r="G43" s="59"/>
      <c r="H43" s="8"/>
      <c r="I43" s="8"/>
    </row>
    <row r="44" spans="1:9" x14ac:dyDescent="0.25">
      <c r="A44" s="8">
        <v>2</v>
      </c>
      <c r="B44" s="8" t="s">
        <v>160</v>
      </c>
      <c r="C44" s="35" t="s">
        <v>96</v>
      </c>
      <c r="D44" s="8">
        <v>-36918.75</v>
      </c>
      <c r="E44" s="9">
        <v>441197.26</v>
      </c>
      <c r="F44" s="8">
        <v>429063.28</v>
      </c>
      <c r="G44" s="9">
        <f>E44</f>
        <v>441197.26</v>
      </c>
      <c r="H44" s="8">
        <f>D44+F44-G44</f>
        <v>-49052.729999999981</v>
      </c>
      <c r="I44" s="17">
        <f>H44</f>
        <v>-49052.729999999981</v>
      </c>
    </row>
    <row r="45" spans="1:9" x14ac:dyDescent="0.25">
      <c r="A45" s="6"/>
      <c r="B45" s="6" t="s">
        <v>487</v>
      </c>
      <c r="C45" s="35" t="s">
        <v>94</v>
      </c>
      <c r="D45" s="17"/>
      <c r="E45" s="2"/>
      <c r="F45" s="6"/>
      <c r="G45" s="2"/>
      <c r="H45" s="6"/>
      <c r="I45" s="17"/>
    </row>
    <row r="46" spans="1:9" x14ac:dyDescent="0.25">
      <c r="A46" s="8">
        <v>3</v>
      </c>
      <c r="B46" s="8" t="s">
        <v>99</v>
      </c>
      <c r="C46" s="35" t="s">
        <v>100</v>
      </c>
      <c r="D46" s="8">
        <v>-258866.83</v>
      </c>
      <c r="E46" s="9">
        <v>844355.34</v>
      </c>
      <c r="F46" s="8">
        <v>875925.17</v>
      </c>
      <c r="G46" s="9">
        <f>E46</f>
        <v>844355.34</v>
      </c>
      <c r="H46" s="8">
        <f>D46+F46-G46</f>
        <v>-227296.99999999988</v>
      </c>
      <c r="I46" s="8">
        <f>H46</f>
        <v>-227296.99999999988</v>
      </c>
    </row>
    <row r="47" spans="1:9" x14ac:dyDescent="0.25">
      <c r="A47" s="1" t="s">
        <v>251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252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5" t="s">
        <v>103</v>
      </c>
      <c r="C49" s="46" t="s">
        <v>104</v>
      </c>
      <c r="D49" s="54"/>
      <c r="E49" s="54"/>
      <c r="F49" s="47"/>
      <c r="G49" s="54" t="s">
        <v>199</v>
      </c>
      <c r="H49" s="5" t="s">
        <v>165</v>
      </c>
      <c r="I49" s="5" t="s">
        <v>107</v>
      </c>
    </row>
    <row r="50" spans="1:9" x14ac:dyDescent="0.25">
      <c r="A50" s="49" t="s">
        <v>108</v>
      </c>
      <c r="B50" s="6"/>
      <c r="C50" s="49"/>
      <c r="D50" s="43"/>
      <c r="E50" s="43"/>
      <c r="F50" s="56"/>
      <c r="G50" s="43" t="s">
        <v>201</v>
      </c>
      <c r="H50" s="6" t="s">
        <v>85</v>
      </c>
      <c r="I50" s="6" t="s">
        <v>109</v>
      </c>
    </row>
    <row r="51" spans="1:9" x14ac:dyDescent="0.25">
      <c r="A51" s="62"/>
      <c r="B51" s="53"/>
      <c r="C51" s="53" t="s">
        <v>235</v>
      </c>
      <c r="D51" s="159"/>
      <c r="E51" s="159"/>
      <c r="F51" s="47"/>
      <c r="G51" s="54"/>
      <c r="H51" s="5"/>
      <c r="I51" s="5"/>
    </row>
    <row r="52" spans="1:9" x14ac:dyDescent="0.25">
      <c r="A52" s="64" t="s">
        <v>111</v>
      </c>
      <c r="B52" s="232">
        <v>43115</v>
      </c>
      <c r="C52" s="49" t="s">
        <v>1149</v>
      </c>
      <c r="D52" s="43"/>
      <c r="E52" s="43"/>
      <c r="F52" s="56"/>
      <c r="G52" s="19"/>
      <c r="H52" s="6"/>
      <c r="I52" s="6">
        <v>24968</v>
      </c>
    </row>
    <row r="53" spans="1:9" x14ac:dyDescent="0.25">
      <c r="A53" s="64" t="s">
        <v>114</v>
      </c>
      <c r="B53" s="232">
        <v>43189</v>
      </c>
      <c r="C53" s="49" t="s">
        <v>1150</v>
      </c>
      <c r="D53" s="43"/>
      <c r="E53" s="43"/>
      <c r="F53" s="56"/>
      <c r="G53" s="19" t="s">
        <v>116</v>
      </c>
      <c r="H53" s="6">
        <v>28</v>
      </c>
      <c r="I53" s="330">
        <v>24157.83</v>
      </c>
    </row>
    <row r="54" spans="1:9" x14ac:dyDescent="0.25">
      <c r="A54" s="64" t="s">
        <v>170</v>
      </c>
      <c r="B54" s="232">
        <v>43189</v>
      </c>
      <c r="C54" s="232" t="s">
        <v>1151</v>
      </c>
      <c r="D54" s="43"/>
      <c r="E54" s="43"/>
      <c r="F54" s="56"/>
      <c r="G54" s="19" t="s">
        <v>116</v>
      </c>
      <c r="H54" s="6">
        <v>12</v>
      </c>
      <c r="I54" s="6">
        <v>12281.32</v>
      </c>
    </row>
    <row r="55" spans="1:9" x14ac:dyDescent="0.25">
      <c r="A55" s="64" t="s">
        <v>173</v>
      </c>
      <c r="B55" s="232">
        <v>43186</v>
      </c>
      <c r="C55" s="49" t="s">
        <v>112</v>
      </c>
      <c r="D55" s="43"/>
      <c r="E55" s="43"/>
      <c r="F55" s="56"/>
      <c r="G55" s="19" t="s">
        <v>113</v>
      </c>
      <c r="H55" s="6">
        <v>121</v>
      </c>
      <c r="I55" s="6">
        <v>24200</v>
      </c>
    </row>
    <row r="56" spans="1:9" x14ac:dyDescent="0.25">
      <c r="A56" s="64" t="s">
        <v>257</v>
      </c>
      <c r="B56" s="232">
        <v>43220</v>
      </c>
      <c r="C56" s="49" t="s">
        <v>1152</v>
      </c>
      <c r="D56" s="43"/>
      <c r="E56" s="43"/>
      <c r="F56" s="56"/>
      <c r="G56" s="19" t="s">
        <v>116</v>
      </c>
      <c r="H56" s="6">
        <v>14</v>
      </c>
      <c r="I56" s="6">
        <v>26842.04</v>
      </c>
    </row>
    <row r="57" spans="1:9" x14ac:dyDescent="0.25">
      <c r="A57" s="64" t="s">
        <v>406</v>
      </c>
      <c r="B57" s="232">
        <v>43312</v>
      </c>
      <c r="C57" s="49" t="s">
        <v>738</v>
      </c>
      <c r="D57" s="43"/>
      <c r="E57" s="43"/>
      <c r="F57" s="56"/>
      <c r="G57" s="19" t="s">
        <v>172</v>
      </c>
      <c r="H57" s="6">
        <v>1</v>
      </c>
      <c r="I57" s="6">
        <v>1155.03</v>
      </c>
    </row>
    <row r="58" spans="1:9" x14ac:dyDescent="0.25">
      <c r="A58" s="64" t="s">
        <v>408</v>
      </c>
      <c r="B58" s="232">
        <v>43315</v>
      </c>
      <c r="C58" s="49" t="s">
        <v>1153</v>
      </c>
      <c r="D58" s="43"/>
      <c r="E58" s="43"/>
      <c r="F58" s="56"/>
      <c r="G58" s="19" t="s">
        <v>205</v>
      </c>
      <c r="H58" s="6">
        <v>2</v>
      </c>
      <c r="I58" s="6">
        <v>12264.48</v>
      </c>
    </row>
    <row r="59" spans="1:9" x14ac:dyDescent="0.25">
      <c r="A59" s="64" t="s">
        <v>561</v>
      </c>
      <c r="B59" s="232">
        <v>43343</v>
      </c>
      <c r="C59" s="232" t="s">
        <v>1154</v>
      </c>
      <c r="D59" s="69"/>
      <c r="E59" s="69"/>
      <c r="F59" s="56"/>
      <c r="G59" s="19" t="s">
        <v>116</v>
      </c>
      <c r="H59" s="6">
        <v>25</v>
      </c>
      <c r="I59" s="6">
        <v>11494.46</v>
      </c>
    </row>
    <row r="60" spans="1:9" x14ac:dyDescent="0.25">
      <c r="A60" s="64" t="s">
        <v>633</v>
      </c>
      <c r="B60" s="232">
        <v>43347</v>
      </c>
      <c r="C60" s="232" t="s">
        <v>1155</v>
      </c>
      <c r="D60" s="69"/>
      <c r="E60" s="69"/>
      <c r="F60" s="56"/>
      <c r="G60" s="19" t="s">
        <v>116</v>
      </c>
      <c r="H60" s="6">
        <v>66</v>
      </c>
      <c r="I60" s="6">
        <v>7379</v>
      </c>
    </row>
    <row r="61" spans="1:9" x14ac:dyDescent="0.25">
      <c r="A61" s="64" t="s">
        <v>645</v>
      </c>
      <c r="B61" s="232">
        <v>43371</v>
      </c>
      <c r="C61" s="232" t="s">
        <v>624</v>
      </c>
      <c r="D61" s="69"/>
      <c r="E61" s="69"/>
      <c r="F61" s="56"/>
      <c r="G61" s="19" t="s">
        <v>205</v>
      </c>
      <c r="H61" s="6">
        <v>1</v>
      </c>
      <c r="I61" s="6">
        <v>35499.75</v>
      </c>
    </row>
    <row r="62" spans="1:9" x14ac:dyDescent="0.25">
      <c r="A62" s="66"/>
      <c r="B62" s="50"/>
      <c r="C62" s="14" t="s">
        <v>117</v>
      </c>
      <c r="D62" s="13"/>
      <c r="E62" s="13"/>
      <c r="F62" s="67"/>
      <c r="G62" s="161"/>
      <c r="H62" s="11"/>
      <c r="I62" s="11">
        <f>SUM(I52:I61)</f>
        <v>180241.91</v>
      </c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166"/>
    </row>
    <row r="64" spans="1:9" x14ac:dyDescent="0.25">
      <c r="A64" s="43"/>
      <c r="B64" s="4"/>
      <c r="C64" s="4"/>
      <c r="D64" s="43"/>
      <c r="E64" s="43"/>
      <c r="F64" s="43"/>
      <c r="G64" s="43"/>
      <c r="H64" s="43"/>
      <c r="I64" s="43"/>
    </row>
    <row r="65" spans="1:9" x14ac:dyDescent="0.25">
      <c r="A65" s="43"/>
      <c r="B65" s="4"/>
      <c r="C65" s="4"/>
      <c r="D65" s="43"/>
      <c r="E65" s="43"/>
      <c r="F65" s="43"/>
      <c r="G65" s="43"/>
      <c r="H65" s="43"/>
      <c r="I65" s="43"/>
    </row>
    <row r="66" spans="1:9" x14ac:dyDescent="0.25">
      <c r="A66" s="2" t="s">
        <v>315</v>
      </c>
      <c r="B66" s="2"/>
      <c r="C66" s="189" t="s">
        <v>119</v>
      </c>
      <c r="E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28" workbookViewId="0">
      <selection activeCell="A54" sqref="A54"/>
    </sheetView>
  </sheetViews>
  <sheetFormatPr defaultRowHeight="15" x14ac:dyDescent="0.25"/>
  <cols>
    <col min="1" max="1" width="5.5703125" customWidth="1"/>
    <col min="2" max="2" width="34.42578125" customWidth="1"/>
    <col min="3" max="3" width="13.42578125" customWidth="1"/>
    <col min="5" max="6" width="12.28515625" customWidth="1"/>
    <col min="8" max="8" width="13.140625" customWidth="1"/>
    <col min="9" max="9" width="17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2"/>
      <c r="I5" s="2"/>
    </row>
    <row r="6" spans="1:9" x14ac:dyDescent="0.25">
      <c r="A6" s="1" t="s">
        <v>1156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1157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1158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153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947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580</v>
      </c>
      <c r="C18" s="11">
        <v>8.9600000000000009</v>
      </c>
      <c r="D18" s="16">
        <v>27761.34</v>
      </c>
      <c r="E18" s="16">
        <v>458916.12</v>
      </c>
      <c r="F18" s="13">
        <v>458040.32000000001</v>
      </c>
      <c r="G18" s="16">
        <f>E18</f>
        <v>458916.12</v>
      </c>
      <c r="H18" s="15">
        <f>D18+F18-G18</f>
        <v>26885.540000000037</v>
      </c>
      <c r="I18" s="16" t="s">
        <v>72</v>
      </c>
    </row>
    <row r="19" spans="1:9" x14ac:dyDescent="0.25">
      <c r="A19" s="6" t="s">
        <v>36</v>
      </c>
      <c r="B19" s="6" t="s">
        <v>217</v>
      </c>
      <c r="C19" s="43"/>
      <c r="D19" s="33"/>
      <c r="E19" s="6"/>
      <c r="F19" s="26"/>
      <c r="G19" s="6" t="s">
        <v>72</v>
      </c>
      <c r="H19" s="49"/>
      <c r="I19" s="33"/>
    </row>
    <row r="20" spans="1:9" x14ac:dyDescent="0.25">
      <c r="A20" s="17"/>
      <c r="B20" s="17" t="s">
        <v>218</v>
      </c>
      <c r="C20" s="61">
        <v>3.08</v>
      </c>
      <c r="D20" s="21"/>
      <c r="E20" s="187">
        <f>E18*34.4%</f>
        <v>157867.14528</v>
      </c>
      <c r="F20" s="21">
        <f>F18*34.4%</f>
        <v>157565.87007999999</v>
      </c>
      <c r="G20" s="21">
        <f t="shared" ref="G20:G26" si="0">E20</f>
        <v>157867.14528</v>
      </c>
      <c r="H20" s="20"/>
      <c r="I20" s="21"/>
    </row>
    <row r="21" spans="1:9" x14ac:dyDescent="0.25">
      <c r="A21" s="22" t="s">
        <v>38</v>
      </c>
      <c r="B21" s="5" t="s">
        <v>39</v>
      </c>
      <c r="C21" s="54">
        <v>1.47</v>
      </c>
      <c r="D21" s="33"/>
      <c r="E21" s="33">
        <f>E18*16.4%</f>
        <v>75262.243679999985</v>
      </c>
      <c r="F21" s="33">
        <f>F18*16.4%</f>
        <v>75118.612479999996</v>
      </c>
      <c r="G21" s="33">
        <f t="shared" si="0"/>
        <v>75262.243679999985</v>
      </c>
      <c r="H21" s="25"/>
      <c r="I21" s="33"/>
    </row>
    <row r="22" spans="1:9" x14ac:dyDescent="0.25">
      <c r="A22" s="22" t="s">
        <v>40</v>
      </c>
      <c r="B22" s="5" t="s">
        <v>41</v>
      </c>
      <c r="C22" s="54">
        <v>1.81</v>
      </c>
      <c r="D22" s="30"/>
      <c r="E22" s="33">
        <f>E18*20.2%</f>
        <v>92701.056239999991</v>
      </c>
      <c r="F22" s="33">
        <f>F18*20.2%</f>
        <v>92524.144639999999</v>
      </c>
      <c r="G22" s="30">
        <f t="shared" si="0"/>
        <v>92701.056239999991</v>
      </c>
      <c r="H22" s="234"/>
      <c r="I22" s="30"/>
    </row>
    <row r="23" spans="1:9" x14ac:dyDescent="0.25">
      <c r="A23" s="22" t="s">
        <v>42</v>
      </c>
      <c r="B23" s="5" t="s">
        <v>43</v>
      </c>
      <c r="C23" s="54">
        <v>2.6</v>
      </c>
      <c r="D23" s="26"/>
      <c r="E23" s="33">
        <f>E18*29%</f>
        <v>133085.67479999998</v>
      </c>
      <c r="F23" s="33">
        <f>F18*29%</f>
        <v>132831.69279999999</v>
      </c>
      <c r="G23" s="19">
        <f t="shared" si="0"/>
        <v>133085.67479999998</v>
      </c>
      <c r="H23" s="25"/>
      <c r="I23" s="26"/>
    </row>
    <row r="24" spans="1:9" x14ac:dyDescent="0.25">
      <c r="A24" s="22" t="s">
        <v>44</v>
      </c>
      <c r="B24" s="5" t="s">
        <v>47</v>
      </c>
      <c r="C24" s="54" t="s">
        <v>48</v>
      </c>
      <c r="D24" s="30">
        <v>-4635.1899999999996</v>
      </c>
      <c r="E24" s="9">
        <v>44678.879999999997</v>
      </c>
      <c r="F24" s="8">
        <v>44736</v>
      </c>
      <c r="G24" s="9">
        <f t="shared" si="0"/>
        <v>44678.879999999997</v>
      </c>
      <c r="H24" s="30">
        <f>D24+F24-E24</f>
        <v>-4578.07</v>
      </c>
      <c r="I24" s="10">
        <f>H24</f>
        <v>-4578.07</v>
      </c>
    </row>
    <row r="25" spans="1:9" x14ac:dyDescent="0.25">
      <c r="A25" s="22" t="s">
        <v>472</v>
      </c>
      <c r="B25" s="5" t="s">
        <v>245</v>
      </c>
      <c r="C25" s="54">
        <v>1755.25</v>
      </c>
      <c r="D25" s="30">
        <v>-1933.26</v>
      </c>
      <c r="E25" s="30">
        <v>12404.13</v>
      </c>
      <c r="F25" s="30">
        <v>12219.25</v>
      </c>
      <c r="G25" s="28">
        <f>E25</f>
        <v>12404.13</v>
      </c>
      <c r="H25" s="29">
        <f>D25+F25-E25</f>
        <v>-2118.1399999999994</v>
      </c>
      <c r="I25" s="38">
        <f>H25</f>
        <v>-2118.1399999999994</v>
      </c>
    </row>
    <row r="26" spans="1:9" x14ac:dyDescent="0.25">
      <c r="A26" s="10" t="s">
        <v>49</v>
      </c>
      <c r="B26" s="10" t="s">
        <v>50</v>
      </c>
      <c r="C26" s="10">
        <v>4.5999999999999996</v>
      </c>
      <c r="D26" s="38">
        <v>-12842.41</v>
      </c>
      <c r="E26" s="10">
        <v>235604.64</v>
      </c>
      <c r="F26" s="10">
        <v>236570.81</v>
      </c>
      <c r="G26" s="35">
        <f t="shared" si="0"/>
        <v>235604.64</v>
      </c>
      <c r="H26" s="37">
        <f>D26+F26-G26</f>
        <v>-11876.24000000002</v>
      </c>
      <c r="I26" s="38">
        <f>H26</f>
        <v>-11876.24000000002</v>
      </c>
    </row>
    <row r="27" spans="1:9" x14ac:dyDescent="0.25">
      <c r="A27" s="11" t="s">
        <v>51</v>
      </c>
      <c r="B27" s="11" t="s">
        <v>1159</v>
      </c>
      <c r="C27" s="13">
        <v>1.82</v>
      </c>
      <c r="D27" s="36">
        <v>110904.86</v>
      </c>
      <c r="E27" s="10">
        <v>93217.44</v>
      </c>
      <c r="F27" s="10">
        <f>F28+F29</f>
        <v>59212.65</v>
      </c>
      <c r="G27" s="10">
        <f>I63</f>
        <v>147747.63999999998</v>
      </c>
      <c r="H27" s="36">
        <f>D27+F27-G27</f>
        <v>22369.870000000024</v>
      </c>
      <c r="I27" s="38"/>
    </row>
    <row r="28" spans="1:9" x14ac:dyDescent="0.25">
      <c r="A28" s="11"/>
      <c r="B28" s="8" t="s">
        <v>53</v>
      </c>
      <c r="C28" s="13"/>
      <c r="D28" s="36"/>
      <c r="E28" s="11"/>
      <c r="F28" s="11">
        <v>95303.38</v>
      </c>
      <c r="G28" s="35"/>
      <c r="H28" s="36"/>
      <c r="I28" s="38"/>
    </row>
    <row r="29" spans="1:9" x14ac:dyDescent="0.25">
      <c r="A29" s="11"/>
      <c r="B29" s="8" t="s">
        <v>1092</v>
      </c>
      <c r="C29" s="13"/>
      <c r="D29" s="36"/>
      <c r="E29" s="11"/>
      <c r="F29" s="11">
        <v>-36090.730000000003</v>
      </c>
      <c r="G29" s="35"/>
      <c r="H29" s="36"/>
      <c r="I29" s="38"/>
    </row>
    <row r="30" spans="1:9" x14ac:dyDescent="0.25">
      <c r="A30" s="10" t="s">
        <v>56</v>
      </c>
      <c r="B30" s="11" t="s">
        <v>1160</v>
      </c>
      <c r="C30" s="16">
        <v>0</v>
      </c>
      <c r="D30" s="38">
        <v>-36090.730000000003</v>
      </c>
      <c r="E30" s="11">
        <v>0</v>
      </c>
      <c r="F30" s="11">
        <v>-36090.730000000003</v>
      </c>
      <c r="G30" s="35">
        <v>0</v>
      </c>
      <c r="H30" s="36">
        <v>0</v>
      </c>
      <c r="I30" s="38"/>
    </row>
    <row r="31" spans="1:9" x14ac:dyDescent="0.25">
      <c r="A31" s="8"/>
      <c r="B31" s="8" t="s">
        <v>53</v>
      </c>
      <c r="C31" s="28"/>
      <c r="D31" s="7"/>
      <c r="E31" s="8">
        <v>0</v>
      </c>
      <c r="F31" s="8">
        <v>0</v>
      </c>
      <c r="G31" s="9">
        <v>0</v>
      </c>
      <c r="H31" s="7"/>
      <c r="I31" s="30"/>
    </row>
    <row r="32" spans="1:9" x14ac:dyDescent="0.25">
      <c r="A32" s="8"/>
      <c r="B32" s="8" t="s">
        <v>1092</v>
      </c>
      <c r="C32" s="9"/>
      <c r="D32" s="7"/>
      <c r="E32" s="8">
        <v>0</v>
      </c>
      <c r="F32" s="8">
        <v>-36090.730000000003</v>
      </c>
      <c r="G32" s="9">
        <v>0</v>
      </c>
      <c r="H32" s="7"/>
      <c r="I32" s="21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19"/>
    </row>
    <row r="34" spans="1:9" x14ac:dyDescent="0.25">
      <c r="A34" s="1" t="s">
        <v>59</v>
      </c>
      <c r="B34" s="2"/>
      <c r="C34" s="2"/>
      <c r="E34" s="2"/>
      <c r="F34" s="2"/>
      <c r="G34" s="2"/>
      <c r="H34" s="2"/>
      <c r="I34" s="2"/>
    </row>
    <row r="35" spans="1:9" x14ac:dyDescent="0.25">
      <c r="A35" s="63" t="s">
        <v>60</v>
      </c>
      <c r="B35" s="54" t="s">
        <v>61</v>
      </c>
      <c r="C35" s="5" t="s">
        <v>65</v>
      </c>
      <c r="D35" s="47" t="s">
        <v>63</v>
      </c>
      <c r="E35" s="54" t="s">
        <v>64</v>
      </c>
      <c r="F35" s="5" t="s">
        <v>65</v>
      </c>
      <c r="G35" s="5"/>
      <c r="H35" s="54" t="s">
        <v>195</v>
      </c>
      <c r="I35" s="47"/>
    </row>
    <row r="36" spans="1:9" x14ac:dyDescent="0.25">
      <c r="A36" s="6"/>
      <c r="B36" s="43"/>
      <c r="C36" s="17" t="s">
        <v>67</v>
      </c>
      <c r="D36" s="51" t="s">
        <v>23</v>
      </c>
      <c r="E36" s="61" t="s">
        <v>312</v>
      </c>
      <c r="F36" s="17" t="s">
        <v>30</v>
      </c>
      <c r="G36" s="17"/>
      <c r="H36" s="61"/>
      <c r="I36" s="51"/>
    </row>
    <row r="37" spans="1:9" x14ac:dyDescent="0.25">
      <c r="A37" s="11"/>
      <c r="B37" s="61" t="s">
        <v>69</v>
      </c>
      <c r="C37" s="30">
        <v>24278.55</v>
      </c>
      <c r="D37" s="8">
        <v>9600</v>
      </c>
      <c r="E37" s="162">
        <f>D37*15%</f>
        <v>1440</v>
      </c>
      <c r="F37" s="21">
        <f>C37+(D37-E37)</f>
        <v>32438.55</v>
      </c>
      <c r="G37" s="21"/>
      <c r="H37" s="162">
        <f>F37-G37</f>
        <v>32438.55</v>
      </c>
      <c r="I37" s="51"/>
    </row>
    <row r="38" spans="1:9" x14ac:dyDescent="0.25">
      <c r="A38" s="4"/>
      <c r="B38" s="43"/>
      <c r="C38" s="19"/>
      <c r="D38" s="43"/>
      <c r="E38" s="19"/>
      <c r="F38" s="19"/>
      <c r="G38" s="19"/>
      <c r="H38" s="19"/>
      <c r="I38" s="43"/>
    </row>
    <row r="39" spans="1:9" x14ac:dyDescent="0.25">
      <c r="A39" s="43"/>
      <c r="B39" s="43"/>
      <c r="C39" s="43"/>
      <c r="D39" s="166"/>
      <c r="E39" s="19"/>
      <c r="F39" s="19"/>
      <c r="G39" s="19"/>
      <c r="H39" s="19"/>
      <c r="I39" s="43"/>
    </row>
    <row r="40" spans="1:9" x14ac:dyDescent="0.25">
      <c r="A40" s="1" t="s">
        <v>248</v>
      </c>
      <c r="B40" s="1"/>
      <c r="C40" s="1"/>
      <c r="D40" s="45"/>
      <c r="E40" s="1"/>
      <c r="F40" s="1"/>
      <c r="G40" s="1"/>
      <c r="H40" s="1"/>
      <c r="I40" s="1"/>
    </row>
    <row r="41" spans="1:9" x14ac:dyDescent="0.25">
      <c r="A41" s="5" t="s">
        <v>72</v>
      </c>
      <c r="B41" s="53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249</v>
      </c>
      <c r="H41" s="5" t="s">
        <v>79</v>
      </c>
      <c r="I41" s="5" t="s">
        <v>19</v>
      </c>
    </row>
    <row r="42" spans="1:9" x14ac:dyDescent="0.25">
      <c r="A42" s="6"/>
      <c r="B42" s="55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6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6"/>
      <c r="I43" s="6" t="s">
        <v>30</v>
      </c>
    </row>
    <row r="44" spans="1:9" x14ac:dyDescent="0.25">
      <c r="A44" s="8"/>
      <c r="B44" s="8"/>
      <c r="C44" s="9"/>
      <c r="D44" s="8"/>
      <c r="E44" s="9"/>
      <c r="F44" s="8"/>
      <c r="G44" s="9"/>
      <c r="H44" s="8"/>
      <c r="I44" s="8"/>
    </row>
    <row r="45" spans="1:9" x14ac:dyDescent="0.25">
      <c r="A45" s="6">
        <v>1</v>
      </c>
      <c r="B45" s="6" t="s">
        <v>91</v>
      </c>
      <c r="C45" s="4" t="s">
        <v>92</v>
      </c>
      <c r="D45" s="6">
        <v>-43911.61</v>
      </c>
      <c r="E45" s="217">
        <v>369846.67</v>
      </c>
      <c r="F45" s="6">
        <v>372904.36</v>
      </c>
      <c r="G45" s="217">
        <f>E45</f>
        <v>369846.67</v>
      </c>
      <c r="H45" s="6">
        <f>D45+F45-G45</f>
        <v>-40853.919999999984</v>
      </c>
      <c r="I45" s="6">
        <f>H45</f>
        <v>-40853.919999999984</v>
      </c>
    </row>
    <row r="46" spans="1:9" x14ac:dyDescent="0.25">
      <c r="A46" s="8"/>
      <c r="B46" s="8" t="s">
        <v>93</v>
      </c>
      <c r="C46" s="35" t="s">
        <v>94</v>
      </c>
      <c r="D46" s="8"/>
      <c r="E46" s="59"/>
      <c r="F46" s="8"/>
      <c r="G46" s="59"/>
      <c r="H46" s="8"/>
      <c r="I46" s="8"/>
    </row>
    <row r="47" spans="1:9" x14ac:dyDescent="0.25">
      <c r="A47" s="6">
        <v>2</v>
      </c>
      <c r="B47" s="6" t="s">
        <v>160</v>
      </c>
      <c r="C47" s="1" t="s">
        <v>96</v>
      </c>
      <c r="D47" s="6">
        <v>-116800.4</v>
      </c>
      <c r="E47" s="2">
        <v>558268.52</v>
      </c>
      <c r="F47" s="6">
        <v>558345.69999999995</v>
      </c>
      <c r="G47" s="2">
        <f>E47</f>
        <v>558268.52</v>
      </c>
      <c r="H47" s="6">
        <f>D47+F47-G47</f>
        <v>-116723.22000000009</v>
      </c>
      <c r="I47" s="6">
        <f>H47</f>
        <v>-116723.22000000009</v>
      </c>
    </row>
    <row r="48" spans="1:9" x14ac:dyDescent="0.25">
      <c r="A48" s="8"/>
      <c r="B48" s="8" t="s">
        <v>313</v>
      </c>
      <c r="C48" s="35" t="s">
        <v>94</v>
      </c>
      <c r="D48" s="8"/>
      <c r="E48" s="9"/>
      <c r="F48" s="8"/>
      <c r="G48" s="9"/>
      <c r="H48" s="8"/>
      <c r="I48" s="8"/>
    </row>
    <row r="49" spans="1:9" x14ac:dyDescent="0.25">
      <c r="A49" s="8">
        <v>3</v>
      </c>
      <c r="B49" s="8" t="s">
        <v>99</v>
      </c>
      <c r="C49" s="35" t="s">
        <v>100</v>
      </c>
      <c r="D49" s="8">
        <v>-344704.92</v>
      </c>
      <c r="E49" s="9">
        <v>1498215.84</v>
      </c>
      <c r="F49" s="8">
        <v>1443001.39</v>
      </c>
      <c r="G49" s="9">
        <f>E49</f>
        <v>1498215.84</v>
      </c>
      <c r="H49" s="8">
        <f>D49+F49-G49</f>
        <v>-399919.37000000011</v>
      </c>
      <c r="I49" s="8">
        <f>H49</f>
        <v>-399919.37000000011</v>
      </c>
    </row>
    <row r="50" spans="1:9" x14ac:dyDescent="0.25">
      <c r="A50" s="1" t="s">
        <v>251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" t="s">
        <v>252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6" t="s">
        <v>12</v>
      </c>
      <c r="B52" s="5" t="s">
        <v>103</v>
      </c>
      <c r="C52" s="46" t="s">
        <v>104</v>
      </c>
      <c r="D52" s="54"/>
      <c r="E52" s="54"/>
      <c r="F52" s="47"/>
      <c r="G52" s="5" t="s">
        <v>234</v>
      </c>
      <c r="H52" s="47" t="s">
        <v>374</v>
      </c>
      <c r="I52" s="5" t="s">
        <v>107</v>
      </c>
    </row>
    <row r="53" spans="1:9" x14ac:dyDescent="0.25">
      <c r="A53" s="49" t="s">
        <v>108</v>
      </c>
      <c r="B53" s="6" t="s">
        <v>72</v>
      </c>
      <c r="C53" s="49"/>
      <c r="D53" s="43"/>
      <c r="E53" s="43"/>
      <c r="F53" s="56"/>
      <c r="G53" s="6"/>
      <c r="H53" s="56" t="s">
        <v>85</v>
      </c>
      <c r="I53" s="6" t="s">
        <v>109</v>
      </c>
    </row>
    <row r="54" spans="1:9" x14ac:dyDescent="0.25">
      <c r="A54" s="62" t="s">
        <v>72</v>
      </c>
      <c r="B54" s="63"/>
      <c r="C54" s="53" t="s">
        <v>110</v>
      </c>
      <c r="D54" s="159"/>
      <c r="E54" s="159"/>
      <c r="F54" s="47"/>
      <c r="G54" s="5"/>
      <c r="H54" s="54"/>
      <c r="I54" s="5"/>
    </row>
    <row r="55" spans="1:9" x14ac:dyDescent="0.25">
      <c r="A55" s="64" t="s">
        <v>111</v>
      </c>
      <c r="B55" s="65">
        <v>43117</v>
      </c>
      <c r="C55" s="49" t="s">
        <v>1161</v>
      </c>
      <c r="D55" s="43"/>
      <c r="E55" s="43"/>
      <c r="F55" s="56"/>
      <c r="G55" s="26" t="s">
        <v>205</v>
      </c>
      <c r="H55" s="43">
        <v>1</v>
      </c>
      <c r="I55" s="6">
        <v>27918</v>
      </c>
    </row>
    <row r="56" spans="1:9" x14ac:dyDescent="0.25">
      <c r="A56" s="64" t="s">
        <v>114</v>
      </c>
      <c r="B56" s="65">
        <v>43186</v>
      </c>
      <c r="C56" s="49" t="s">
        <v>1162</v>
      </c>
      <c r="D56" s="43"/>
      <c r="E56" s="43"/>
      <c r="F56" s="56"/>
      <c r="G56" s="26" t="s">
        <v>203</v>
      </c>
      <c r="H56" s="43">
        <v>121</v>
      </c>
      <c r="I56" s="6">
        <v>24200</v>
      </c>
    </row>
    <row r="57" spans="1:9" x14ac:dyDescent="0.25">
      <c r="A57" s="64" t="s">
        <v>170</v>
      </c>
      <c r="B57" s="65">
        <v>43312</v>
      </c>
      <c r="C57" s="49" t="s">
        <v>738</v>
      </c>
      <c r="D57" s="43"/>
      <c r="E57" s="43"/>
      <c r="F57" s="56"/>
      <c r="G57" s="26" t="s">
        <v>172</v>
      </c>
      <c r="H57" s="43">
        <v>1</v>
      </c>
      <c r="I57" s="6">
        <v>1155.03</v>
      </c>
    </row>
    <row r="58" spans="1:9" x14ac:dyDescent="0.25">
      <c r="A58" s="64" t="s">
        <v>173</v>
      </c>
      <c r="B58" s="65">
        <v>43347</v>
      </c>
      <c r="C58" s="49" t="s">
        <v>360</v>
      </c>
      <c r="D58" s="43"/>
      <c r="E58" s="43"/>
      <c r="F58" s="56"/>
      <c r="G58" s="26" t="s">
        <v>116</v>
      </c>
      <c r="H58" s="43">
        <v>105</v>
      </c>
      <c r="I58" s="6">
        <v>11750</v>
      </c>
    </row>
    <row r="59" spans="1:9" x14ac:dyDescent="0.25">
      <c r="A59" s="64" t="s">
        <v>257</v>
      </c>
      <c r="B59" s="65">
        <v>43371</v>
      </c>
      <c r="C59" s="49" t="s">
        <v>624</v>
      </c>
      <c r="D59" s="43"/>
      <c r="E59" s="43"/>
      <c r="F59" s="56"/>
      <c r="G59" s="26" t="s">
        <v>205</v>
      </c>
      <c r="H59" s="43">
        <v>1</v>
      </c>
      <c r="I59" s="6">
        <v>35499.75</v>
      </c>
    </row>
    <row r="60" spans="1:9" x14ac:dyDescent="0.25">
      <c r="A60" s="64" t="s">
        <v>406</v>
      </c>
      <c r="B60" s="65">
        <v>43371</v>
      </c>
      <c r="C60" s="49" t="s">
        <v>1163</v>
      </c>
      <c r="D60" s="43"/>
      <c r="E60" s="43"/>
      <c r="F60" s="56"/>
      <c r="G60" s="26" t="s">
        <v>116</v>
      </c>
      <c r="H60" s="43">
        <v>13.7</v>
      </c>
      <c r="I60" s="6">
        <v>15387.06</v>
      </c>
    </row>
    <row r="61" spans="1:9" x14ac:dyDescent="0.25">
      <c r="A61" s="64" t="s">
        <v>408</v>
      </c>
      <c r="B61" s="65">
        <v>43434</v>
      </c>
      <c r="C61" s="49" t="s">
        <v>1164</v>
      </c>
      <c r="D61" s="43"/>
      <c r="E61" s="43"/>
      <c r="F61" s="56"/>
      <c r="G61" s="26" t="s">
        <v>116</v>
      </c>
      <c r="H61" s="43">
        <v>62.4</v>
      </c>
      <c r="I61" s="6">
        <v>31452.799999999999</v>
      </c>
    </row>
    <row r="62" spans="1:9" x14ac:dyDescent="0.25">
      <c r="A62" s="64" t="s">
        <v>1165</v>
      </c>
      <c r="B62" s="65">
        <v>43452</v>
      </c>
      <c r="C62" s="49" t="s">
        <v>1166</v>
      </c>
      <c r="D62" s="43"/>
      <c r="E62" s="43"/>
      <c r="F62" s="56"/>
      <c r="G62" s="26" t="s">
        <v>205</v>
      </c>
      <c r="H62" s="43">
        <v>1</v>
      </c>
      <c r="I62" s="6">
        <v>385</v>
      </c>
    </row>
    <row r="63" spans="1:9" x14ac:dyDescent="0.25">
      <c r="A63" s="66"/>
      <c r="B63" s="17"/>
      <c r="C63" s="14" t="s">
        <v>117</v>
      </c>
      <c r="D63" s="13"/>
      <c r="E63" s="13"/>
      <c r="F63" s="67"/>
      <c r="G63" s="268"/>
      <c r="H63" s="13"/>
      <c r="I63" s="11">
        <f>SUM(I55:I62)</f>
        <v>147747.63999999998</v>
      </c>
    </row>
    <row r="64" spans="1:9" x14ac:dyDescent="0.25">
      <c r="A64" s="43"/>
      <c r="B64" s="43"/>
      <c r="C64" s="43"/>
      <c r="D64" s="43"/>
      <c r="E64" s="43"/>
      <c r="F64" s="43"/>
      <c r="G64" s="19"/>
      <c r="H64" s="43"/>
      <c r="I64" s="166"/>
    </row>
    <row r="65" spans="1:9" x14ac:dyDescent="0.25">
      <c r="A65" s="68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2" t="s">
        <v>1167</v>
      </c>
      <c r="B66" s="2"/>
      <c r="C66" s="189" t="s">
        <v>119</v>
      </c>
      <c r="E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40" workbookViewId="0">
      <selection activeCell="B66" sqref="B66"/>
    </sheetView>
  </sheetViews>
  <sheetFormatPr defaultRowHeight="15" x14ac:dyDescent="0.25"/>
  <cols>
    <col min="1" max="1" width="5.5703125" customWidth="1"/>
    <col min="2" max="2" width="35" customWidth="1"/>
    <col min="3" max="3" width="13" customWidth="1"/>
    <col min="4" max="4" width="10.140625" customWidth="1"/>
    <col min="5" max="5" width="11.28515625" customWidth="1"/>
    <col min="6" max="6" width="11.7109375" customWidth="1"/>
    <col min="8" max="8" width="11.5703125" customWidth="1"/>
    <col min="9" max="9" width="18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1168</v>
      </c>
      <c r="B6" s="1"/>
      <c r="C6" s="2"/>
      <c r="D6" s="2"/>
      <c r="E6" s="2"/>
      <c r="F6" s="2"/>
      <c r="G6" s="2"/>
      <c r="H6" s="2"/>
      <c r="I6" s="2"/>
    </row>
    <row r="7" spans="1:9" x14ac:dyDescent="0.25">
      <c r="A7" s="2" t="s">
        <v>1169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1170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887</v>
      </c>
      <c r="C18" s="14">
        <v>8.9600000000000009</v>
      </c>
      <c r="D18" s="16">
        <v>-18281.47</v>
      </c>
      <c r="E18" s="16">
        <v>453239.48</v>
      </c>
      <c r="F18" s="13">
        <v>452229</v>
      </c>
      <c r="G18" s="16">
        <f t="shared" ref="G18:G25" si="0">E18</f>
        <v>453239.48</v>
      </c>
      <c r="H18" s="15">
        <f>D18+F18-G18</f>
        <v>-19291.949999999953</v>
      </c>
      <c r="I18" s="16">
        <f>H18</f>
        <v>-19291.949999999953</v>
      </c>
    </row>
    <row r="19" spans="1:9" x14ac:dyDescent="0.25">
      <c r="A19" s="66" t="s">
        <v>138</v>
      </c>
      <c r="B19" s="17" t="s">
        <v>37</v>
      </c>
      <c r="C19" s="61">
        <v>3.08</v>
      </c>
      <c r="D19" s="21"/>
      <c r="E19" s="187">
        <f>E18*34.4%</f>
        <v>155914.38111999998</v>
      </c>
      <c r="F19" s="21">
        <f>F18*34.4%</f>
        <v>155566.77599999998</v>
      </c>
      <c r="G19" s="21">
        <f t="shared" si="0"/>
        <v>155914.38111999998</v>
      </c>
      <c r="H19" s="20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33"/>
      <c r="E20" s="33">
        <f>E18*16.4%</f>
        <v>74331.274719999987</v>
      </c>
      <c r="F20" s="33">
        <f>F18*16.4%</f>
        <v>74165.555999999997</v>
      </c>
      <c r="G20" s="33">
        <f t="shared" si="0"/>
        <v>74331.274719999987</v>
      </c>
      <c r="H20" s="25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0"/>
      <c r="E21" s="33">
        <f>E18*20.2%</f>
        <v>91554.374959999986</v>
      </c>
      <c r="F21" s="33">
        <f>F18*20.2%</f>
        <v>91350.257999999987</v>
      </c>
      <c r="G21" s="30">
        <f t="shared" si="0"/>
        <v>91554.374959999986</v>
      </c>
      <c r="H21" s="234"/>
      <c r="I21" s="30"/>
    </row>
    <row r="22" spans="1:9" x14ac:dyDescent="0.25">
      <c r="A22" s="22" t="s">
        <v>42</v>
      </c>
      <c r="B22" s="5" t="s">
        <v>43</v>
      </c>
      <c r="C22" s="54">
        <v>2.6</v>
      </c>
      <c r="D22" s="30"/>
      <c r="E22" s="33">
        <f>E18*29%</f>
        <v>131439.44919999997</v>
      </c>
      <c r="F22" s="33">
        <f>F18*29%</f>
        <v>131146.41</v>
      </c>
      <c r="G22" s="29">
        <f t="shared" si="0"/>
        <v>131439.44919999997</v>
      </c>
      <c r="H22" s="29"/>
      <c r="I22" s="30"/>
    </row>
    <row r="23" spans="1:9" x14ac:dyDescent="0.25">
      <c r="A23" s="22" t="s">
        <v>44</v>
      </c>
      <c r="B23" s="5" t="s">
        <v>45</v>
      </c>
      <c r="C23" s="159">
        <v>1755.25</v>
      </c>
      <c r="D23" s="30">
        <v>-18.54</v>
      </c>
      <c r="E23" s="33">
        <v>436.8</v>
      </c>
      <c r="F23" s="33">
        <v>443.15</v>
      </c>
      <c r="G23" s="29">
        <f>E23</f>
        <v>436.8</v>
      </c>
      <c r="H23" s="29">
        <f>D23+E23-F23</f>
        <v>-24.889999999999986</v>
      </c>
      <c r="I23" s="38">
        <f>H23</f>
        <v>-24.889999999999986</v>
      </c>
    </row>
    <row r="24" spans="1:9" x14ac:dyDescent="0.25">
      <c r="A24" s="22" t="s">
        <v>46</v>
      </c>
      <c r="B24" s="5" t="s">
        <v>47</v>
      </c>
      <c r="C24" s="159" t="s">
        <v>48</v>
      </c>
      <c r="D24" s="30">
        <v>-5654.26</v>
      </c>
      <c r="E24" s="9">
        <v>44668.58</v>
      </c>
      <c r="F24" s="8">
        <v>45014.57</v>
      </c>
      <c r="G24" s="9">
        <f>E24</f>
        <v>44668.58</v>
      </c>
      <c r="H24" s="30">
        <f>D24+F24-E24</f>
        <v>-5308.2700000000041</v>
      </c>
      <c r="I24" s="10">
        <f>H24</f>
        <v>-5308.2700000000041</v>
      </c>
    </row>
    <row r="25" spans="1:9" x14ac:dyDescent="0.25">
      <c r="A25" s="10" t="s">
        <v>49</v>
      </c>
      <c r="B25" s="10" t="s">
        <v>50</v>
      </c>
      <c r="C25" s="36">
        <v>4.5999999999999996</v>
      </c>
      <c r="D25" s="38">
        <v>-29843.53</v>
      </c>
      <c r="E25" s="10">
        <v>232690.08</v>
      </c>
      <c r="F25" s="10">
        <v>234449.79</v>
      </c>
      <c r="G25" s="10">
        <f t="shared" si="0"/>
        <v>232690.08</v>
      </c>
      <c r="H25" s="37">
        <f>D25+F25-G25</f>
        <v>-28083.819999999978</v>
      </c>
      <c r="I25" s="38">
        <f>H25</f>
        <v>-28083.819999999978</v>
      </c>
    </row>
    <row r="26" spans="1:9" x14ac:dyDescent="0.25">
      <c r="A26" s="11" t="s">
        <v>51</v>
      </c>
      <c r="B26" s="11" t="s">
        <v>1171</v>
      </c>
      <c r="C26" s="13">
        <v>1.82</v>
      </c>
      <c r="D26" s="11">
        <v>111601.07</v>
      </c>
      <c r="E26" s="11">
        <v>92064.639999999999</v>
      </c>
      <c r="F26" s="14">
        <f>F27+F28</f>
        <v>111087.07</v>
      </c>
      <c r="G26" s="11">
        <f>I63</f>
        <v>122077.46999999999</v>
      </c>
      <c r="H26" s="13">
        <f>D26+F26-G26</f>
        <v>100610.67000000003</v>
      </c>
      <c r="I26" s="38"/>
    </row>
    <row r="27" spans="1:9" x14ac:dyDescent="0.25">
      <c r="A27" s="11"/>
      <c r="B27" s="8" t="s">
        <v>53</v>
      </c>
      <c r="C27" s="13"/>
      <c r="D27" s="14"/>
      <c r="E27" s="11"/>
      <c r="F27" s="14">
        <v>93271.47</v>
      </c>
      <c r="G27" s="10"/>
      <c r="H27" s="13"/>
      <c r="I27" s="16"/>
    </row>
    <row r="28" spans="1:9" x14ac:dyDescent="0.25">
      <c r="A28" s="11"/>
      <c r="B28" s="8" t="s">
        <v>58</v>
      </c>
      <c r="C28" s="13"/>
      <c r="D28" s="14"/>
      <c r="E28" s="11"/>
      <c r="F28" s="14">
        <v>17815.599999999999</v>
      </c>
      <c r="G28" s="11"/>
      <c r="H28" s="13"/>
      <c r="I28" s="16"/>
    </row>
    <row r="29" spans="1:9" x14ac:dyDescent="0.25">
      <c r="A29" s="11" t="s">
        <v>56</v>
      </c>
      <c r="B29" s="11" t="s">
        <v>895</v>
      </c>
      <c r="C29" s="15"/>
      <c r="D29" s="14">
        <v>17713.05</v>
      </c>
      <c r="E29" s="11">
        <v>0</v>
      </c>
      <c r="F29" s="11">
        <v>-17815.599999999999</v>
      </c>
      <c r="G29" s="13" t="e">
        <f>G30+G31</f>
        <v>#REF!</v>
      </c>
      <c r="H29" s="14">
        <v>0</v>
      </c>
      <c r="I29" s="16"/>
    </row>
    <row r="30" spans="1:9" x14ac:dyDescent="0.25">
      <c r="A30" s="8"/>
      <c r="B30" s="8" t="s">
        <v>398</v>
      </c>
      <c r="C30" s="28"/>
      <c r="D30" s="50"/>
      <c r="E30" s="11">
        <v>0</v>
      </c>
      <c r="F30" s="11">
        <v>102.55</v>
      </c>
      <c r="G30" s="61" t="e">
        <f>#REF!</f>
        <v>#REF!</v>
      </c>
      <c r="H30" s="50"/>
      <c r="I30" s="30"/>
    </row>
    <row r="31" spans="1:9" x14ac:dyDescent="0.25">
      <c r="A31" s="8"/>
      <c r="B31" s="8" t="s">
        <v>58</v>
      </c>
      <c r="C31" s="9"/>
      <c r="D31" s="7">
        <v>0</v>
      </c>
      <c r="E31" s="8">
        <v>0</v>
      </c>
      <c r="F31" s="8">
        <f>D29+F30</f>
        <v>17815.599999999999</v>
      </c>
      <c r="G31" s="9">
        <v>0</v>
      </c>
      <c r="H31" s="7"/>
      <c r="I31" s="21"/>
    </row>
    <row r="32" spans="1:9" x14ac:dyDescent="0.25">
      <c r="A32" s="1" t="s">
        <v>59</v>
      </c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63" t="s">
        <v>60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30">
        <v>24278.55</v>
      </c>
      <c r="D36" s="8">
        <v>9600</v>
      </c>
      <c r="E36" s="162">
        <f>D36*15%</f>
        <v>1440</v>
      </c>
      <c r="F36" s="21">
        <f>C36+(D36-E36)</f>
        <v>32438.55</v>
      </c>
      <c r="G36" s="21"/>
      <c r="H36" s="162">
        <f>F36-G36</f>
        <v>32438.55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53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55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6" t="s">
        <v>89</v>
      </c>
      <c r="H40" s="6"/>
      <c r="I40" s="6" t="s">
        <v>30</v>
      </c>
    </row>
    <row r="41" spans="1:9" x14ac:dyDescent="0.25">
      <c r="A41" s="6"/>
      <c r="B41" s="49"/>
      <c r="C41" s="6"/>
      <c r="D41" s="43"/>
      <c r="E41" s="6"/>
      <c r="F41" s="43"/>
      <c r="G41" s="6"/>
      <c r="H41" s="6"/>
      <c r="I41" s="6"/>
    </row>
    <row r="42" spans="1:9" x14ac:dyDescent="0.25">
      <c r="A42" s="8">
        <v>1</v>
      </c>
      <c r="B42" s="8" t="s">
        <v>91</v>
      </c>
      <c r="C42" s="35" t="s">
        <v>92</v>
      </c>
      <c r="D42" s="8">
        <v>-41155.64</v>
      </c>
      <c r="E42" s="59">
        <v>340290</v>
      </c>
      <c r="F42" s="8">
        <v>348002.27</v>
      </c>
      <c r="G42" s="59">
        <f>E42</f>
        <v>340290</v>
      </c>
      <c r="H42" s="8">
        <f>D42+F42-G42</f>
        <v>-33443.369999999995</v>
      </c>
      <c r="I42" s="8">
        <f>H42</f>
        <v>-33443.369999999995</v>
      </c>
    </row>
    <row r="43" spans="1:9" x14ac:dyDescent="0.25">
      <c r="A43" s="8"/>
      <c r="B43" s="8" t="s">
        <v>93</v>
      </c>
      <c r="C43" s="35" t="s">
        <v>94</v>
      </c>
      <c r="D43" s="8"/>
      <c r="E43" s="59"/>
      <c r="F43" s="8"/>
      <c r="G43" s="59"/>
      <c r="H43" s="8"/>
      <c r="I43" s="8"/>
    </row>
    <row r="44" spans="1:9" x14ac:dyDescent="0.25">
      <c r="A44" s="6">
        <v>2</v>
      </c>
      <c r="B44" s="6" t="s">
        <v>160</v>
      </c>
      <c r="C44" s="1" t="s">
        <v>96</v>
      </c>
      <c r="D44" s="6">
        <v>-146899.29999999999</v>
      </c>
      <c r="E44" s="2">
        <v>529142.19999999995</v>
      </c>
      <c r="F44" s="6">
        <v>559608.38</v>
      </c>
      <c r="G44" s="2">
        <f>E44</f>
        <v>529142.19999999995</v>
      </c>
      <c r="H44" s="6">
        <f>D44+F44-G44</f>
        <v>-116433.11999999994</v>
      </c>
      <c r="I44" s="6">
        <f>H44</f>
        <v>-116433.11999999994</v>
      </c>
    </row>
    <row r="45" spans="1:9" x14ac:dyDescent="0.25">
      <c r="A45" s="8"/>
      <c r="B45" s="8" t="s">
        <v>198</v>
      </c>
      <c r="C45" s="35" t="s">
        <v>94</v>
      </c>
      <c r="D45" s="8"/>
      <c r="E45" s="9"/>
      <c r="F45" s="8"/>
      <c r="G45" s="9"/>
      <c r="H45" s="8"/>
      <c r="I45" s="8"/>
    </row>
    <row r="46" spans="1:9" x14ac:dyDescent="0.25">
      <c r="A46" s="8">
        <v>3</v>
      </c>
      <c r="B46" s="8" t="s">
        <v>99</v>
      </c>
      <c r="C46" s="35" t="s">
        <v>100</v>
      </c>
      <c r="D46" s="8">
        <v>-474359.14</v>
      </c>
      <c r="E46" s="9">
        <v>1520428.43</v>
      </c>
      <c r="F46" s="8">
        <v>1529671.28</v>
      </c>
      <c r="G46" s="9">
        <f>E46</f>
        <v>1520428.43</v>
      </c>
      <c r="H46" s="8">
        <f>D46+F46-G46</f>
        <v>-465116.2899999998</v>
      </c>
      <c r="I46" s="8">
        <f>H46</f>
        <v>-465116.2899999998</v>
      </c>
    </row>
    <row r="47" spans="1:9" x14ac:dyDescent="0.25">
      <c r="A47" s="1" t="s">
        <v>251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" t="s">
        <v>252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6" t="s">
        <v>12</v>
      </c>
      <c r="B49" s="46" t="s">
        <v>736</v>
      </c>
      <c r="C49" s="46" t="s">
        <v>104</v>
      </c>
      <c r="D49" s="54"/>
      <c r="E49" s="54"/>
      <c r="F49" s="47"/>
      <c r="G49" s="5" t="s">
        <v>199</v>
      </c>
      <c r="H49" s="47" t="s">
        <v>165</v>
      </c>
      <c r="I49" s="5" t="s">
        <v>107</v>
      </c>
    </row>
    <row r="50" spans="1:9" x14ac:dyDescent="0.25">
      <c r="A50" s="49" t="s">
        <v>108</v>
      </c>
      <c r="B50" s="49"/>
      <c r="C50" s="49"/>
      <c r="D50" s="43"/>
      <c r="E50" s="43"/>
      <c r="F50" s="56"/>
      <c r="G50" s="6" t="s">
        <v>201</v>
      </c>
      <c r="H50" s="56" t="s">
        <v>85</v>
      </c>
      <c r="I50" s="6" t="s">
        <v>109</v>
      </c>
    </row>
    <row r="51" spans="1:9" x14ac:dyDescent="0.25">
      <c r="A51" s="62"/>
      <c r="B51" s="159"/>
      <c r="C51" s="53" t="s">
        <v>110</v>
      </c>
      <c r="D51" s="159"/>
      <c r="E51" s="159"/>
      <c r="F51" s="47"/>
      <c r="G51" s="5"/>
      <c r="H51" s="54"/>
      <c r="I51" s="5"/>
    </row>
    <row r="52" spans="1:9" x14ac:dyDescent="0.25">
      <c r="A52" s="185">
        <v>1</v>
      </c>
      <c r="B52" s="69">
        <v>43186</v>
      </c>
      <c r="C52" s="49" t="s">
        <v>112</v>
      </c>
      <c r="D52" s="43"/>
      <c r="E52" s="43"/>
      <c r="F52" s="56"/>
      <c r="G52" s="6" t="s">
        <v>113</v>
      </c>
      <c r="H52" s="43">
        <v>121</v>
      </c>
      <c r="I52" s="6">
        <v>24200</v>
      </c>
    </row>
    <row r="53" spans="1:9" x14ac:dyDescent="0.25">
      <c r="A53" s="331">
        <v>2</v>
      </c>
      <c r="B53" s="69">
        <v>43189</v>
      </c>
      <c r="C53" s="257" t="s">
        <v>1172</v>
      </c>
      <c r="D53" s="166"/>
      <c r="E53" s="166"/>
      <c r="F53" s="314"/>
      <c r="G53" s="26" t="s">
        <v>116</v>
      </c>
      <c r="H53" s="166">
        <v>20</v>
      </c>
      <c r="I53" s="6">
        <v>5567.86</v>
      </c>
    </row>
    <row r="54" spans="1:9" x14ac:dyDescent="0.25">
      <c r="A54" s="331">
        <v>3</v>
      </c>
      <c r="B54" s="69">
        <v>43273</v>
      </c>
      <c r="C54" s="49" t="s">
        <v>254</v>
      </c>
      <c r="D54" s="43"/>
      <c r="E54" s="43"/>
      <c r="F54" s="56"/>
      <c r="G54" s="26" t="s">
        <v>255</v>
      </c>
      <c r="H54" s="43">
        <v>2</v>
      </c>
      <c r="I54" s="6">
        <v>2800</v>
      </c>
    </row>
    <row r="55" spans="1:9" x14ac:dyDescent="0.25">
      <c r="A55" s="222">
        <v>4</v>
      </c>
      <c r="B55" s="69">
        <v>43280</v>
      </c>
      <c r="C55" s="257" t="s">
        <v>1173</v>
      </c>
      <c r="D55" s="166"/>
      <c r="E55" s="166"/>
      <c r="F55" s="314"/>
      <c r="G55" s="26" t="s">
        <v>169</v>
      </c>
      <c r="H55" s="189">
        <v>3.8</v>
      </c>
      <c r="I55" s="6">
        <v>5314.98</v>
      </c>
    </row>
    <row r="56" spans="1:9" x14ac:dyDescent="0.25">
      <c r="A56" s="222">
        <v>5</v>
      </c>
      <c r="B56" s="69">
        <v>43312</v>
      </c>
      <c r="C56" s="257" t="s">
        <v>1174</v>
      </c>
      <c r="D56" s="166"/>
      <c r="E56" s="166"/>
      <c r="F56" s="314"/>
      <c r="G56" s="26" t="s">
        <v>205</v>
      </c>
      <c r="H56" s="189">
        <v>1</v>
      </c>
      <c r="I56" s="6">
        <v>3201.53</v>
      </c>
    </row>
    <row r="57" spans="1:9" x14ac:dyDescent="0.25">
      <c r="A57" s="222">
        <v>6</v>
      </c>
      <c r="B57" s="69">
        <v>43347</v>
      </c>
      <c r="C57" s="257" t="s">
        <v>1155</v>
      </c>
      <c r="D57" s="166"/>
      <c r="E57" s="166"/>
      <c r="F57" s="314"/>
      <c r="G57" s="26" t="s">
        <v>116</v>
      </c>
      <c r="H57" s="189">
        <v>105</v>
      </c>
      <c r="I57" s="6">
        <v>11750</v>
      </c>
    </row>
    <row r="58" spans="1:9" x14ac:dyDescent="0.25">
      <c r="A58" s="222">
        <v>7</v>
      </c>
      <c r="B58" s="69">
        <v>43371</v>
      </c>
      <c r="C58" s="257" t="s">
        <v>1175</v>
      </c>
      <c r="D58" s="166"/>
      <c r="E58" s="166"/>
      <c r="F58" s="314"/>
      <c r="G58" s="26" t="s">
        <v>169</v>
      </c>
      <c r="H58" s="189">
        <v>14</v>
      </c>
      <c r="I58" s="6">
        <v>10083.209999999999</v>
      </c>
    </row>
    <row r="59" spans="1:9" x14ac:dyDescent="0.25">
      <c r="A59" s="222">
        <v>8</v>
      </c>
      <c r="B59" s="69">
        <v>43439</v>
      </c>
      <c r="C59" s="257" t="s">
        <v>1176</v>
      </c>
      <c r="D59" s="166"/>
      <c r="E59" s="166"/>
      <c r="F59" s="314"/>
      <c r="G59" s="26" t="s">
        <v>205</v>
      </c>
      <c r="H59" s="189">
        <v>2</v>
      </c>
      <c r="I59" s="6">
        <v>52377</v>
      </c>
    </row>
    <row r="60" spans="1:9" x14ac:dyDescent="0.25">
      <c r="A60" s="222">
        <v>9</v>
      </c>
      <c r="B60" s="69">
        <v>43434</v>
      </c>
      <c r="C60" s="257" t="s">
        <v>1177</v>
      </c>
      <c r="D60" s="166"/>
      <c r="E60" s="166"/>
      <c r="F60" s="314"/>
      <c r="G60" s="26" t="s">
        <v>116</v>
      </c>
      <c r="H60" s="189">
        <v>6</v>
      </c>
      <c r="I60" s="6">
        <v>5962.89</v>
      </c>
    </row>
    <row r="61" spans="1:9" x14ac:dyDescent="0.25">
      <c r="A61" s="222">
        <v>10</v>
      </c>
      <c r="B61" s="69">
        <v>43455</v>
      </c>
      <c r="C61" s="257" t="s">
        <v>765</v>
      </c>
      <c r="D61" s="166"/>
      <c r="E61" s="166"/>
      <c r="F61" s="314"/>
      <c r="G61" s="26" t="s">
        <v>205</v>
      </c>
      <c r="H61" s="189">
        <v>1</v>
      </c>
      <c r="I61" s="6">
        <v>435</v>
      </c>
    </row>
    <row r="62" spans="1:9" x14ac:dyDescent="0.25">
      <c r="A62" s="222">
        <v>11</v>
      </c>
      <c r="B62" s="69">
        <v>43463</v>
      </c>
      <c r="C62" s="257" t="s">
        <v>1178</v>
      </c>
      <c r="D62" s="166"/>
      <c r="E62" s="166"/>
      <c r="F62" s="314"/>
      <c r="G62" s="26" t="s">
        <v>205</v>
      </c>
      <c r="H62" s="189">
        <v>1</v>
      </c>
      <c r="I62" s="6">
        <v>385</v>
      </c>
    </row>
    <row r="63" spans="1:9" x14ac:dyDescent="0.25">
      <c r="A63" s="66"/>
      <c r="B63" s="332"/>
      <c r="C63" s="14" t="s">
        <v>117</v>
      </c>
      <c r="D63" s="13"/>
      <c r="E63" s="13"/>
      <c r="F63" s="67"/>
      <c r="G63" s="268"/>
      <c r="H63" s="13"/>
      <c r="I63" s="11">
        <f>SUM(I51:I62)</f>
        <v>122077.46999999999</v>
      </c>
    </row>
    <row r="64" spans="1:9" x14ac:dyDescent="0.25">
      <c r="A64" s="43"/>
      <c r="B64" s="43"/>
      <c r="C64" s="43"/>
      <c r="D64" s="43"/>
      <c r="E64" s="43"/>
      <c r="F64" s="43"/>
      <c r="G64" s="19"/>
      <c r="H64" s="43"/>
    </row>
    <row r="65" spans="1:9" x14ac:dyDescent="0.25">
      <c r="A65" s="43"/>
      <c r="B65" s="4"/>
      <c r="C65" s="4"/>
      <c r="D65" s="43"/>
      <c r="E65" s="43"/>
      <c r="F65" s="43"/>
      <c r="G65" s="43"/>
      <c r="H65" s="43"/>
      <c r="I65" s="43"/>
    </row>
    <row r="66" spans="1:9" x14ac:dyDescent="0.25">
      <c r="A66" s="2" t="s">
        <v>665</v>
      </c>
      <c r="B66" s="2"/>
      <c r="C66" s="2"/>
      <c r="D66" s="189" t="s">
        <v>119</v>
      </c>
      <c r="F66" s="2" t="s">
        <v>1179</v>
      </c>
      <c r="G66" s="2"/>
      <c r="H66" s="333"/>
      <c r="I66" s="2" t="s">
        <v>1180</v>
      </c>
    </row>
    <row r="67" spans="1:9" x14ac:dyDescent="0.25">
      <c r="A67" s="2"/>
      <c r="B67" s="2"/>
      <c r="G67" s="210"/>
    </row>
  </sheetData>
  <pageMargins left="0.7" right="0.7" top="0.75" bottom="0.75" header="0.3" footer="0.3"/>
  <pageSetup paperSize="9" orientation="landscape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7" workbookViewId="0">
      <selection activeCell="C63" sqref="C63"/>
    </sheetView>
  </sheetViews>
  <sheetFormatPr defaultRowHeight="15" x14ac:dyDescent="0.25"/>
  <cols>
    <col min="1" max="1" width="5.28515625" customWidth="1"/>
    <col min="2" max="2" width="33.5703125" customWidth="1"/>
    <col min="3" max="3" width="12.85546875" customWidth="1"/>
    <col min="5" max="5" width="10.85546875" customWidth="1"/>
    <col min="6" max="6" width="17.7109375" customWidth="1"/>
    <col min="8" max="8" width="12" customWidth="1"/>
    <col min="9" max="9" width="19" customWidth="1"/>
  </cols>
  <sheetData>
    <row r="1" spans="1:9" x14ac:dyDescent="0.25">
      <c r="A1" s="1" t="s">
        <v>506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2</v>
      </c>
      <c r="B2" s="1"/>
      <c r="C2" s="1"/>
      <c r="D2" s="1"/>
      <c r="E2" s="1"/>
      <c r="F2" s="1"/>
      <c r="G2" s="1"/>
      <c r="H2" s="1"/>
      <c r="I2" s="2"/>
    </row>
    <row r="3" spans="1:9" x14ac:dyDescent="0.25">
      <c r="A3" s="1" t="s">
        <v>3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1181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1182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1183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269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1"/>
      <c r="F9" s="1"/>
      <c r="G9" s="1"/>
      <c r="H9" s="1"/>
      <c r="I9" s="1"/>
    </row>
    <row r="10" spans="1:9" x14ac:dyDescent="0.25">
      <c r="A10" s="1" t="s">
        <v>10</v>
      </c>
      <c r="B10" s="2"/>
      <c r="C10" s="2"/>
      <c r="D10" s="2"/>
      <c r="E10" s="1"/>
      <c r="F10" s="1"/>
      <c r="G10" s="1"/>
      <c r="H10" s="1"/>
      <c r="I10" s="1"/>
    </row>
    <row r="11" spans="1:9" x14ac:dyDescent="0.25">
      <c r="A11" s="4" t="s">
        <v>129</v>
      </c>
      <c r="B11" s="2"/>
      <c r="C11" s="2"/>
      <c r="D11" s="2"/>
      <c r="E11" s="1"/>
      <c r="F11" s="1"/>
      <c r="G11" s="1"/>
      <c r="H11" s="1"/>
      <c r="I11" s="1"/>
    </row>
    <row r="12" spans="1:9" x14ac:dyDescent="0.2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15</v>
      </c>
      <c r="I12" s="5" t="s">
        <v>19</v>
      </c>
    </row>
    <row r="13" spans="1:9" x14ac:dyDescent="0.25">
      <c r="A13" s="6" t="s">
        <v>20</v>
      </c>
      <c r="B13" s="6"/>
      <c r="C13" s="6" t="s">
        <v>214</v>
      </c>
      <c r="D13" s="6" t="s">
        <v>22</v>
      </c>
      <c r="E13" s="6" t="s">
        <v>23</v>
      </c>
      <c r="F13" s="6" t="s">
        <v>23</v>
      </c>
      <c r="G13" s="6" t="s">
        <v>24</v>
      </c>
      <c r="H13" s="6" t="s">
        <v>25</v>
      </c>
      <c r="I13" s="6" t="s">
        <v>26</v>
      </c>
    </row>
    <row r="14" spans="1:9" x14ac:dyDescent="0.25">
      <c r="A14" s="6"/>
      <c r="B14" s="6"/>
      <c r="C14" s="6" t="s">
        <v>27</v>
      </c>
      <c r="D14" s="6" t="s">
        <v>28</v>
      </c>
      <c r="E14" s="6"/>
      <c r="F14" s="6"/>
      <c r="G14" s="6" t="s">
        <v>29</v>
      </c>
      <c r="H14" s="6" t="s">
        <v>30</v>
      </c>
      <c r="I14" s="6" t="s">
        <v>31</v>
      </c>
    </row>
    <row r="15" spans="1:9" x14ac:dyDescent="0.25">
      <c r="A15" s="6"/>
      <c r="B15" s="6"/>
      <c r="C15" s="6" t="s">
        <v>135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1184</v>
      </c>
    </row>
    <row r="16" spans="1:9" x14ac:dyDescent="0.25">
      <c r="A16" s="9">
        <v>1</v>
      </c>
      <c r="B16" s="8">
        <v>2</v>
      </c>
      <c r="C16" s="9">
        <v>3</v>
      </c>
      <c r="D16" s="8">
        <v>4</v>
      </c>
      <c r="E16" s="9">
        <v>5</v>
      </c>
      <c r="F16" s="8">
        <v>6</v>
      </c>
      <c r="G16" s="9">
        <v>7</v>
      </c>
      <c r="H16" s="8">
        <v>8</v>
      </c>
      <c r="I16" s="8">
        <v>9</v>
      </c>
    </row>
    <row r="17" spans="1:9" x14ac:dyDescent="0.25">
      <c r="A17" s="14">
        <v>1</v>
      </c>
      <c r="B17" s="11" t="s">
        <v>323</v>
      </c>
      <c r="C17" s="16">
        <v>8.9600000000000009</v>
      </c>
      <c r="D17" s="16">
        <v>-11313.55</v>
      </c>
      <c r="E17" s="16">
        <v>652484.76</v>
      </c>
      <c r="F17" s="13">
        <v>645960.05000000005</v>
      </c>
      <c r="G17" s="16">
        <f>E17</f>
        <v>652484.76</v>
      </c>
      <c r="H17" s="15">
        <f>D17+F17-G17</f>
        <v>-17838.260000000009</v>
      </c>
      <c r="I17" s="16">
        <f>H17</f>
        <v>-17838.260000000009</v>
      </c>
    </row>
    <row r="18" spans="1:9" x14ac:dyDescent="0.25">
      <c r="A18" s="6" t="s">
        <v>36</v>
      </c>
      <c r="B18" s="17" t="s">
        <v>37</v>
      </c>
      <c r="C18" s="162">
        <v>3.08</v>
      </c>
      <c r="D18" s="21"/>
      <c r="E18" s="187">
        <f>E17*34.4%</f>
        <v>224454.75743999999</v>
      </c>
      <c r="F18" s="21">
        <f>F17*34.4%</f>
        <v>222210.25719999999</v>
      </c>
      <c r="G18" s="21">
        <f t="shared" ref="G18:G24" si="0">E18</f>
        <v>224454.75743999999</v>
      </c>
      <c r="H18" s="20"/>
      <c r="I18" s="21"/>
    </row>
    <row r="19" spans="1:9" x14ac:dyDescent="0.25">
      <c r="A19" s="22" t="s">
        <v>38</v>
      </c>
      <c r="B19" s="5" t="s">
        <v>39</v>
      </c>
      <c r="C19" s="24">
        <v>1.47</v>
      </c>
      <c r="D19" s="33"/>
      <c r="E19" s="33">
        <f>E17*16.4%</f>
        <v>107007.50063999998</v>
      </c>
      <c r="F19" s="33">
        <f>F17*16.4%</f>
        <v>105937.4482</v>
      </c>
      <c r="G19" s="33">
        <f t="shared" si="0"/>
        <v>107007.50063999998</v>
      </c>
      <c r="H19" s="25"/>
      <c r="I19" s="33"/>
    </row>
    <row r="20" spans="1:9" x14ac:dyDescent="0.25">
      <c r="A20" s="22" t="s">
        <v>40</v>
      </c>
      <c r="B20" s="5" t="s">
        <v>41</v>
      </c>
      <c r="C20" s="24">
        <v>1.81</v>
      </c>
      <c r="D20" s="33"/>
      <c r="E20" s="33">
        <f>E17*20.2%</f>
        <v>131801.92152</v>
      </c>
      <c r="F20" s="33">
        <f>F17*20.2%</f>
        <v>130483.9301</v>
      </c>
      <c r="G20" s="33">
        <f t="shared" si="0"/>
        <v>131801.92152</v>
      </c>
      <c r="H20" s="234"/>
      <c r="I20" s="33"/>
    </row>
    <row r="21" spans="1:9" x14ac:dyDescent="0.25">
      <c r="A21" s="22" t="s">
        <v>42</v>
      </c>
      <c r="B21" s="5" t="s">
        <v>43</v>
      </c>
      <c r="C21" s="24">
        <v>2.6</v>
      </c>
      <c r="D21" s="30"/>
      <c r="E21" s="33">
        <f>E17*29%</f>
        <v>189220.58039999998</v>
      </c>
      <c r="F21" s="33">
        <f>F17*29%</f>
        <v>187328.41450000001</v>
      </c>
      <c r="G21" s="29">
        <f t="shared" si="0"/>
        <v>189220.58039999998</v>
      </c>
      <c r="H21" s="29"/>
      <c r="I21" s="30"/>
    </row>
    <row r="22" spans="1:9" x14ac:dyDescent="0.25">
      <c r="A22" s="22" t="s">
        <v>44</v>
      </c>
      <c r="B22" s="5" t="s">
        <v>45</v>
      </c>
      <c r="C22" s="24">
        <v>1755.25</v>
      </c>
      <c r="D22" s="30">
        <v>-19</v>
      </c>
      <c r="E22" s="33">
        <v>436.92</v>
      </c>
      <c r="F22" s="33">
        <v>431.9</v>
      </c>
      <c r="G22" s="28">
        <f>E22</f>
        <v>436.92</v>
      </c>
      <c r="H22" s="29">
        <f>D22-E22+F22</f>
        <v>-24.020000000000039</v>
      </c>
      <c r="I22" s="38">
        <f>H22</f>
        <v>-24.020000000000039</v>
      </c>
    </row>
    <row r="23" spans="1:9" x14ac:dyDescent="0.25">
      <c r="A23" s="22" t="s">
        <v>46</v>
      </c>
      <c r="B23" s="5" t="s">
        <v>47</v>
      </c>
      <c r="C23" s="203" t="s">
        <v>48</v>
      </c>
      <c r="D23" s="5">
        <v>-26247.84</v>
      </c>
      <c r="E23" s="54">
        <v>152530.68</v>
      </c>
      <c r="F23" s="5">
        <v>150556.95000000001</v>
      </c>
      <c r="G23" s="43">
        <f>E23</f>
        <v>152530.68</v>
      </c>
      <c r="H23" s="8">
        <f>D23+F23-G23</f>
        <v>-28221.569999999978</v>
      </c>
      <c r="I23" s="195">
        <f>H23</f>
        <v>-28221.569999999978</v>
      </c>
    </row>
    <row r="24" spans="1:9" x14ac:dyDescent="0.25">
      <c r="A24" s="10" t="s">
        <v>49</v>
      </c>
      <c r="B24" s="10" t="s">
        <v>50</v>
      </c>
      <c r="C24" s="38">
        <v>4.5999999999999996</v>
      </c>
      <c r="D24" s="38">
        <v>-37091.949999999997</v>
      </c>
      <c r="E24" s="10">
        <v>334980.71999999997</v>
      </c>
      <c r="F24" s="10">
        <v>331552.09000000003</v>
      </c>
      <c r="G24" s="35">
        <f t="shared" si="0"/>
        <v>334980.71999999997</v>
      </c>
      <c r="H24" s="37">
        <f>D24+F24-G24</f>
        <v>-40520.579999999958</v>
      </c>
      <c r="I24" s="38">
        <f>H24</f>
        <v>-40520.579999999958</v>
      </c>
    </row>
    <row r="25" spans="1:9" x14ac:dyDescent="0.25">
      <c r="A25" s="10" t="s">
        <v>51</v>
      </c>
      <c r="B25" s="10" t="s">
        <v>191</v>
      </c>
      <c r="C25" s="38">
        <v>1</v>
      </c>
      <c r="D25" s="38">
        <v>-701.14</v>
      </c>
      <c r="E25" s="244">
        <v>0</v>
      </c>
      <c r="F25" s="193">
        <v>0</v>
      </c>
      <c r="G25" s="38">
        <v>0.23</v>
      </c>
      <c r="H25" s="193">
        <f>D25+F25-G25</f>
        <v>-701.37</v>
      </c>
      <c r="I25" s="38">
        <f>H25</f>
        <v>-701.37</v>
      </c>
    </row>
    <row r="26" spans="1:9" x14ac:dyDescent="0.25">
      <c r="A26" s="63" t="s">
        <v>56</v>
      </c>
      <c r="B26" s="1" t="s">
        <v>140</v>
      </c>
      <c r="C26" s="160">
        <v>3.43</v>
      </c>
      <c r="D26" s="16">
        <v>-61277.14</v>
      </c>
      <c r="E26" s="247">
        <v>247162.5</v>
      </c>
      <c r="F26" s="241">
        <v>245049.11</v>
      </c>
      <c r="G26" s="41">
        <f>E26</f>
        <v>247162.5</v>
      </c>
      <c r="H26" s="241">
        <f>D26+F26-G26</f>
        <v>-63390.530000000028</v>
      </c>
      <c r="I26" s="16">
        <f>H26</f>
        <v>-63390.530000000028</v>
      </c>
    </row>
    <row r="27" spans="1:9" x14ac:dyDescent="0.25">
      <c r="A27" s="10" t="s">
        <v>60</v>
      </c>
      <c r="B27" s="10" t="s">
        <v>310</v>
      </c>
      <c r="C27" s="193">
        <v>1.82</v>
      </c>
      <c r="D27" s="38">
        <v>42613.41</v>
      </c>
      <c r="E27" s="35">
        <v>132536.04</v>
      </c>
      <c r="F27" s="10">
        <f>F28+F29+F30</f>
        <v>146654.66</v>
      </c>
      <c r="G27" s="10">
        <f>G28</f>
        <v>77046.740000000005</v>
      </c>
      <c r="H27" s="38">
        <f>D27+F27-G27</f>
        <v>112221.33</v>
      </c>
      <c r="I27" s="41" t="s">
        <v>72</v>
      </c>
    </row>
    <row r="28" spans="1:9" x14ac:dyDescent="0.25">
      <c r="A28" s="10"/>
      <c r="B28" s="17" t="s">
        <v>398</v>
      </c>
      <c r="C28" s="161"/>
      <c r="D28" s="15"/>
      <c r="E28" s="10"/>
      <c r="F28" s="11">
        <v>134043.10999999999</v>
      </c>
      <c r="G28" s="13">
        <f>I63</f>
        <v>77046.740000000005</v>
      </c>
      <c r="H28" s="14"/>
      <c r="I28" s="38"/>
    </row>
    <row r="29" spans="1:9" x14ac:dyDescent="0.25">
      <c r="A29" s="10"/>
      <c r="B29" s="10" t="s">
        <v>918</v>
      </c>
      <c r="C29" s="13"/>
      <c r="D29" s="15"/>
      <c r="E29" s="10"/>
      <c r="F29" s="11">
        <v>230.57</v>
      </c>
      <c r="G29" s="13"/>
      <c r="H29" s="14"/>
      <c r="I29" s="41"/>
    </row>
    <row r="30" spans="1:9" x14ac:dyDescent="0.25">
      <c r="A30" s="10"/>
      <c r="B30" s="17" t="s">
        <v>1185</v>
      </c>
      <c r="C30" s="13"/>
      <c r="D30" s="15"/>
      <c r="E30" s="10"/>
      <c r="F30" s="11">
        <v>12380.98</v>
      </c>
      <c r="G30" s="13"/>
      <c r="H30" s="14"/>
      <c r="I30" s="38"/>
    </row>
    <row r="31" spans="1:9" x14ac:dyDescent="0.25">
      <c r="A31" s="10" t="s">
        <v>355</v>
      </c>
      <c r="B31" s="11" t="s">
        <v>1186</v>
      </c>
      <c r="C31" s="16">
        <v>0</v>
      </c>
      <c r="D31" s="14">
        <v>11682.23</v>
      </c>
      <c r="E31" s="10">
        <f>E32</f>
        <v>0</v>
      </c>
      <c r="F31" s="11">
        <v>-12380.98</v>
      </c>
      <c r="G31" s="13">
        <f>I65</f>
        <v>0</v>
      </c>
      <c r="H31" s="14">
        <v>0</v>
      </c>
      <c r="I31" s="30"/>
    </row>
    <row r="32" spans="1:9" x14ac:dyDescent="0.25">
      <c r="A32" s="8"/>
      <c r="B32" s="8" t="s">
        <v>53</v>
      </c>
      <c r="C32" s="28"/>
      <c r="D32" s="36"/>
      <c r="E32" s="10">
        <v>0</v>
      </c>
      <c r="F32" s="11">
        <v>698.75</v>
      </c>
      <c r="G32" s="35">
        <f>I65</f>
        <v>0</v>
      </c>
      <c r="H32" s="36"/>
      <c r="I32" s="30"/>
    </row>
    <row r="33" spans="1:9" x14ac:dyDescent="0.25">
      <c r="A33" s="7"/>
      <c r="B33" s="8" t="s">
        <v>58</v>
      </c>
      <c r="C33" s="28"/>
      <c r="D33" s="10"/>
      <c r="E33" s="35"/>
      <c r="F33" s="10">
        <f>D31+F32</f>
        <v>12380.98</v>
      </c>
      <c r="G33" s="35"/>
      <c r="H33" s="10"/>
      <c r="I33" s="27"/>
    </row>
    <row r="34" spans="1:9" x14ac:dyDescent="0.25">
      <c r="A34" s="1" t="s">
        <v>59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63" t="s">
        <v>60</v>
      </c>
      <c r="B36" s="54" t="s">
        <v>61</v>
      </c>
      <c r="C36" s="5" t="s">
        <v>65</v>
      </c>
      <c r="D36" s="47" t="s">
        <v>63</v>
      </c>
      <c r="E36" s="54" t="s">
        <v>64</v>
      </c>
      <c r="F36" s="5" t="s">
        <v>1187</v>
      </c>
      <c r="G36" s="5"/>
      <c r="H36" s="54" t="s">
        <v>195</v>
      </c>
      <c r="I36" s="47"/>
    </row>
    <row r="37" spans="1:9" x14ac:dyDescent="0.25">
      <c r="A37" s="6"/>
      <c r="B37" s="43"/>
      <c r="C37" s="17" t="s">
        <v>67</v>
      </c>
      <c r="D37" s="51" t="s">
        <v>23</v>
      </c>
      <c r="E37" s="61" t="s">
        <v>312</v>
      </c>
      <c r="F37" s="17" t="s">
        <v>1188</v>
      </c>
      <c r="G37" s="17"/>
      <c r="H37" s="61"/>
      <c r="I37" s="51"/>
    </row>
    <row r="38" spans="1:9" x14ac:dyDescent="0.25">
      <c r="A38" s="11"/>
      <c r="B38" s="61" t="s">
        <v>69</v>
      </c>
      <c r="C38" s="30">
        <v>23590.05</v>
      </c>
      <c r="D38" s="8">
        <v>9600</v>
      </c>
      <c r="E38" s="162">
        <f>D38*15%</f>
        <v>1440</v>
      </c>
      <c r="F38" s="21">
        <f>C38+(D38-E38)</f>
        <v>31750.05</v>
      </c>
      <c r="G38" s="21"/>
      <c r="H38" s="162">
        <f>F38-G38</f>
        <v>31750.05</v>
      </c>
      <c r="I38" s="51"/>
    </row>
    <row r="39" spans="1:9" x14ac:dyDescent="0.25">
      <c r="A39" s="4"/>
      <c r="B39" s="43"/>
      <c r="C39" s="19"/>
      <c r="D39" s="43"/>
      <c r="E39" s="19"/>
      <c r="F39" s="19"/>
      <c r="G39" s="19"/>
      <c r="H39" s="19"/>
      <c r="I39" s="43"/>
    </row>
    <row r="40" spans="1:9" x14ac:dyDescent="0.25">
      <c r="A40" s="1" t="s">
        <v>248</v>
      </c>
      <c r="B40" s="1"/>
      <c r="C40" s="1"/>
      <c r="D40" s="45"/>
      <c r="E40" s="1"/>
      <c r="F40" s="1"/>
      <c r="G40" s="1"/>
      <c r="H40" s="1"/>
      <c r="I40" s="1"/>
    </row>
    <row r="41" spans="1:9" x14ac:dyDescent="0.25">
      <c r="A41" s="5" t="s">
        <v>72</v>
      </c>
      <c r="B41" s="46" t="s">
        <v>73</v>
      </c>
      <c r="C41" s="5" t="s">
        <v>74</v>
      </c>
      <c r="D41" s="54" t="s">
        <v>75</v>
      </c>
      <c r="E41" s="5" t="s">
        <v>76</v>
      </c>
      <c r="F41" s="54" t="s">
        <v>77</v>
      </c>
      <c r="G41" s="5" t="s">
        <v>249</v>
      </c>
      <c r="H41" s="54" t="s">
        <v>79</v>
      </c>
      <c r="I41" s="5" t="s">
        <v>19</v>
      </c>
    </row>
    <row r="42" spans="1:9" x14ac:dyDescent="0.25">
      <c r="A42" s="6"/>
      <c r="B42" s="49" t="s">
        <v>80</v>
      </c>
      <c r="C42" s="6" t="s">
        <v>81</v>
      </c>
      <c r="D42" s="43" t="s">
        <v>82</v>
      </c>
      <c r="E42" s="6" t="s">
        <v>83</v>
      </c>
      <c r="F42" s="43" t="s">
        <v>84</v>
      </c>
      <c r="G42" s="6" t="s">
        <v>85</v>
      </c>
      <c r="H42" s="43" t="s">
        <v>86</v>
      </c>
      <c r="I42" s="6" t="s">
        <v>87</v>
      </c>
    </row>
    <row r="43" spans="1:9" x14ac:dyDescent="0.25">
      <c r="A43" s="6"/>
      <c r="B43" s="49"/>
      <c r="C43" s="6"/>
      <c r="D43" s="43"/>
      <c r="E43" s="6"/>
      <c r="F43" s="43" t="s">
        <v>88</v>
      </c>
      <c r="G43" s="6" t="s">
        <v>89</v>
      </c>
      <c r="H43" s="43"/>
      <c r="I43" s="6" t="s">
        <v>30</v>
      </c>
    </row>
    <row r="44" spans="1:9" x14ac:dyDescent="0.25">
      <c r="A44" s="6"/>
      <c r="B44" s="49"/>
      <c r="C44" s="6"/>
      <c r="D44" s="43"/>
      <c r="E44" s="6"/>
      <c r="F44" s="43"/>
      <c r="G44" s="17"/>
      <c r="H44" s="43"/>
      <c r="I44" s="6"/>
    </row>
    <row r="45" spans="1:9" x14ac:dyDescent="0.25">
      <c r="A45" s="5"/>
      <c r="B45" s="5"/>
      <c r="C45" s="159"/>
      <c r="D45" s="5"/>
      <c r="E45" s="54"/>
      <c r="F45" s="5"/>
      <c r="G45" s="43"/>
      <c r="H45" s="8"/>
      <c r="I45" s="47"/>
    </row>
    <row r="46" spans="1:9" x14ac:dyDescent="0.25">
      <c r="A46" s="5">
        <v>1</v>
      </c>
      <c r="B46" s="5" t="s">
        <v>91</v>
      </c>
      <c r="C46" s="159" t="s">
        <v>92</v>
      </c>
      <c r="D46" s="5">
        <v>-165516.4</v>
      </c>
      <c r="E46" s="188">
        <v>625443.21</v>
      </c>
      <c r="F46" s="5">
        <v>603509.17000000004</v>
      </c>
      <c r="G46" s="188">
        <f>E46</f>
        <v>625443.21</v>
      </c>
      <c r="H46" s="6">
        <f>D46+F46-G46</f>
        <v>-187450.43999999994</v>
      </c>
      <c r="I46" s="5">
        <f>H46</f>
        <v>-187450.43999999994</v>
      </c>
    </row>
    <row r="47" spans="1:9" x14ac:dyDescent="0.25">
      <c r="A47" s="8"/>
      <c r="B47" s="8" t="s">
        <v>93</v>
      </c>
      <c r="C47" s="35" t="s">
        <v>94</v>
      </c>
      <c r="D47" s="8"/>
      <c r="E47" s="59"/>
      <c r="F47" s="8"/>
      <c r="G47" s="59"/>
      <c r="H47" s="8"/>
      <c r="I47" s="8"/>
    </row>
    <row r="48" spans="1:9" x14ac:dyDescent="0.25">
      <c r="A48" s="6">
        <v>2</v>
      </c>
      <c r="B48" s="6" t="s">
        <v>160</v>
      </c>
      <c r="C48" s="1" t="s">
        <v>96</v>
      </c>
      <c r="D48" s="6">
        <v>-376795.44</v>
      </c>
      <c r="E48" s="2">
        <v>1017654.21</v>
      </c>
      <c r="F48" s="6">
        <v>1006657.93</v>
      </c>
      <c r="G48" s="2">
        <f>E48</f>
        <v>1017654.21</v>
      </c>
      <c r="H48" s="6">
        <f>D48+F48-G48</f>
        <v>-387791.72</v>
      </c>
      <c r="I48" s="6">
        <f>H48</f>
        <v>-387791.72</v>
      </c>
    </row>
    <row r="49" spans="1:9" x14ac:dyDescent="0.25">
      <c r="A49" s="8"/>
      <c r="B49" s="8" t="s">
        <v>198</v>
      </c>
      <c r="C49" s="35" t="s">
        <v>94</v>
      </c>
      <c r="D49" s="8"/>
      <c r="E49" s="9"/>
      <c r="F49" s="8"/>
      <c r="G49" s="9"/>
      <c r="H49" s="8"/>
      <c r="I49" s="8"/>
    </row>
    <row r="50" spans="1:9" x14ac:dyDescent="0.25">
      <c r="A50" s="8">
        <v>3</v>
      </c>
      <c r="B50" s="8" t="s">
        <v>99</v>
      </c>
      <c r="C50" s="35" t="s">
        <v>100</v>
      </c>
      <c r="D50" s="8">
        <v>-956466.23</v>
      </c>
      <c r="E50" s="9">
        <v>2193656.41</v>
      </c>
      <c r="F50" s="8">
        <v>2156174.7400000002</v>
      </c>
      <c r="G50" s="9">
        <f>E50</f>
        <v>2193656.41</v>
      </c>
      <c r="H50" s="8">
        <f>D50+F50-G50</f>
        <v>-993947.89999999991</v>
      </c>
      <c r="I50" s="8">
        <f>H50</f>
        <v>-993947.89999999991</v>
      </c>
    </row>
    <row r="51" spans="1:9" x14ac:dyDescent="0.25">
      <c r="A51" s="1" t="s">
        <v>251</v>
      </c>
      <c r="B51" s="1"/>
      <c r="C51" s="1"/>
      <c r="D51" s="1"/>
      <c r="E51" s="1"/>
      <c r="F51" s="1"/>
      <c r="G51" s="1"/>
      <c r="H51" s="1"/>
      <c r="I51" s="2"/>
    </row>
    <row r="52" spans="1:9" x14ac:dyDescent="0.25">
      <c r="A52" s="4" t="s">
        <v>252</v>
      </c>
      <c r="B52" s="1"/>
      <c r="C52" s="1"/>
      <c r="D52" s="1"/>
      <c r="E52" s="1"/>
      <c r="F52" s="1"/>
      <c r="G52" s="1"/>
      <c r="H52" s="1"/>
      <c r="I52" s="2"/>
    </row>
    <row r="53" spans="1:9" x14ac:dyDescent="0.25">
      <c r="A53" s="46" t="s">
        <v>12</v>
      </c>
      <c r="B53" s="5" t="s">
        <v>103</v>
      </c>
      <c r="C53" s="46" t="s">
        <v>104</v>
      </c>
      <c r="D53" s="54"/>
      <c r="E53" s="54"/>
      <c r="F53" s="47"/>
      <c r="G53" s="47" t="s">
        <v>105</v>
      </c>
      <c r="H53" s="47" t="s">
        <v>165</v>
      </c>
      <c r="I53" s="5" t="s">
        <v>107</v>
      </c>
    </row>
    <row r="54" spans="1:9" x14ac:dyDescent="0.25">
      <c r="A54" s="49" t="s">
        <v>108</v>
      </c>
      <c r="B54" s="6"/>
      <c r="C54" s="49"/>
      <c r="D54" s="43"/>
      <c r="E54" s="43"/>
      <c r="F54" s="56"/>
      <c r="G54" s="56"/>
      <c r="H54" s="56" t="s">
        <v>85</v>
      </c>
      <c r="I54" s="6" t="s">
        <v>109</v>
      </c>
    </row>
    <row r="55" spans="1:9" x14ac:dyDescent="0.25">
      <c r="A55" s="62" t="s">
        <v>72</v>
      </c>
      <c r="B55" s="63"/>
      <c r="C55" s="53" t="s">
        <v>110</v>
      </c>
      <c r="D55" s="159"/>
      <c r="E55" s="159"/>
      <c r="F55" s="47"/>
      <c r="G55" s="47"/>
      <c r="H55" s="47"/>
      <c r="I55" s="5"/>
    </row>
    <row r="56" spans="1:9" x14ac:dyDescent="0.25">
      <c r="A56" s="185">
        <v>1</v>
      </c>
      <c r="B56" s="65">
        <v>43186</v>
      </c>
      <c r="C56" s="49" t="s">
        <v>1189</v>
      </c>
      <c r="D56" s="43"/>
      <c r="E56" s="43"/>
      <c r="F56" s="56"/>
      <c r="G56" s="32" t="s">
        <v>113</v>
      </c>
      <c r="H56" s="56">
        <v>113</v>
      </c>
      <c r="I56" s="6">
        <v>22600</v>
      </c>
    </row>
    <row r="57" spans="1:9" x14ac:dyDescent="0.25">
      <c r="A57" s="331">
        <v>2</v>
      </c>
      <c r="B57" s="65">
        <v>43220</v>
      </c>
      <c r="C57" s="49" t="s">
        <v>1190</v>
      </c>
      <c r="D57" s="43"/>
      <c r="E57" s="43"/>
      <c r="F57" s="56"/>
      <c r="G57" s="32" t="s">
        <v>205</v>
      </c>
      <c r="H57" s="56">
        <v>4</v>
      </c>
      <c r="I57" s="6">
        <v>2051.61</v>
      </c>
    </row>
    <row r="58" spans="1:9" x14ac:dyDescent="0.25">
      <c r="A58">
        <v>3</v>
      </c>
      <c r="B58" s="65">
        <v>43404</v>
      </c>
      <c r="C58" s="49" t="s">
        <v>1189</v>
      </c>
      <c r="D58" s="43"/>
      <c r="E58" s="43"/>
      <c r="F58" s="56"/>
      <c r="G58" s="32" t="s">
        <v>116</v>
      </c>
      <c r="H58" s="56">
        <v>123</v>
      </c>
      <c r="I58" s="6">
        <v>24600</v>
      </c>
    </row>
    <row r="59" spans="1:9" x14ac:dyDescent="0.25">
      <c r="A59" s="331">
        <v>4</v>
      </c>
      <c r="B59" s="65">
        <v>43434</v>
      </c>
      <c r="C59" s="49" t="s">
        <v>1191</v>
      </c>
      <c r="D59" s="43"/>
      <c r="E59" s="43"/>
      <c r="F59" s="56"/>
      <c r="G59" s="32" t="s">
        <v>1192</v>
      </c>
      <c r="H59" s="56">
        <v>1</v>
      </c>
      <c r="I59" s="6">
        <v>17868.080000000002</v>
      </c>
    </row>
    <row r="60" spans="1:9" x14ac:dyDescent="0.25">
      <c r="A60" s="186"/>
      <c r="B60" s="65"/>
      <c r="C60" s="49" t="s">
        <v>1193</v>
      </c>
      <c r="D60" s="43"/>
      <c r="E60" s="43"/>
      <c r="F60" s="56"/>
      <c r="G60" s="32"/>
      <c r="H60" s="56"/>
      <c r="I60" s="6"/>
    </row>
    <row r="61" spans="1:9" x14ac:dyDescent="0.25">
      <c r="A61" s="331">
        <v>5</v>
      </c>
      <c r="B61" s="65">
        <v>43434</v>
      </c>
      <c r="C61" s="49" t="s">
        <v>1194</v>
      </c>
      <c r="D61" s="43"/>
      <c r="E61" s="43"/>
      <c r="F61" s="56"/>
      <c r="G61" s="32" t="s">
        <v>584</v>
      </c>
      <c r="H61" s="56">
        <v>1</v>
      </c>
      <c r="I61" s="6">
        <v>7154</v>
      </c>
    </row>
    <row r="62" spans="1:9" x14ac:dyDescent="0.25">
      <c r="A62" s="331">
        <v>6</v>
      </c>
      <c r="B62" s="65">
        <v>43463</v>
      </c>
      <c r="C62" s="49" t="s">
        <v>1195</v>
      </c>
      <c r="D62" s="43"/>
      <c r="E62" s="43"/>
      <c r="F62" s="56"/>
      <c r="G62" s="32" t="s">
        <v>205</v>
      </c>
      <c r="H62" s="56">
        <v>1</v>
      </c>
      <c r="I62" s="6">
        <v>2773.05</v>
      </c>
    </row>
    <row r="63" spans="1:9" x14ac:dyDescent="0.25">
      <c r="A63" s="66"/>
      <c r="B63" s="17"/>
      <c r="C63" s="14" t="s">
        <v>117</v>
      </c>
      <c r="D63" s="13"/>
      <c r="E63" s="13"/>
      <c r="F63" s="67"/>
      <c r="G63" s="265">
        <f>SUM(G57:G62)</f>
        <v>0</v>
      </c>
      <c r="H63" s="67"/>
      <c r="I63" s="11">
        <f>SUM(I56:I62)</f>
        <v>77046.740000000005</v>
      </c>
    </row>
    <row r="64" spans="1:9" x14ac:dyDescent="0.25">
      <c r="A64" s="43"/>
      <c r="B64" s="43"/>
      <c r="C64" s="43"/>
      <c r="D64" s="43"/>
      <c r="E64" s="43"/>
      <c r="F64" s="43"/>
      <c r="G64" s="19"/>
      <c r="H64" s="43"/>
      <c r="I64" s="43"/>
    </row>
    <row r="65" spans="1:9" x14ac:dyDescent="0.25">
      <c r="A65" s="68"/>
      <c r="B65" s="43"/>
      <c r="C65" s="4"/>
      <c r="D65" s="4"/>
      <c r="E65" s="4"/>
      <c r="F65" s="4"/>
      <c r="G65" s="4"/>
      <c r="H65" s="4"/>
      <c r="I65" s="4"/>
    </row>
    <row r="66" spans="1:9" x14ac:dyDescent="0.25">
      <c r="A66" s="2" t="s">
        <v>206</v>
      </c>
      <c r="B66" s="2"/>
      <c r="C66" s="2"/>
      <c r="D66" s="189" t="s">
        <v>119</v>
      </c>
      <c r="F66" s="2" t="s">
        <v>120</v>
      </c>
      <c r="G66" s="2" t="s">
        <v>1196</v>
      </c>
      <c r="H66" s="2"/>
      <c r="I66" s="2" t="s">
        <v>1197</v>
      </c>
    </row>
    <row r="67" spans="1:9" x14ac:dyDescent="0.25">
      <c r="A67" s="2"/>
      <c r="B67" s="2"/>
      <c r="G67" s="210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48" sqref="A48"/>
    </sheetView>
  </sheetViews>
  <sheetFormatPr defaultRowHeight="15" x14ac:dyDescent="0.25"/>
  <cols>
    <col min="1" max="1" width="5.140625" style="71" customWidth="1"/>
    <col min="2" max="2" width="30.28515625" style="71" customWidth="1"/>
    <col min="3" max="3" width="12" style="71" customWidth="1"/>
    <col min="4" max="5" width="9.140625" style="71"/>
    <col min="6" max="6" width="11.5703125" style="71" customWidth="1"/>
    <col min="7" max="7" width="10" style="71" customWidth="1"/>
    <col min="8" max="8" width="13" style="71" customWidth="1"/>
    <col min="9" max="9" width="18.28515625" style="71" customWidth="1"/>
    <col min="10" max="16384" width="9.140625" style="71"/>
  </cols>
  <sheetData>
    <row r="1" spans="1:9" x14ac:dyDescent="0.25">
      <c r="A1" s="72" t="s">
        <v>0</v>
      </c>
      <c r="B1" s="72"/>
      <c r="C1" s="180"/>
      <c r="D1" s="72"/>
      <c r="E1" s="72"/>
      <c r="F1" s="72"/>
      <c r="G1" s="72"/>
      <c r="H1" s="72"/>
      <c r="I1" s="72"/>
    </row>
    <row r="2" spans="1:9" x14ac:dyDescent="0.25">
      <c r="A2" s="72" t="s">
        <v>1</v>
      </c>
      <c r="B2" s="72"/>
      <c r="C2" s="180"/>
      <c r="D2" s="72"/>
      <c r="E2" s="72"/>
      <c r="F2" s="72"/>
      <c r="G2" s="72"/>
      <c r="H2" s="72"/>
      <c r="I2" s="167"/>
    </row>
    <row r="3" spans="1:9" x14ac:dyDescent="0.25">
      <c r="A3" s="72" t="s">
        <v>2</v>
      </c>
      <c r="B3" s="72"/>
      <c r="C3" s="180"/>
      <c r="D3" s="72"/>
      <c r="E3" s="72"/>
      <c r="F3" s="72"/>
      <c r="G3" s="72"/>
      <c r="H3" s="72"/>
      <c r="I3" s="72"/>
    </row>
    <row r="4" spans="1:9" x14ac:dyDescent="0.25">
      <c r="A4" s="72" t="s">
        <v>3</v>
      </c>
      <c r="B4" s="72"/>
      <c r="C4" s="180"/>
      <c r="D4" s="72"/>
      <c r="E4" s="72"/>
      <c r="F4" s="72"/>
      <c r="G4" s="72"/>
      <c r="H4" s="72"/>
      <c r="I4" s="72"/>
    </row>
    <row r="5" spans="1:9" x14ac:dyDescent="0.25">
      <c r="A5" s="72" t="s">
        <v>4</v>
      </c>
      <c r="B5" s="73"/>
      <c r="C5" s="181"/>
      <c r="D5" s="73"/>
      <c r="E5" s="73"/>
      <c r="F5" s="73"/>
      <c r="G5" s="73"/>
      <c r="H5" s="73"/>
      <c r="I5" s="73"/>
    </row>
    <row r="6" spans="1:9" x14ac:dyDescent="0.25">
      <c r="A6" s="72" t="s">
        <v>282</v>
      </c>
      <c r="B6" s="73"/>
      <c r="C6" s="181"/>
      <c r="D6" s="73"/>
      <c r="E6" s="73"/>
      <c r="F6" s="73"/>
      <c r="G6" s="73"/>
      <c r="H6" s="73"/>
      <c r="I6" s="73"/>
    </row>
    <row r="7" spans="1:9" x14ac:dyDescent="0.25">
      <c r="A7" s="73" t="s">
        <v>283</v>
      </c>
      <c r="B7" s="73"/>
      <c r="C7" s="181"/>
      <c r="D7" s="73"/>
      <c r="E7" s="73"/>
      <c r="F7" s="73"/>
      <c r="G7" s="73"/>
      <c r="H7" s="73"/>
      <c r="I7" s="73"/>
    </row>
    <row r="8" spans="1:9" x14ac:dyDescent="0.25">
      <c r="A8" s="73" t="s">
        <v>284</v>
      </c>
      <c r="B8" s="73"/>
      <c r="C8" s="181"/>
      <c r="D8" s="73"/>
      <c r="E8" s="73"/>
      <c r="F8" s="73"/>
      <c r="G8" s="73"/>
      <c r="H8" s="73"/>
      <c r="I8" s="73"/>
    </row>
    <row r="9" spans="1:9" x14ac:dyDescent="0.25">
      <c r="A9" s="73" t="s">
        <v>269</v>
      </c>
      <c r="B9" s="73"/>
      <c r="C9" s="181"/>
      <c r="D9" s="73"/>
      <c r="E9" s="73"/>
      <c r="F9" s="73"/>
      <c r="G9" s="73"/>
      <c r="H9" s="73"/>
      <c r="I9" s="73"/>
    </row>
    <row r="10" spans="1:9" x14ac:dyDescent="0.25">
      <c r="A10" s="72" t="s">
        <v>9</v>
      </c>
      <c r="B10" s="73"/>
      <c r="C10" s="181"/>
      <c r="D10" s="73"/>
      <c r="E10" s="73"/>
      <c r="F10" s="73"/>
      <c r="G10" s="73"/>
      <c r="H10" s="73"/>
      <c r="I10" s="73"/>
    </row>
    <row r="11" spans="1:9" x14ac:dyDescent="0.25">
      <c r="A11" s="72" t="s">
        <v>10</v>
      </c>
      <c r="B11" s="73"/>
      <c r="C11" s="181"/>
      <c r="D11" s="73"/>
      <c r="E11" s="73"/>
      <c r="F11" s="73"/>
      <c r="G11" s="73"/>
      <c r="H11" s="73"/>
      <c r="I11" s="73"/>
    </row>
    <row r="12" spans="1:9" x14ac:dyDescent="0.25">
      <c r="A12" s="74" t="s">
        <v>11</v>
      </c>
      <c r="B12" s="73"/>
      <c r="C12" s="181"/>
      <c r="D12" s="73"/>
      <c r="E12" s="73"/>
      <c r="F12" s="73"/>
      <c r="G12" s="73"/>
      <c r="H12" s="73"/>
      <c r="I12" s="73"/>
    </row>
    <row r="13" spans="1:9" x14ac:dyDescent="0.25">
      <c r="A13" s="75" t="s">
        <v>12</v>
      </c>
      <c r="B13" s="75" t="s">
        <v>13</v>
      </c>
      <c r="C13" s="92" t="s">
        <v>14</v>
      </c>
      <c r="D13" s="75" t="s">
        <v>15</v>
      </c>
      <c r="E13" s="75" t="s">
        <v>16</v>
      </c>
      <c r="F13" s="75" t="s">
        <v>17</v>
      </c>
      <c r="G13" s="75" t="s">
        <v>18</v>
      </c>
      <c r="H13" s="75" t="s">
        <v>15</v>
      </c>
      <c r="I13" s="75" t="s">
        <v>19</v>
      </c>
    </row>
    <row r="14" spans="1:9" x14ac:dyDescent="0.25">
      <c r="A14" s="76" t="s">
        <v>20</v>
      </c>
      <c r="B14" s="76"/>
      <c r="C14" s="147" t="s">
        <v>214</v>
      </c>
      <c r="D14" s="76" t="s">
        <v>22</v>
      </c>
      <c r="E14" s="76" t="s">
        <v>23</v>
      </c>
      <c r="F14" s="76" t="s">
        <v>23</v>
      </c>
      <c r="G14" s="76" t="s">
        <v>24</v>
      </c>
      <c r="H14" s="76" t="s">
        <v>25</v>
      </c>
      <c r="I14" s="76" t="s">
        <v>26</v>
      </c>
    </row>
    <row r="15" spans="1:9" x14ac:dyDescent="0.25">
      <c r="A15" s="76"/>
      <c r="B15" s="76"/>
      <c r="C15" s="147" t="s">
        <v>27</v>
      </c>
      <c r="D15" s="76" t="s">
        <v>28</v>
      </c>
      <c r="E15" s="76"/>
      <c r="F15" s="76"/>
      <c r="G15" s="76" t="s">
        <v>29</v>
      </c>
      <c r="H15" s="76" t="s">
        <v>30</v>
      </c>
      <c r="I15" s="76" t="s">
        <v>31</v>
      </c>
    </row>
    <row r="16" spans="1:9" x14ac:dyDescent="0.25">
      <c r="A16" s="76"/>
      <c r="B16" s="76"/>
      <c r="C16" s="147" t="s">
        <v>32</v>
      </c>
      <c r="D16" s="76" t="s">
        <v>33</v>
      </c>
      <c r="E16" s="76" t="s">
        <v>33</v>
      </c>
      <c r="F16" s="76" t="s">
        <v>33</v>
      </c>
      <c r="G16" s="76" t="s">
        <v>33</v>
      </c>
      <c r="H16" s="76" t="s">
        <v>33</v>
      </c>
      <c r="I16" s="76" t="s">
        <v>34</v>
      </c>
    </row>
    <row r="17" spans="1:9" x14ac:dyDescent="0.25">
      <c r="A17" s="77">
        <v>1</v>
      </c>
      <c r="B17" s="78">
        <v>2</v>
      </c>
      <c r="C17" s="182">
        <v>3</v>
      </c>
      <c r="D17" s="78">
        <v>4</v>
      </c>
      <c r="E17" s="97">
        <v>5</v>
      </c>
      <c r="F17" s="78">
        <v>6</v>
      </c>
      <c r="G17" s="97">
        <v>7</v>
      </c>
      <c r="H17" s="78">
        <v>8</v>
      </c>
      <c r="I17" s="75">
        <v>9</v>
      </c>
    </row>
    <row r="18" spans="1:9" x14ac:dyDescent="0.25">
      <c r="A18" s="129">
        <v>1</v>
      </c>
      <c r="B18" s="114" t="s">
        <v>186</v>
      </c>
      <c r="C18" s="141" t="s">
        <v>72</v>
      </c>
      <c r="D18" s="129"/>
      <c r="E18" s="140" t="s">
        <v>72</v>
      </c>
      <c r="F18" s="114" t="s">
        <v>72</v>
      </c>
      <c r="G18" s="129"/>
      <c r="H18" s="129" t="s">
        <v>72</v>
      </c>
      <c r="I18" s="140" t="s">
        <v>72</v>
      </c>
    </row>
    <row r="19" spans="1:9" x14ac:dyDescent="0.25">
      <c r="A19" s="105"/>
      <c r="B19" s="103" t="s">
        <v>187</v>
      </c>
      <c r="C19" s="111">
        <v>8.07</v>
      </c>
      <c r="D19" s="99">
        <v>-12812.33</v>
      </c>
      <c r="E19" s="99">
        <v>26427.599999999999</v>
      </c>
      <c r="F19" s="99">
        <v>25029.74</v>
      </c>
      <c r="G19" s="110">
        <f>E19</f>
        <v>26427.599999999999</v>
      </c>
      <c r="H19" s="110">
        <f>D19+F19-G19</f>
        <v>-14210.189999999997</v>
      </c>
      <c r="I19" s="99">
        <f>H19</f>
        <v>-14210.189999999997</v>
      </c>
    </row>
    <row r="20" spans="1:9" x14ac:dyDescent="0.25">
      <c r="A20" s="76" t="s">
        <v>36</v>
      </c>
      <c r="B20" s="76" t="s">
        <v>217</v>
      </c>
      <c r="C20" s="89"/>
      <c r="D20" s="147"/>
      <c r="E20" s="147"/>
      <c r="F20" s="147"/>
      <c r="G20" s="89"/>
      <c r="H20" s="131"/>
      <c r="I20" s="147"/>
    </row>
    <row r="21" spans="1:9" x14ac:dyDescent="0.25">
      <c r="A21" s="85"/>
      <c r="B21" s="85" t="s">
        <v>218</v>
      </c>
      <c r="C21" s="102">
        <v>3.08</v>
      </c>
      <c r="D21" s="147"/>
      <c r="E21" s="88">
        <f>E19*38%</f>
        <v>10042.487999999999</v>
      </c>
      <c r="F21" s="88">
        <f>F19*38%</f>
        <v>9511.3011999999999</v>
      </c>
      <c r="G21" s="89">
        <f>E21</f>
        <v>10042.487999999999</v>
      </c>
      <c r="H21" s="131"/>
      <c r="I21" s="147"/>
    </row>
    <row r="22" spans="1:9" x14ac:dyDescent="0.25">
      <c r="A22" s="91" t="s">
        <v>38</v>
      </c>
      <c r="B22" s="75" t="s">
        <v>188</v>
      </c>
      <c r="C22" s="146">
        <v>1.51</v>
      </c>
      <c r="D22" s="92"/>
      <c r="E22" s="92">
        <f>E19*18.7%</f>
        <v>4941.9611999999997</v>
      </c>
      <c r="F22" s="92">
        <f>F19*18.7%</f>
        <v>4680.5613800000001</v>
      </c>
      <c r="G22" s="93">
        <f>E22</f>
        <v>4941.9611999999997</v>
      </c>
      <c r="H22" s="93"/>
      <c r="I22" s="92"/>
    </row>
    <row r="23" spans="1:9" x14ac:dyDescent="0.25">
      <c r="A23" s="85"/>
      <c r="B23" s="85" t="s">
        <v>189</v>
      </c>
      <c r="C23" s="102"/>
      <c r="D23" s="88"/>
      <c r="E23" s="88"/>
      <c r="F23" s="88"/>
      <c r="G23" s="94"/>
      <c r="H23" s="94"/>
      <c r="I23" s="88"/>
    </row>
    <row r="24" spans="1:9" x14ac:dyDescent="0.25">
      <c r="A24" s="91" t="s">
        <v>40</v>
      </c>
      <c r="B24" s="75" t="s">
        <v>41</v>
      </c>
      <c r="C24" s="146">
        <v>0.88</v>
      </c>
      <c r="D24" s="147"/>
      <c r="E24" s="92">
        <f xml:space="preserve"> E19*11.1%</f>
        <v>2933.4636</v>
      </c>
      <c r="F24" s="92">
        <f>F19*11.1%</f>
        <v>2778.30114</v>
      </c>
      <c r="G24" s="89">
        <f>E24</f>
        <v>2933.4636</v>
      </c>
      <c r="H24" s="131"/>
      <c r="I24" s="147"/>
    </row>
    <row r="25" spans="1:9" x14ac:dyDescent="0.25">
      <c r="A25" s="91" t="s">
        <v>42</v>
      </c>
      <c r="B25" s="75" t="s">
        <v>43</v>
      </c>
      <c r="C25" s="146">
        <v>2.6</v>
      </c>
      <c r="D25" s="92"/>
      <c r="E25" s="92">
        <f>E19*32.2%</f>
        <v>8509.6872000000003</v>
      </c>
      <c r="F25" s="92">
        <f>F19*32.2%</f>
        <v>8059.5762800000011</v>
      </c>
      <c r="G25" s="93">
        <f>E25</f>
        <v>8509.6872000000003</v>
      </c>
      <c r="H25" s="93">
        <f>F25-E25</f>
        <v>-450.11091999999917</v>
      </c>
      <c r="I25" s="92">
        <f>H25</f>
        <v>-450.11091999999917</v>
      </c>
    </row>
    <row r="26" spans="1:9" x14ac:dyDescent="0.25">
      <c r="A26" s="91" t="s">
        <v>44</v>
      </c>
      <c r="B26" s="75" t="s">
        <v>47</v>
      </c>
      <c r="C26" s="183" t="s">
        <v>48</v>
      </c>
      <c r="D26" s="75">
        <v>-4400.99</v>
      </c>
      <c r="E26" s="79">
        <v>7997.16</v>
      </c>
      <c r="F26" s="75">
        <v>9136.7900000000009</v>
      </c>
      <c r="G26" s="79">
        <f>E26</f>
        <v>7997.16</v>
      </c>
      <c r="H26" s="75">
        <f>D26+F26-G26</f>
        <v>-3261.3599999999988</v>
      </c>
      <c r="I26" s="116">
        <f>H26</f>
        <v>-3261.3599999999988</v>
      </c>
    </row>
    <row r="27" spans="1:9" x14ac:dyDescent="0.25">
      <c r="A27" s="81" t="s">
        <v>49</v>
      </c>
      <c r="B27" s="81" t="s">
        <v>50</v>
      </c>
      <c r="C27" s="82">
        <v>4.5999999999999996</v>
      </c>
      <c r="D27" s="82">
        <v>-6300.17</v>
      </c>
      <c r="E27" s="81">
        <v>15064.08</v>
      </c>
      <c r="F27" s="81">
        <v>14242.34</v>
      </c>
      <c r="G27" s="104">
        <f>E27</f>
        <v>15064.08</v>
      </c>
      <c r="H27" s="80">
        <f>D27+F27-G27</f>
        <v>-7121.91</v>
      </c>
      <c r="I27" s="82">
        <f>H27</f>
        <v>-7121.91</v>
      </c>
    </row>
    <row r="28" spans="1:9" x14ac:dyDescent="0.25">
      <c r="A28" s="114" t="s">
        <v>51</v>
      </c>
      <c r="B28" s="114" t="s">
        <v>192</v>
      </c>
      <c r="C28" s="99">
        <v>1.48</v>
      </c>
      <c r="D28" s="105">
        <v>2765.01</v>
      </c>
      <c r="E28" s="103">
        <v>4846.8</v>
      </c>
      <c r="F28" s="103">
        <f>F29+F30</f>
        <v>9112.83</v>
      </c>
      <c r="G28" s="103">
        <f>I51</f>
        <v>0</v>
      </c>
      <c r="H28" s="105">
        <f>D28+F28-G28</f>
        <v>11877.84</v>
      </c>
      <c r="I28" s="99"/>
    </row>
    <row r="29" spans="1:9" x14ac:dyDescent="0.25">
      <c r="A29" s="103"/>
      <c r="B29" s="78" t="s">
        <v>53</v>
      </c>
      <c r="C29" s="99"/>
      <c r="D29" s="105"/>
      <c r="E29" s="103"/>
      <c r="F29" s="103">
        <v>4719.33</v>
      </c>
      <c r="G29" s="103"/>
      <c r="H29" s="105"/>
      <c r="I29" s="99"/>
    </row>
    <row r="30" spans="1:9" x14ac:dyDescent="0.25">
      <c r="A30" s="103"/>
      <c r="B30" s="78" t="s">
        <v>58</v>
      </c>
      <c r="C30" s="99"/>
      <c r="D30" s="105"/>
      <c r="E30" s="103"/>
      <c r="F30" s="103">
        <v>4393.5</v>
      </c>
      <c r="G30" s="103"/>
      <c r="H30" s="105"/>
      <c r="I30" s="99"/>
    </row>
    <row r="31" spans="1:9" x14ac:dyDescent="0.25">
      <c r="A31" s="103" t="s">
        <v>56</v>
      </c>
      <c r="B31" s="103" t="s">
        <v>57</v>
      </c>
      <c r="C31" s="99" t="s">
        <v>72</v>
      </c>
      <c r="D31" s="80">
        <v>4393.5</v>
      </c>
      <c r="E31" s="103">
        <v>0</v>
      </c>
      <c r="F31" s="103">
        <v>-4393.5</v>
      </c>
      <c r="G31" s="81">
        <v>0</v>
      </c>
      <c r="H31" s="105">
        <f>D31+F31</f>
        <v>0</v>
      </c>
      <c r="I31" s="82"/>
    </row>
    <row r="32" spans="1:9" x14ac:dyDescent="0.25">
      <c r="A32" s="78"/>
      <c r="B32" s="78" t="s">
        <v>58</v>
      </c>
      <c r="C32" s="124"/>
      <c r="D32" s="77"/>
      <c r="E32" s="78"/>
      <c r="F32" s="78">
        <v>4393.5</v>
      </c>
      <c r="G32" s="97"/>
      <c r="H32" s="77"/>
      <c r="I32" s="88"/>
    </row>
    <row r="33" spans="1:9" x14ac:dyDescent="0.25">
      <c r="A33" s="72" t="s">
        <v>59</v>
      </c>
      <c r="B33" s="73"/>
      <c r="C33" s="181"/>
      <c r="E33" s="73"/>
      <c r="F33" s="73"/>
      <c r="G33" s="73"/>
      <c r="H33" s="73"/>
      <c r="I33" s="73"/>
    </row>
    <row r="34" spans="1:9" x14ac:dyDescent="0.25">
      <c r="A34" s="72"/>
      <c r="B34" s="73"/>
      <c r="C34" s="181"/>
      <c r="E34" s="73"/>
      <c r="F34" s="73"/>
      <c r="G34" s="73"/>
      <c r="H34" s="73"/>
      <c r="I34" s="73"/>
    </row>
    <row r="35" spans="1:9" x14ac:dyDescent="0.25">
      <c r="A35" s="72"/>
      <c r="B35" s="73"/>
      <c r="C35" s="181"/>
      <c r="E35" s="73"/>
      <c r="F35" s="73"/>
      <c r="G35" s="73"/>
      <c r="H35" s="73"/>
      <c r="I35" s="73"/>
    </row>
    <row r="36" spans="1:9" x14ac:dyDescent="0.25">
      <c r="A36" s="74" t="s">
        <v>70</v>
      </c>
      <c r="C36" s="171"/>
    </row>
    <row r="37" spans="1:9" x14ac:dyDescent="0.25">
      <c r="A37" s="72" t="s">
        <v>71</v>
      </c>
      <c r="B37" s="74"/>
      <c r="C37" s="137"/>
      <c r="D37" s="152"/>
      <c r="E37" s="74"/>
      <c r="F37" s="74"/>
      <c r="G37" s="74"/>
      <c r="H37" s="74"/>
      <c r="I37" s="74"/>
    </row>
    <row r="38" spans="1:9" x14ac:dyDescent="0.25">
      <c r="A38" s="75" t="s">
        <v>72</v>
      </c>
      <c r="B38" s="139" t="s">
        <v>73</v>
      </c>
      <c r="C38" s="92" t="s">
        <v>74</v>
      </c>
      <c r="D38" s="79" t="s">
        <v>75</v>
      </c>
      <c r="E38" s="75" t="s">
        <v>76</v>
      </c>
      <c r="F38" s="79" t="s">
        <v>77</v>
      </c>
      <c r="G38" s="115" t="s">
        <v>78</v>
      </c>
      <c r="H38" s="92" t="s">
        <v>15</v>
      </c>
      <c r="I38" s="116" t="s">
        <v>19</v>
      </c>
    </row>
    <row r="39" spans="1:9" x14ac:dyDescent="0.25">
      <c r="A39" s="76"/>
      <c r="B39" s="74" t="s">
        <v>80</v>
      </c>
      <c r="C39" s="147" t="s">
        <v>81</v>
      </c>
      <c r="D39" s="117" t="s">
        <v>82</v>
      </c>
      <c r="E39" s="76" t="s">
        <v>83</v>
      </c>
      <c r="F39" s="117" t="s">
        <v>84</v>
      </c>
      <c r="G39" s="118" t="s">
        <v>85</v>
      </c>
      <c r="H39" s="147" t="s">
        <v>25</v>
      </c>
      <c r="I39" s="119" t="s">
        <v>87</v>
      </c>
    </row>
    <row r="40" spans="1:9" x14ac:dyDescent="0.25">
      <c r="A40" s="76"/>
      <c r="B40" s="117"/>
      <c r="C40" s="147"/>
      <c r="D40" s="117"/>
      <c r="E40" s="76"/>
      <c r="F40" s="117" t="s">
        <v>88</v>
      </c>
      <c r="G40" s="118" t="s">
        <v>89</v>
      </c>
      <c r="H40" s="147" t="s">
        <v>30</v>
      </c>
      <c r="I40" s="119" t="s">
        <v>221</v>
      </c>
    </row>
    <row r="41" spans="1:9" x14ac:dyDescent="0.25">
      <c r="A41" s="78">
        <v>1</v>
      </c>
      <c r="B41" s="78" t="s">
        <v>91</v>
      </c>
      <c r="C41" s="83" t="s">
        <v>92</v>
      </c>
      <c r="D41" s="78">
        <v>-15951.56</v>
      </c>
      <c r="E41" s="155">
        <v>60373.47</v>
      </c>
      <c r="F41" s="78">
        <v>58674.64</v>
      </c>
      <c r="G41" s="155">
        <f>E41</f>
        <v>60373.47</v>
      </c>
      <c r="H41" s="78">
        <f>D41+F41-G41</f>
        <v>-17650.39</v>
      </c>
      <c r="I41" s="78">
        <f>H41</f>
        <v>-17650.39</v>
      </c>
    </row>
    <row r="42" spans="1:9" x14ac:dyDescent="0.25">
      <c r="A42" s="120"/>
      <c r="B42" s="78" t="s">
        <v>285</v>
      </c>
      <c r="C42" s="111" t="s">
        <v>94</v>
      </c>
      <c r="D42" s="77"/>
      <c r="E42" s="77"/>
      <c r="F42" s="78"/>
      <c r="G42" s="97"/>
      <c r="H42" s="78"/>
      <c r="I42" s="123"/>
    </row>
    <row r="43" spans="1:9" x14ac:dyDescent="0.25">
      <c r="A43" s="73"/>
      <c r="B43" s="73" t="s">
        <v>72</v>
      </c>
      <c r="C43" s="181"/>
      <c r="D43" s="73"/>
      <c r="E43" s="73"/>
      <c r="F43" s="73" t="s">
        <v>72</v>
      </c>
      <c r="G43" s="73"/>
      <c r="H43" s="73"/>
      <c r="I43" s="73"/>
    </row>
    <row r="44" spans="1:9" x14ac:dyDescent="0.25">
      <c r="A44" s="72" t="s">
        <v>222</v>
      </c>
      <c r="B44" s="73"/>
      <c r="C44" s="181"/>
      <c r="D44" s="73"/>
      <c r="E44" s="73"/>
      <c r="F44" s="73"/>
      <c r="G44" s="73"/>
      <c r="H44" s="73"/>
      <c r="I44" s="73"/>
    </row>
    <row r="45" spans="1:9" x14ac:dyDescent="0.25">
      <c r="A45" s="74" t="s">
        <v>223</v>
      </c>
      <c r="B45" s="73"/>
      <c r="C45" s="181"/>
      <c r="D45" s="73"/>
      <c r="E45" s="73"/>
      <c r="F45" s="73"/>
      <c r="G45" s="73"/>
      <c r="H45" s="73"/>
      <c r="I45" s="73"/>
    </row>
    <row r="46" spans="1:9" x14ac:dyDescent="0.25">
      <c r="A46" s="115" t="s">
        <v>12</v>
      </c>
      <c r="B46" s="75" t="s">
        <v>103</v>
      </c>
      <c r="C46" s="93" t="s">
        <v>104</v>
      </c>
      <c r="D46" s="79"/>
      <c r="E46" s="79"/>
      <c r="F46" s="79"/>
      <c r="G46" s="75" t="s">
        <v>105</v>
      </c>
      <c r="H46" s="116" t="s">
        <v>106</v>
      </c>
      <c r="I46" s="116" t="s">
        <v>107</v>
      </c>
    </row>
    <row r="47" spans="1:9" x14ac:dyDescent="0.25">
      <c r="A47" s="118" t="s">
        <v>108</v>
      </c>
      <c r="B47" s="76"/>
      <c r="C47" s="131"/>
      <c r="D47" s="117"/>
      <c r="E47" s="117"/>
      <c r="F47" s="117"/>
      <c r="G47" s="76"/>
      <c r="H47" s="119"/>
      <c r="I47" s="119" t="s">
        <v>109</v>
      </c>
    </row>
    <row r="48" spans="1:9" x14ac:dyDescent="0.25">
      <c r="A48" s="118"/>
      <c r="B48" s="85"/>
      <c r="C48" s="94"/>
      <c r="D48" s="86"/>
      <c r="E48" s="86"/>
      <c r="F48" s="86"/>
      <c r="G48" s="85"/>
      <c r="H48" s="122"/>
      <c r="I48" s="119"/>
    </row>
    <row r="49" spans="1:9" x14ac:dyDescent="0.25">
      <c r="A49" s="128"/>
      <c r="B49" s="114"/>
      <c r="C49" s="142" t="s">
        <v>110</v>
      </c>
      <c r="D49" s="139"/>
      <c r="E49" s="139"/>
      <c r="F49" s="79"/>
      <c r="G49" s="75"/>
      <c r="H49" s="116"/>
      <c r="I49" s="116"/>
    </row>
    <row r="50" spans="1:9" x14ac:dyDescent="0.25">
      <c r="A50" s="130"/>
      <c r="B50" s="156"/>
      <c r="C50" s="131"/>
      <c r="D50" s="117"/>
      <c r="E50" s="117"/>
      <c r="F50" s="117"/>
      <c r="G50" s="147"/>
      <c r="H50" s="119"/>
      <c r="I50" s="119"/>
    </row>
    <row r="51" spans="1:9" x14ac:dyDescent="0.25">
      <c r="A51" s="84"/>
      <c r="B51" s="85"/>
      <c r="C51" s="110" t="s">
        <v>117</v>
      </c>
      <c r="D51" s="101"/>
      <c r="E51" s="101"/>
      <c r="F51" s="101"/>
      <c r="G51" s="99"/>
      <c r="H51" s="134"/>
      <c r="I51" s="134">
        <f>SUM(I50:I50)</f>
        <v>0</v>
      </c>
    </row>
    <row r="52" spans="1:9" x14ac:dyDescent="0.25">
      <c r="A52" s="117"/>
      <c r="B52" s="117"/>
      <c r="C52" s="89"/>
      <c r="D52" s="117"/>
      <c r="E52" s="117"/>
      <c r="F52" s="117"/>
      <c r="G52" s="117"/>
      <c r="H52" s="117"/>
      <c r="I52" s="117"/>
    </row>
    <row r="53" spans="1:9" x14ac:dyDescent="0.25">
      <c r="A53" s="117"/>
      <c r="B53" s="74"/>
      <c r="C53" s="137"/>
      <c r="D53" s="117"/>
      <c r="E53" s="117"/>
      <c r="F53" s="117"/>
      <c r="G53" s="117"/>
      <c r="H53" s="117"/>
      <c r="I53" s="117"/>
    </row>
    <row r="54" spans="1:9" x14ac:dyDescent="0.25">
      <c r="A54" s="135"/>
      <c r="B54" s="117"/>
      <c r="C54" s="89"/>
      <c r="D54" s="117"/>
      <c r="E54" s="117"/>
      <c r="F54" s="117"/>
      <c r="G54" s="117"/>
      <c r="H54" s="117"/>
      <c r="I54" s="117"/>
    </row>
    <row r="55" spans="1:9" x14ac:dyDescent="0.25">
      <c r="A55" s="135"/>
      <c r="B55" s="117"/>
      <c r="C55" s="89"/>
      <c r="D55" s="117"/>
      <c r="E55" s="117"/>
      <c r="F55" s="117"/>
      <c r="G55" s="117"/>
      <c r="H55" s="117"/>
      <c r="I55" s="117"/>
    </row>
    <row r="56" spans="1:9" x14ac:dyDescent="0.25">
      <c r="A56" s="73" t="s">
        <v>118</v>
      </c>
      <c r="B56" s="73"/>
      <c r="C56" s="181" t="s">
        <v>72</v>
      </c>
      <c r="D56" s="73" t="s">
        <v>119</v>
      </c>
      <c r="E56" s="73"/>
      <c r="F56" s="73" t="s">
        <v>120</v>
      </c>
      <c r="G56" s="73"/>
      <c r="H56" s="73" t="s">
        <v>121</v>
      </c>
      <c r="I56" s="73" t="s">
        <v>122</v>
      </c>
    </row>
    <row r="57" spans="1:9" x14ac:dyDescent="0.25">
      <c r="C57" s="171"/>
    </row>
    <row r="58" spans="1:9" x14ac:dyDescent="0.25">
      <c r="C58" s="171"/>
    </row>
  </sheetData>
  <pageMargins left="0.7" right="0.7" top="0.75" bottom="0.75" header="0.3" footer="0.3"/>
  <pageSetup paperSize="9" orientation="landscape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4" workbookViewId="0">
      <selection activeCell="B54" sqref="B54"/>
    </sheetView>
  </sheetViews>
  <sheetFormatPr defaultRowHeight="15" x14ac:dyDescent="0.25"/>
  <cols>
    <col min="1" max="1" width="4.5703125" customWidth="1"/>
    <col min="2" max="2" width="34.85546875" customWidth="1"/>
    <col min="3" max="3" width="12.28515625" customWidth="1"/>
    <col min="4" max="4" width="10.7109375" customWidth="1"/>
    <col min="5" max="5" width="11.28515625" customWidth="1"/>
    <col min="6" max="6" width="12.140625" customWidth="1"/>
    <col min="8" max="8" width="12.28515625" customWidth="1"/>
    <col min="9" max="9" width="17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286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1198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1199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1200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214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135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323</v>
      </c>
      <c r="C18" s="16">
        <v>8.9600000000000009</v>
      </c>
      <c r="D18" s="16">
        <v>-81943.289999999994</v>
      </c>
      <c r="E18" s="16">
        <v>903404.64</v>
      </c>
      <c r="F18" s="13">
        <v>867965.09</v>
      </c>
      <c r="G18" s="16">
        <f>E18</f>
        <v>903404.64</v>
      </c>
      <c r="H18" s="15">
        <f>D18+F18-G18</f>
        <v>-117382.84000000008</v>
      </c>
      <c r="I18" s="16">
        <f>H18</f>
        <v>-117382.84000000008</v>
      </c>
    </row>
    <row r="19" spans="1:9" x14ac:dyDescent="0.25">
      <c r="A19" s="6" t="s">
        <v>36</v>
      </c>
      <c r="B19" s="17" t="s">
        <v>37</v>
      </c>
      <c r="C19" s="162">
        <v>3.08</v>
      </c>
      <c r="D19" s="21"/>
      <c r="E19" s="187">
        <f>E18*34.4%</f>
        <v>310771.19615999999</v>
      </c>
      <c r="F19" s="21">
        <f>F18*34.4/100</f>
        <v>298579.99095999997</v>
      </c>
      <c r="G19" s="21">
        <f t="shared" ref="G19:G26" si="0">E19</f>
        <v>310771.19615999999</v>
      </c>
      <c r="H19" s="20"/>
      <c r="I19" s="21"/>
    </row>
    <row r="20" spans="1:9" x14ac:dyDescent="0.25">
      <c r="A20" s="22" t="s">
        <v>38</v>
      </c>
      <c r="B20" s="5" t="s">
        <v>39</v>
      </c>
      <c r="C20" s="24">
        <v>1.47</v>
      </c>
      <c r="D20" s="33"/>
      <c r="E20" s="33">
        <f>E18*16.4%</f>
        <v>148158.36095999999</v>
      </c>
      <c r="F20" s="33">
        <f>F18*16.4%</f>
        <v>142346.27475999997</v>
      </c>
      <c r="G20" s="33">
        <f t="shared" si="0"/>
        <v>148158.36095999999</v>
      </c>
      <c r="H20" s="25"/>
      <c r="I20" s="33"/>
    </row>
    <row r="21" spans="1:9" x14ac:dyDescent="0.25">
      <c r="A21" s="22" t="s">
        <v>40</v>
      </c>
      <c r="B21" s="5" t="s">
        <v>41</v>
      </c>
      <c r="C21" s="24">
        <v>1.81</v>
      </c>
      <c r="D21" s="30"/>
      <c r="E21" s="33">
        <f>E18*20.2/100</f>
        <v>182487.73728</v>
      </c>
      <c r="F21" s="33">
        <f>F18*20.2%</f>
        <v>175328.94817999998</v>
      </c>
      <c r="G21" s="30">
        <f t="shared" si="0"/>
        <v>182487.73728</v>
      </c>
      <c r="H21" s="235"/>
      <c r="I21" s="30"/>
    </row>
    <row r="22" spans="1:9" x14ac:dyDescent="0.25">
      <c r="A22" s="22" t="s">
        <v>42</v>
      </c>
      <c r="B22" s="5" t="s">
        <v>43</v>
      </c>
      <c r="C22" s="24">
        <v>2.6</v>
      </c>
      <c r="D22" s="26"/>
      <c r="E22" s="33">
        <f>E18*29%</f>
        <v>261987.34559999997</v>
      </c>
      <c r="F22" s="33">
        <f>F18*29%</f>
        <v>251709.87609999996</v>
      </c>
      <c r="G22" s="29">
        <f t="shared" si="0"/>
        <v>261987.34559999997</v>
      </c>
      <c r="H22" s="29"/>
      <c r="I22" s="30"/>
    </row>
    <row r="23" spans="1:9" x14ac:dyDescent="0.25">
      <c r="A23" s="22" t="s">
        <v>44</v>
      </c>
      <c r="B23" s="5" t="s">
        <v>45</v>
      </c>
      <c r="C23" s="24">
        <v>1755.25</v>
      </c>
      <c r="D23" s="30">
        <v>1154.46</v>
      </c>
      <c r="E23" s="33">
        <v>12725.74</v>
      </c>
      <c r="F23" s="33">
        <v>12223.16</v>
      </c>
      <c r="G23" s="19">
        <f>E23</f>
        <v>12725.74</v>
      </c>
      <c r="H23" s="44">
        <f>D23+F23-E23</f>
        <v>651.8799999999992</v>
      </c>
      <c r="I23" s="26"/>
    </row>
    <row r="24" spans="1:9" x14ac:dyDescent="0.25">
      <c r="A24" s="22" t="s">
        <v>46</v>
      </c>
      <c r="B24" s="5" t="s">
        <v>47</v>
      </c>
      <c r="C24" s="203" t="s">
        <v>48</v>
      </c>
      <c r="D24" s="30">
        <v>-18784.27</v>
      </c>
      <c r="E24" s="9">
        <v>102226.36</v>
      </c>
      <c r="F24" s="8">
        <v>106683.22</v>
      </c>
      <c r="G24" s="9">
        <f>E24</f>
        <v>102226.36</v>
      </c>
      <c r="H24" s="30">
        <f>D24+F24-E24</f>
        <v>-14327.410000000003</v>
      </c>
      <c r="I24" s="10">
        <f>H24</f>
        <v>-14327.410000000003</v>
      </c>
    </row>
    <row r="25" spans="1:9" x14ac:dyDescent="0.25">
      <c r="A25" s="10" t="s">
        <v>49</v>
      </c>
      <c r="B25" s="10" t="s">
        <v>50</v>
      </c>
      <c r="C25" s="38">
        <v>4.5999999999999996</v>
      </c>
      <c r="D25" s="38">
        <v>-54733.71</v>
      </c>
      <c r="E25" s="10">
        <v>463801.44</v>
      </c>
      <c r="F25" s="10">
        <v>448900.14</v>
      </c>
      <c r="G25" s="35">
        <f>E25</f>
        <v>463801.44</v>
      </c>
      <c r="H25" s="37">
        <f>D25+F25-G25</f>
        <v>-69635.010000000009</v>
      </c>
      <c r="I25" s="38">
        <f>H25</f>
        <v>-69635.010000000009</v>
      </c>
    </row>
    <row r="26" spans="1:9" x14ac:dyDescent="0.25">
      <c r="A26" s="10" t="s">
        <v>51</v>
      </c>
      <c r="B26" s="10" t="s">
        <v>191</v>
      </c>
      <c r="C26" s="38">
        <v>1</v>
      </c>
      <c r="D26" s="38">
        <v>-3635.23</v>
      </c>
      <c r="E26" s="244">
        <v>0</v>
      </c>
      <c r="F26" s="193">
        <v>379.27</v>
      </c>
      <c r="G26" s="38">
        <f t="shared" si="0"/>
        <v>0</v>
      </c>
      <c r="H26" s="193">
        <f>D26+F26-G26</f>
        <v>-3255.96</v>
      </c>
      <c r="I26" s="38">
        <f>H26</f>
        <v>-3255.96</v>
      </c>
    </row>
    <row r="27" spans="1:9" x14ac:dyDescent="0.25">
      <c r="A27" s="10" t="s">
        <v>56</v>
      </c>
      <c r="B27" s="35" t="s">
        <v>140</v>
      </c>
      <c r="C27" s="38">
        <v>3.43</v>
      </c>
      <c r="D27" s="38">
        <v>-63440.83</v>
      </c>
      <c r="E27" s="244">
        <v>345372.43</v>
      </c>
      <c r="F27" s="193">
        <v>333314.28000000003</v>
      </c>
      <c r="G27" s="38">
        <f>E27</f>
        <v>345372.43</v>
      </c>
      <c r="H27" s="193">
        <f>D27+F27-G27</f>
        <v>-75498.979999999981</v>
      </c>
      <c r="I27" s="38">
        <f>H27</f>
        <v>-75498.979999999981</v>
      </c>
    </row>
    <row r="28" spans="1:9" x14ac:dyDescent="0.25">
      <c r="A28" s="10" t="s">
        <v>60</v>
      </c>
      <c r="B28" s="10" t="s">
        <v>310</v>
      </c>
      <c r="C28" s="38">
        <v>1.82</v>
      </c>
      <c r="D28" s="34">
        <v>100190.91</v>
      </c>
      <c r="E28" s="10">
        <v>183504.84</v>
      </c>
      <c r="F28" s="10">
        <f>F29</f>
        <v>180060.52</v>
      </c>
      <c r="G28" s="10">
        <f>I56</f>
        <v>78221.429999999993</v>
      </c>
      <c r="H28" s="37">
        <f>D28+F28-G28</f>
        <v>202030</v>
      </c>
      <c r="I28" s="38"/>
    </row>
    <row r="29" spans="1:9" x14ac:dyDescent="0.25">
      <c r="A29" s="14"/>
      <c r="B29" s="8" t="s">
        <v>398</v>
      </c>
      <c r="C29" s="10"/>
      <c r="D29" s="34"/>
      <c r="E29" s="10"/>
      <c r="F29" s="10">
        <v>180060.52</v>
      </c>
      <c r="G29" s="10"/>
      <c r="H29" s="37"/>
      <c r="I29" s="38"/>
    </row>
    <row r="30" spans="1:9" x14ac:dyDescent="0.25">
      <c r="A30" s="4"/>
      <c r="B30" s="43"/>
      <c r="C30" s="4"/>
      <c r="D30" s="165"/>
      <c r="E30" s="4"/>
      <c r="F30" s="4"/>
      <c r="G30" s="4"/>
      <c r="H30" s="203"/>
      <c r="I30" s="246"/>
    </row>
    <row r="31" spans="1:9" x14ac:dyDescent="0.25">
      <c r="A31" s="63" t="s">
        <v>60</v>
      </c>
      <c r="B31" s="54" t="s">
        <v>61</v>
      </c>
      <c r="C31" s="5" t="s">
        <v>65</v>
      </c>
      <c r="D31" s="47" t="s">
        <v>63</v>
      </c>
      <c r="E31" s="54" t="s">
        <v>64</v>
      </c>
      <c r="F31" s="5" t="s">
        <v>65</v>
      </c>
      <c r="G31" s="5"/>
      <c r="H31" s="54" t="s">
        <v>195</v>
      </c>
      <c r="I31" s="47"/>
    </row>
    <row r="32" spans="1:9" x14ac:dyDescent="0.25">
      <c r="A32" s="17"/>
      <c r="B32" s="61"/>
      <c r="C32" s="17" t="s">
        <v>67</v>
      </c>
      <c r="D32" s="51" t="s">
        <v>23</v>
      </c>
      <c r="E32" s="61" t="s">
        <v>451</v>
      </c>
      <c r="F32" s="17" t="s">
        <v>30</v>
      </c>
      <c r="G32" s="17"/>
      <c r="H32" s="61"/>
      <c r="I32" s="51"/>
    </row>
    <row r="33" spans="1:9" x14ac:dyDescent="0.25">
      <c r="A33" s="11"/>
      <c r="B33" s="61" t="s">
        <v>69</v>
      </c>
      <c r="C33" s="21">
        <v>21740.55</v>
      </c>
      <c r="D33" s="8">
        <v>9600</v>
      </c>
      <c r="E33" s="162">
        <f>D33*15%</f>
        <v>1440</v>
      </c>
      <c r="F33" s="21">
        <f>C33+D33-E33</f>
        <v>29900.55</v>
      </c>
      <c r="G33" s="21"/>
      <c r="H33" s="162">
        <f>F33-G33</f>
        <v>29900.55</v>
      </c>
      <c r="I33" s="51"/>
    </row>
    <row r="34" spans="1:9" x14ac:dyDescent="0.25">
      <c r="A34" s="1" t="s">
        <v>248</v>
      </c>
      <c r="B34" s="1"/>
      <c r="C34" s="1"/>
      <c r="D34" s="45"/>
      <c r="E34" s="1"/>
      <c r="F34" s="1"/>
      <c r="G34" s="1"/>
      <c r="H34" s="1"/>
      <c r="I34" s="1"/>
    </row>
    <row r="35" spans="1:9" x14ac:dyDescent="0.25">
      <c r="A35" s="5" t="s">
        <v>72</v>
      </c>
      <c r="B35" s="53" t="s">
        <v>73</v>
      </c>
      <c r="C35" s="5" t="s">
        <v>74</v>
      </c>
      <c r="D35" s="54" t="s">
        <v>75</v>
      </c>
      <c r="E35" s="5" t="s">
        <v>76</v>
      </c>
      <c r="F35" s="54" t="s">
        <v>77</v>
      </c>
      <c r="G35" s="5" t="s">
        <v>249</v>
      </c>
      <c r="H35" s="5" t="s">
        <v>79</v>
      </c>
      <c r="I35" s="5" t="s">
        <v>19</v>
      </c>
    </row>
    <row r="36" spans="1:9" x14ac:dyDescent="0.25">
      <c r="A36" s="6"/>
      <c r="B36" s="55" t="s">
        <v>80</v>
      </c>
      <c r="C36" s="6" t="s">
        <v>81</v>
      </c>
      <c r="D36" s="43" t="s">
        <v>82</v>
      </c>
      <c r="E36" s="6" t="s">
        <v>83</v>
      </c>
      <c r="F36" s="43" t="s">
        <v>84</v>
      </c>
      <c r="G36" s="6" t="s">
        <v>85</v>
      </c>
      <c r="H36" s="6" t="s">
        <v>86</v>
      </c>
      <c r="I36" s="6" t="s">
        <v>87</v>
      </c>
    </row>
    <row r="37" spans="1:9" x14ac:dyDescent="0.25">
      <c r="A37" s="6"/>
      <c r="B37" s="49"/>
      <c r="C37" s="6"/>
      <c r="D37" s="43"/>
      <c r="E37" s="6"/>
      <c r="F37" s="43" t="s">
        <v>88</v>
      </c>
      <c r="G37" s="6" t="s">
        <v>89</v>
      </c>
      <c r="H37" s="6"/>
      <c r="I37" s="6" t="s">
        <v>30</v>
      </c>
    </row>
    <row r="38" spans="1:9" x14ac:dyDescent="0.25">
      <c r="A38" s="8"/>
      <c r="B38" s="7"/>
      <c r="C38" s="8"/>
      <c r="D38" s="8"/>
      <c r="E38" s="9"/>
      <c r="F38" s="8"/>
      <c r="G38" s="9"/>
      <c r="H38" s="8"/>
      <c r="I38" s="8"/>
    </row>
    <row r="39" spans="1:9" x14ac:dyDescent="0.25">
      <c r="A39" s="6">
        <v>1</v>
      </c>
      <c r="B39" s="6" t="s">
        <v>91</v>
      </c>
      <c r="C39" s="4" t="s">
        <v>92</v>
      </c>
      <c r="D39" s="6">
        <v>-104612.9</v>
      </c>
      <c r="E39" s="217">
        <v>666266.56000000006</v>
      </c>
      <c r="F39" s="6">
        <v>626168.35</v>
      </c>
      <c r="G39" s="217">
        <f>E39</f>
        <v>666266.56000000006</v>
      </c>
      <c r="H39" s="6">
        <f>D39+F39-G39</f>
        <v>-144711.1100000001</v>
      </c>
      <c r="I39" s="6">
        <f>H39</f>
        <v>-144711.1100000001</v>
      </c>
    </row>
    <row r="40" spans="1:9" x14ac:dyDescent="0.25">
      <c r="A40" s="8"/>
      <c r="B40" s="8" t="s">
        <v>93</v>
      </c>
      <c r="C40" s="35" t="s">
        <v>94</v>
      </c>
      <c r="D40" s="8"/>
      <c r="E40" s="59"/>
      <c r="F40" s="8"/>
      <c r="G40" s="59"/>
      <c r="H40" s="8"/>
      <c r="I40" s="8"/>
    </row>
    <row r="41" spans="1:9" x14ac:dyDescent="0.25">
      <c r="A41" s="6">
        <v>2</v>
      </c>
      <c r="B41" s="6" t="s">
        <v>160</v>
      </c>
      <c r="C41" s="1" t="s">
        <v>96</v>
      </c>
      <c r="D41" s="6">
        <v>-386301.35</v>
      </c>
      <c r="E41" s="2">
        <v>969611.15</v>
      </c>
      <c r="F41" s="6">
        <v>920272.54</v>
      </c>
      <c r="G41" s="2">
        <f>E41</f>
        <v>969611.15</v>
      </c>
      <c r="H41" s="6">
        <f>D41+F41-G41</f>
        <v>-435639.95999999996</v>
      </c>
      <c r="I41" s="6">
        <f>H41</f>
        <v>-435639.95999999996</v>
      </c>
    </row>
    <row r="42" spans="1:9" x14ac:dyDescent="0.25">
      <c r="A42" s="8"/>
      <c r="B42" s="8" t="s">
        <v>313</v>
      </c>
      <c r="C42" s="35" t="s">
        <v>94</v>
      </c>
      <c r="D42" s="8"/>
      <c r="E42" s="9"/>
      <c r="F42" s="8"/>
      <c r="G42" s="9"/>
      <c r="H42" s="8"/>
      <c r="I42" s="8"/>
    </row>
    <row r="43" spans="1:9" x14ac:dyDescent="0.25">
      <c r="A43" s="8">
        <v>3</v>
      </c>
      <c r="B43" s="8" t="s">
        <v>99</v>
      </c>
      <c r="C43" s="35" t="s">
        <v>100</v>
      </c>
      <c r="D43" s="8">
        <v>-881585.22</v>
      </c>
      <c r="E43" s="9">
        <v>2235208.5699999998</v>
      </c>
      <c r="F43" s="8">
        <v>2088893.55</v>
      </c>
      <c r="G43" s="9">
        <f>E43</f>
        <v>2235208.5699999998</v>
      </c>
      <c r="H43" s="8">
        <f>D43+F43-G43</f>
        <v>-1027900.2399999998</v>
      </c>
      <c r="I43" s="8">
        <f>H43</f>
        <v>-1027900.2399999998</v>
      </c>
    </row>
    <row r="44" spans="1:9" x14ac:dyDescent="0.25">
      <c r="A44" s="1" t="s">
        <v>251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" t="s">
        <v>252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6" t="s">
        <v>12</v>
      </c>
      <c r="B46" s="5" t="s">
        <v>103</v>
      </c>
      <c r="C46" s="46" t="s">
        <v>104</v>
      </c>
      <c r="D46" s="54"/>
      <c r="E46" s="54"/>
      <c r="F46" s="47"/>
      <c r="G46" s="5" t="s">
        <v>199</v>
      </c>
      <c r="H46" s="47" t="s">
        <v>200</v>
      </c>
      <c r="I46" s="5" t="s">
        <v>107</v>
      </c>
    </row>
    <row r="47" spans="1:9" x14ac:dyDescent="0.25">
      <c r="A47" s="49" t="s">
        <v>108</v>
      </c>
      <c r="B47" s="6" t="s">
        <v>72</v>
      </c>
      <c r="C47" s="49"/>
      <c r="D47" s="43"/>
      <c r="E47" s="43"/>
      <c r="F47" s="56"/>
      <c r="G47" s="6" t="s">
        <v>201</v>
      </c>
      <c r="H47" s="56"/>
      <c r="I47" s="6" t="s">
        <v>109</v>
      </c>
    </row>
    <row r="48" spans="1:9" x14ac:dyDescent="0.25">
      <c r="A48" s="49"/>
      <c r="B48" s="6"/>
      <c r="C48" s="49"/>
      <c r="D48" s="43"/>
      <c r="E48" s="43"/>
      <c r="F48" s="56"/>
      <c r="G48" s="6"/>
      <c r="H48" s="56"/>
      <c r="I48" s="6"/>
    </row>
    <row r="49" spans="1:9" x14ac:dyDescent="0.25">
      <c r="A49" s="49"/>
      <c r="B49" s="17"/>
      <c r="C49" s="50"/>
      <c r="D49" s="61"/>
      <c r="E49" s="61"/>
      <c r="F49" s="51"/>
      <c r="G49" s="6"/>
      <c r="H49" s="56"/>
      <c r="I49" s="17"/>
    </row>
    <row r="50" spans="1:9" x14ac:dyDescent="0.25">
      <c r="A50" s="62" t="s">
        <v>72</v>
      </c>
      <c r="B50" s="53"/>
      <c r="C50" s="53" t="s">
        <v>110</v>
      </c>
      <c r="D50" s="159"/>
      <c r="E50" s="159"/>
      <c r="F50" s="54"/>
      <c r="G50" s="5"/>
      <c r="H50" s="47"/>
      <c r="I50" s="5"/>
    </row>
    <row r="51" spans="1:9" x14ac:dyDescent="0.25">
      <c r="A51" s="64" t="s">
        <v>111</v>
      </c>
      <c r="B51" s="232">
        <v>43190</v>
      </c>
      <c r="C51" s="49" t="s">
        <v>582</v>
      </c>
      <c r="D51" s="43"/>
      <c r="E51" s="43"/>
      <c r="F51" s="43" t="s">
        <v>72</v>
      </c>
      <c r="G51" s="26" t="s">
        <v>262</v>
      </c>
      <c r="H51" s="56">
        <v>4.0999999999999996</v>
      </c>
      <c r="I51" s="6">
        <v>7852.37</v>
      </c>
    </row>
    <row r="52" spans="1:9" x14ac:dyDescent="0.25">
      <c r="A52" s="64" t="s">
        <v>114</v>
      </c>
      <c r="B52" s="232">
        <v>43186</v>
      </c>
      <c r="C52" s="49" t="s">
        <v>112</v>
      </c>
      <c r="D52" s="43"/>
      <c r="E52" s="43"/>
      <c r="F52" s="43"/>
      <c r="G52" s="26" t="s">
        <v>113</v>
      </c>
      <c r="H52" s="56">
        <v>120</v>
      </c>
      <c r="I52" s="6">
        <v>24000</v>
      </c>
    </row>
    <row r="53" spans="1:9" x14ac:dyDescent="0.25">
      <c r="A53" s="64" t="s">
        <v>170</v>
      </c>
      <c r="B53" s="232">
        <v>43404</v>
      </c>
      <c r="C53" s="49" t="s">
        <v>112</v>
      </c>
      <c r="D53" s="43"/>
      <c r="E53" s="43"/>
      <c r="F53" s="43"/>
      <c r="G53" s="26" t="s">
        <v>116</v>
      </c>
      <c r="H53" s="56">
        <v>120</v>
      </c>
      <c r="I53" s="6">
        <v>24000</v>
      </c>
    </row>
    <row r="54" spans="1:9" x14ac:dyDescent="0.25">
      <c r="A54" s="64" t="s">
        <v>173</v>
      </c>
      <c r="B54" s="232">
        <v>43434</v>
      </c>
      <c r="C54" s="49" t="s">
        <v>1201</v>
      </c>
      <c r="D54" s="43"/>
      <c r="E54" s="43"/>
      <c r="F54" s="43"/>
      <c r="G54" s="26" t="s">
        <v>116</v>
      </c>
      <c r="H54" s="56">
        <v>46</v>
      </c>
      <c r="I54" s="6">
        <v>22369.06</v>
      </c>
    </row>
    <row r="55" spans="1:9" x14ac:dyDescent="0.25">
      <c r="A55" s="64" t="s">
        <v>257</v>
      </c>
      <c r="B55" s="232"/>
      <c r="C55" s="49"/>
      <c r="D55" s="43"/>
      <c r="E55" s="43"/>
      <c r="F55" s="43"/>
      <c r="G55" s="26"/>
      <c r="H55" s="56"/>
      <c r="I55" s="6"/>
    </row>
    <row r="56" spans="1:9" x14ac:dyDescent="0.25">
      <c r="A56" s="66"/>
      <c r="B56" s="334"/>
      <c r="C56" s="14" t="s">
        <v>117</v>
      </c>
      <c r="D56" s="13"/>
      <c r="E56" s="13"/>
      <c r="F56" s="13"/>
      <c r="G56" s="268"/>
      <c r="H56" s="67"/>
      <c r="I56" s="11">
        <f>SUM(I50:I54)</f>
        <v>78221.429999999993</v>
      </c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68"/>
      <c r="B58" s="43"/>
      <c r="C58" s="4"/>
      <c r="D58" s="4"/>
      <c r="E58" s="4"/>
      <c r="F58" s="4"/>
      <c r="G58" s="165"/>
      <c r="H58" s="4"/>
      <c r="I58" s="4"/>
    </row>
    <row r="59" spans="1:9" x14ac:dyDescent="0.25">
      <c r="A59" s="2" t="s">
        <v>479</v>
      </c>
      <c r="B59" s="2"/>
      <c r="C59" s="2"/>
      <c r="D59" s="189" t="s">
        <v>119</v>
      </c>
      <c r="F59" s="2" t="s">
        <v>120</v>
      </c>
      <c r="G59" s="2" t="s">
        <v>264</v>
      </c>
      <c r="H59" s="2"/>
      <c r="I59" s="2" t="s">
        <v>265</v>
      </c>
    </row>
    <row r="60" spans="1:9" x14ac:dyDescent="0.25">
      <c r="A60" s="2"/>
      <c r="B60" s="2"/>
    </row>
  </sheetData>
  <pageMargins left="0.7" right="0.7" top="0.75" bottom="0.75" header="0.3" footer="0.3"/>
  <pageSetup paperSize="9" orientation="landscape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40" workbookViewId="0">
      <selection activeCell="F38" sqref="F38"/>
    </sheetView>
  </sheetViews>
  <sheetFormatPr defaultRowHeight="15" x14ac:dyDescent="0.25"/>
  <cols>
    <col min="1" max="1" width="5.42578125" customWidth="1"/>
    <col min="2" max="2" width="35" customWidth="1"/>
    <col min="3" max="3" width="12" customWidth="1"/>
    <col min="4" max="4" width="12.85546875" customWidth="1"/>
    <col min="5" max="5" width="11" customWidth="1"/>
    <col min="6" max="6" width="19.5703125" customWidth="1"/>
    <col min="7" max="7" width="10" customWidth="1"/>
    <col min="8" max="8" width="11" customWidth="1"/>
    <col min="9" max="9" width="13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</row>
    <row r="6" spans="1:9" x14ac:dyDescent="0.25">
      <c r="A6" s="1" t="s">
        <v>1202</v>
      </c>
      <c r="B6" s="2"/>
      <c r="C6" s="2"/>
      <c r="D6" s="2"/>
      <c r="E6" s="2"/>
      <c r="F6" s="2"/>
      <c r="G6" s="2"/>
      <c r="H6" s="2"/>
    </row>
    <row r="7" spans="1:9" x14ac:dyDescent="0.25">
      <c r="A7" s="2" t="s">
        <v>1203</v>
      </c>
      <c r="B7" s="2"/>
      <c r="C7" s="2"/>
      <c r="D7" s="2"/>
      <c r="E7" s="2"/>
      <c r="F7" s="2"/>
      <c r="G7" s="2"/>
      <c r="H7" s="2"/>
    </row>
    <row r="8" spans="1:9" x14ac:dyDescent="0.25">
      <c r="A8" s="2" t="s">
        <v>1204</v>
      </c>
      <c r="B8" s="2"/>
      <c r="C8" s="2"/>
      <c r="D8" s="2"/>
      <c r="E8" s="2"/>
      <c r="F8" s="2"/>
      <c r="G8" s="2"/>
      <c r="H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</row>
    <row r="10" spans="1:9" x14ac:dyDescent="0.25">
      <c r="A10" s="1" t="s">
        <v>1205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132</v>
      </c>
    </row>
    <row r="15" spans="1:9" x14ac:dyDescent="0.25">
      <c r="A15" s="6"/>
      <c r="B15" s="6"/>
      <c r="C15" s="6" t="s">
        <v>27</v>
      </c>
      <c r="D15" s="6" t="s">
        <v>1206</v>
      </c>
      <c r="E15" s="6"/>
      <c r="F15" s="6"/>
      <c r="G15" s="6" t="s">
        <v>29</v>
      </c>
      <c r="H15" s="6" t="s">
        <v>30</v>
      </c>
      <c r="I15" s="6" t="s">
        <v>134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14">
        <v>1</v>
      </c>
      <c r="B18" s="11" t="s">
        <v>323</v>
      </c>
      <c r="C18" s="11">
        <v>8.9600000000000009</v>
      </c>
      <c r="D18" s="16">
        <v>-15952.75</v>
      </c>
      <c r="E18" s="16">
        <v>823399.44</v>
      </c>
      <c r="F18" s="13">
        <v>812768.65</v>
      </c>
      <c r="G18" s="16">
        <f>E18</f>
        <v>823399.44</v>
      </c>
      <c r="H18" s="15">
        <f>D18+F18-G18</f>
        <v>-26583.539999999921</v>
      </c>
      <c r="I18" s="16">
        <f>H18</f>
        <v>-26583.539999999921</v>
      </c>
    </row>
    <row r="19" spans="1:9" x14ac:dyDescent="0.25">
      <c r="A19" s="6" t="s">
        <v>36</v>
      </c>
      <c r="B19" s="17" t="s">
        <v>37</v>
      </c>
      <c r="C19" s="61">
        <v>3.08</v>
      </c>
      <c r="D19" s="21"/>
      <c r="E19" s="187">
        <f>E18*34.4%</f>
        <v>283249.40735999995</v>
      </c>
      <c r="F19" s="21">
        <f>F18*34.4%</f>
        <v>279592.41560000001</v>
      </c>
      <c r="G19" s="21">
        <f t="shared" ref="G19:G26" si="0">E19</f>
        <v>283249.40735999995</v>
      </c>
      <c r="H19" s="20"/>
      <c r="I19" s="21"/>
    </row>
    <row r="20" spans="1:9" x14ac:dyDescent="0.25">
      <c r="A20" s="22" t="s">
        <v>38</v>
      </c>
      <c r="B20" s="5" t="s">
        <v>39</v>
      </c>
      <c r="C20" s="54">
        <v>1.47</v>
      </c>
      <c r="D20" s="33"/>
      <c r="E20" s="33">
        <f>E18*16.4%</f>
        <v>135037.50815999997</v>
      </c>
      <c r="F20" s="33">
        <f>F18*16.4%</f>
        <v>133294.05859999999</v>
      </c>
      <c r="G20" s="33">
        <f t="shared" si="0"/>
        <v>135037.50815999997</v>
      </c>
      <c r="H20" s="25"/>
      <c r="I20" s="33"/>
    </row>
    <row r="21" spans="1:9" x14ac:dyDescent="0.25">
      <c r="A21" s="22" t="s">
        <v>40</v>
      </c>
      <c r="B21" s="5" t="s">
        <v>41</v>
      </c>
      <c r="C21" s="54">
        <v>1.81</v>
      </c>
      <c r="D21" s="33"/>
      <c r="E21" s="33">
        <f>E18*20.2%</f>
        <v>166326.68687999996</v>
      </c>
      <c r="F21" s="33">
        <f>F18*20.2%</f>
        <v>164179.26730000001</v>
      </c>
      <c r="G21" s="33">
        <f t="shared" si="0"/>
        <v>166326.68687999996</v>
      </c>
      <c r="H21" s="234"/>
      <c r="I21" s="33"/>
    </row>
    <row r="22" spans="1:9" x14ac:dyDescent="0.25">
      <c r="A22" s="22" t="s">
        <v>42</v>
      </c>
      <c r="B22" s="5" t="s">
        <v>43</v>
      </c>
      <c r="C22" s="54">
        <v>2.6</v>
      </c>
      <c r="D22" s="30"/>
      <c r="E22" s="33">
        <f>E18*29%</f>
        <v>238785.83759999997</v>
      </c>
      <c r="F22" s="33">
        <f>F18*29%</f>
        <v>235702.90849999999</v>
      </c>
      <c r="G22" s="29">
        <f t="shared" si="0"/>
        <v>238785.83759999997</v>
      </c>
      <c r="H22" s="29"/>
      <c r="I22" s="30"/>
    </row>
    <row r="23" spans="1:9" x14ac:dyDescent="0.25">
      <c r="A23" s="22" t="s">
        <v>44</v>
      </c>
      <c r="B23" s="5" t="s">
        <v>45</v>
      </c>
      <c r="C23" s="54">
        <v>1755.25</v>
      </c>
      <c r="D23" s="30">
        <v>957.18</v>
      </c>
      <c r="E23" s="33">
        <v>12842.65</v>
      </c>
      <c r="F23" s="33">
        <v>12787.47</v>
      </c>
      <c r="G23" s="28">
        <f t="shared" si="0"/>
        <v>12842.65</v>
      </c>
      <c r="H23" s="29">
        <f>D23+F23-G23</f>
        <v>902</v>
      </c>
      <c r="I23" s="30"/>
    </row>
    <row r="24" spans="1:9" x14ac:dyDescent="0.25">
      <c r="A24" s="22" t="s">
        <v>46</v>
      </c>
      <c r="B24" s="5" t="s">
        <v>1207</v>
      </c>
      <c r="C24" s="159" t="s">
        <v>48</v>
      </c>
      <c r="D24" s="30">
        <v>-18633</v>
      </c>
      <c r="E24" s="33">
        <v>140938.38</v>
      </c>
      <c r="F24" s="33">
        <v>139838.79999999999</v>
      </c>
      <c r="G24" s="28">
        <f>E24</f>
        <v>140938.38</v>
      </c>
      <c r="H24" s="29">
        <f>D24+F24-G24</f>
        <v>-19732.580000000016</v>
      </c>
      <c r="I24" s="38">
        <f>H24</f>
        <v>-19732.580000000016</v>
      </c>
    </row>
    <row r="25" spans="1:9" x14ac:dyDescent="0.25">
      <c r="A25" s="10" t="s">
        <v>49</v>
      </c>
      <c r="B25" s="10" t="s">
        <v>50</v>
      </c>
      <c r="C25" s="10">
        <v>4.5999999999999996</v>
      </c>
      <c r="D25" s="38">
        <v>-40784.04</v>
      </c>
      <c r="E25" s="10">
        <v>422727.12</v>
      </c>
      <c r="F25" s="10">
        <v>420442.16</v>
      </c>
      <c r="G25" s="35">
        <f t="shared" si="0"/>
        <v>422727.12</v>
      </c>
      <c r="H25" s="37">
        <f>D25-E25+F25</f>
        <v>-43069</v>
      </c>
      <c r="I25" s="38">
        <f>H25</f>
        <v>-43069</v>
      </c>
    </row>
    <row r="26" spans="1:9" x14ac:dyDescent="0.25">
      <c r="A26" s="10" t="s">
        <v>51</v>
      </c>
      <c r="B26" s="36" t="s">
        <v>140</v>
      </c>
      <c r="C26" s="10">
        <v>3.43</v>
      </c>
      <c r="D26" s="38">
        <v>-37259.760000000002</v>
      </c>
      <c r="E26" s="244">
        <v>314701.96000000002</v>
      </c>
      <c r="F26" s="193">
        <v>307566.53000000003</v>
      </c>
      <c r="G26" s="38">
        <f t="shared" si="0"/>
        <v>314701.96000000002</v>
      </c>
      <c r="H26" s="34">
        <f>D26+F26-G26</f>
        <v>-44395.19</v>
      </c>
      <c r="I26" s="16">
        <f>H26</f>
        <v>-44395.19</v>
      </c>
    </row>
    <row r="27" spans="1:9" x14ac:dyDescent="0.25">
      <c r="A27" s="11" t="s">
        <v>56</v>
      </c>
      <c r="B27" s="11" t="s">
        <v>310</v>
      </c>
      <c r="C27" s="13">
        <v>1.82</v>
      </c>
      <c r="D27" s="38">
        <v>59749.15</v>
      </c>
      <c r="E27" s="10">
        <v>167253.6</v>
      </c>
      <c r="F27" s="10">
        <f>F28+F29</f>
        <v>167962.75</v>
      </c>
      <c r="G27" s="10">
        <f>I64</f>
        <v>129500.96</v>
      </c>
      <c r="H27" s="37">
        <f>D27+F27-G27</f>
        <v>98210.939999999988</v>
      </c>
      <c r="I27" s="38"/>
    </row>
    <row r="28" spans="1:9" x14ac:dyDescent="0.25">
      <c r="A28" s="11"/>
      <c r="B28" s="8" t="s">
        <v>53</v>
      </c>
      <c r="C28" s="13"/>
      <c r="D28" s="15"/>
      <c r="E28" s="11"/>
      <c r="F28" s="11">
        <v>167351.63</v>
      </c>
      <c r="G28" s="11"/>
      <c r="H28" s="14"/>
      <c r="I28" s="16"/>
    </row>
    <row r="29" spans="1:9" x14ac:dyDescent="0.25">
      <c r="A29" s="11"/>
      <c r="B29" s="17" t="s">
        <v>143</v>
      </c>
      <c r="C29" s="13"/>
      <c r="D29" s="15"/>
      <c r="E29" s="11"/>
      <c r="F29" s="11">
        <v>611.12</v>
      </c>
      <c r="G29" s="11"/>
      <c r="H29" s="14"/>
      <c r="I29" s="16"/>
    </row>
    <row r="30" spans="1:9" x14ac:dyDescent="0.25">
      <c r="A30" s="11" t="s">
        <v>60</v>
      </c>
      <c r="B30" s="11" t="s">
        <v>1208</v>
      </c>
      <c r="C30" s="16"/>
      <c r="D30" s="14">
        <v>477.35</v>
      </c>
      <c r="E30" s="11">
        <v>0</v>
      </c>
      <c r="F30" s="11">
        <v>-611.12</v>
      </c>
      <c r="G30" s="11">
        <v>0</v>
      </c>
      <c r="H30" s="14">
        <v>0</v>
      </c>
      <c r="I30" s="16"/>
    </row>
    <row r="31" spans="1:9" x14ac:dyDescent="0.25">
      <c r="A31" s="8"/>
      <c r="B31" s="8" t="s">
        <v>53</v>
      </c>
      <c r="C31" s="28"/>
      <c r="D31" s="7"/>
      <c r="E31" s="8">
        <v>0</v>
      </c>
      <c r="F31" s="8">
        <v>133.77000000000001</v>
      </c>
      <c r="G31" s="8"/>
      <c r="H31" s="7"/>
      <c r="I31" s="30"/>
    </row>
    <row r="32" spans="1:9" x14ac:dyDescent="0.25">
      <c r="A32" s="7"/>
      <c r="B32" s="8" t="s">
        <v>58</v>
      </c>
      <c r="C32" s="28"/>
      <c r="D32" s="8"/>
      <c r="E32" s="9"/>
      <c r="F32" s="8">
        <v>611.12</v>
      </c>
      <c r="G32" s="9"/>
      <c r="H32" s="8"/>
      <c r="I32" s="27"/>
    </row>
    <row r="33" spans="1:9" x14ac:dyDescent="0.25">
      <c r="A33" s="1" t="s">
        <v>59</v>
      </c>
      <c r="B33" s="2"/>
      <c r="C33" s="2"/>
      <c r="E33" s="2"/>
      <c r="F33" s="2"/>
      <c r="G33" s="2"/>
      <c r="H33" s="2"/>
      <c r="I33" s="2"/>
    </row>
    <row r="34" spans="1:9" x14ac:dyDescent="0.25">
      <c r="A34" s="63" t="s">
        <v>355</v>
      </c>
      <c r="B34" s="54" t="s">
        <v>61</v>
      </c>
      <c r="C34" s="5" t="s">
        <v>65</v>
      </c>
      <c r="D34" s="47" t="s">
        <v>63</v>
      </c>
      <c r="E34" s="54" t="s">
        <v>64</v>
      </c>
      <c r="F34" s="5" t="s">
        <v>65</v>
      </c>
      <c r="G34" s="5"/>
      <c r="H34" s="54" t="s">
        <v>195</v>
      </c>
      <c r="I34" s="47"/>
    </row>
    <row r="35" spans="1:9" x14ac:dyDescent="0.25">
      <c r="A35" s="6"/>
      <c r="B35" s="43"/>
      <c r="C35" s="17" t="s">
        <v>67</v>
      </c>
      <c r="D35" s="51" t="s">
        <v>23</v>
      </c>
      <c r="E35" s="61" t="s">
        <v>312</v>
      </c>
      <c r="F35" s="17" t="s">
        <v>30</v>
      </c>
      <c r="G35" s="17"/>
      <c r="H35" s="61"/>
      <c r="I35" s="51"/>
    </row>
    <row r="36" spans="1:9" x14ac:dyDescent="0.25">
      <c r="A36" s="11"/>
      <c r="B36" s="61" t="s">
        <v>69</v>
      </c>
      <c r="C36" s="21">
        <v>24278.55</v>
      </c>
      <c r="D36" s="51">
        <v>9600</v>
      </c>
      <c r="E36" s="162">
        <f>D36*15%</f>
        <v>1440</v>
      </c>
      <c r="F36" s="21">
        <f>C36+(D36-E36)</f>
        <v>32438.55</v>
      </c>
      <c r="G36" s="21">
        <v>0</v>
      </c>
      <c r="H36" s="162">
        <f>F36-G36</f>
        <v>32438.55</v>
      </c>
      <c r="I36" s="51"/>
    </row>
    <row r="37" spans="1:9" x14ac:dyDescent="0.25">
      <c r="A37" s="1" t="s">
        <v>248</v>
      </c>
      <c r="B37" s="1"/>
      <c r="C37" s="1"/>
      <c r="D37" s="45"/>
      <c r="E37" s="1"/>
      <c r="F37" s="1"/>
      <c r="G37" s="1"/>
      <c r="H37" s="1"/>
      <c r="I37" s="1"/>
    </row>
    <row r="38" spans="1:9" x14ac:dyDescent="0.25">
      <c r="A38" s="5" t="s">
        <v>72</v>
      </c>
      <c r="B38" s="46" t="s">
        <v>73</v>
      </c>
      <c r="C38" s="5" t="s">
        <v>74</v>
      </c>
      <c r="D38" s="54" t="s">
        <v>75</v>
      </c>
      <c r="E38" s="5" t="s">
        <v>76</v>
      </c>
      <c r="F38" s="54" t="s">
        <v>77</v>
      </c>
      <c r="G38" s="5" t="s">
        <v>249</v>
      </c>
      <c r="H38" s="5" t="s">
        <v>79</v>
      </c>
      <c r="I38" s="5" t="s">
        <v>19</v>
      </c>
    </row>
    <row r="39" spans="1:9" x14ac:dyDescent="0.25">
      <c r="A39" s="6"/>
      <c r="B39" s="49" t="s">
        <v>80</v>
      </c>
      <c r="C39" s="6" t="s">
        <v>81</v>
      </c>
      <c r="D39" s="43" t="s">
        <v>82</v>
      </c>
      <c r="E39" s="6" t="s">
        <v>83</v>
      </c>
      <c r="F39" s="43" t="s">
        <v>84</v>
      </c>
      <c r="G39" s="6" t="s">
        <v>85</v>
      </c>
      <c r="H39" s="6" t="s">
        <v>86</v>
      </c>
      <c r="I39" s="6" t="s">
        <v>87</v>
      </c>
    </row>
    <row r="40" spans="1:9" x14ac:dyDescent="0.25">
      <c r="A40" s="6"/>
      <c r="B40" s="49"/>
      <c r="C40" s="6"/>
      <c r="D40" s="43"/>
      <c r="E40" s="6"/>
      <c r="F40" s="43" t="s">
        <v>88</v>
      </c>
      <c r="G40" s="17" t="s">
        <v>89</v>
      </c>
      <c r="H40" s="17"/>
      <c r="I40" s="17" t="s">
        <v>30</v>
      </c>
    </row>
    <row r="41" spans="1:9" x14ac:dyDescent="0.25">
      <c r="A41" s="8">
        <v>1</v>
      </c>
      <c r="B41" s="8" t="s">
        <v>91</v>
      </c>
      <c r="C41" s="35" t="s">
        <v>92</v>
      </c>
      <c r="D41" s="8">
        <v>-92717</v>
      </c>
      <c r="E41" s="59">
        <v>713375.93</v>
      </c>
      <c r="F41" s="8">
        <v>688209.95</v>
      </c>
      <c r="G41" s="59">
        <f>E41</f>
        <v>713375.93</v>
      </c>
      <c r="H41" s="8">
        <f>D41+F41-G41</f>
        <v>-117882.9800000001</v>
      </c>
      <c r="I41" s="8">
        <f>H41</f>
        <v>-117882.9800000001</v>
      </c>
    </row>
    <row r="42" spans="1:9" x14ac:dyDescent="0.25">
      <c r="A42" s="8"/>
      <c r="B42" s="8" t="s">
        <v>1209</v>
      </c>
      <c r="C42" s="35" t="s">
        <v>94</v>
      </c>
      <c r="D42" s="8"/>
      <c r="E42" s="59"/>
      <c r="F42" s="8"/>
      <c r="G42" s="59"/>
      <c r="H42" s="8"/>
      <c r="I42" s="8"/>
    </row>
    <row r="43" spans="1:9" x14ac:dyDescent="0.25">
      <c r="A43" s="17">
        <v>2</v>
      </c>
      <c r="B43" s="17" t="s">
        <v>160</v>
      </c>
      <c r="C43" s="13" t="s">
        <v>96</v>
      </c>
      <c r="D43" s="17">
        <v>-294091.34000000003</v>
      </c>
      <c r="E43" s="61">
        <v>1199949</v>
      </c>
      <c r="F43" s="17">
        <v>1168582.21</v>
      </c>
      <c r="G43" s="61">
        <f>E43</f>
        <v>1199949</v>
      </c>
      <c r="H43" s="17">
        <f>D43+F43-G43</f>
        <v>-325458.13000000012</v>
      </c>
      <c r="I43" s="17">
        <f>H43</f>
        <v>-325458.13000000012</v>
      </c>
    </row>
    <row r="44" spans="1:9" x14ac:dyDescent="0.25">
      <c r="A44" s="6"/>
      <c r="B44" s="6" t="s">
        <v>1210</v>
      </c>
      <c r="C44" s="35" t="s">
        <v>94</v>
      </c>
      <c r="D44" s="6"/>
      <c r="E44" s="2"/>
      <c r="F44" s="6"/>
      <c r="G44" s="2"/>
      <c r="H44" s="6"/>
      <c r="I44" s="6"/>
    </row>
    <row r="45" spans="1:9" x14ac:dyDescent="0.25">
      <c r="A45" s="8">
        <v>3</v>
      </c>
      <c r="B45" s="8" t="s">
        <v>99</v>
      </c>
      <c r="C45" s="35" t="s">
        <v>100</v>
      </c>
      <c r="D45" s="8">
        <v>-710653.31</v>
      </c>
      <c r="E45" s="9">
        <v>2542309.4900000002</v>
      </c>
      <c r="F45" s="8">
        <v>2416270.29</v>
      </c>
      <c r="G45" s="9">
        <f>E45</f>
        <v>2542309.4900000002</v>
      </c>
      <c r="H45" s="8">
        <f>D45+F45-G45</f>
        <v>-836692.51000000024</v>
      </c>
      <c r="I45" s="8">
        <f>H45</f>
        <v>-836692.51000000024</v>
      </c>
    </row>
    <row r="46" spans="1:9" x14ac:dyDescent="0.25">
      <c r="A46" s="1" t="s">
        <v>251</v>
      </c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4" t="s">
        <v>252</v>
      </c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46" t="s">
        <v>12</v>
      </c>
      <c r="B48" s="5" t="s">
        <v>736</v>
      </c>
      <c r="C48" s="46" t="s">
        <v>104</v>
      </c>
      <c r="D48" s="54"/>
      <c r="E48" s="54"/>
      <c r="F48" s="47"/>
      <c r="G48" s="5" t="s">
        <v>199</v>
      </c>
      <c r="H48" s="47" t="s">
        <v>374</v>
      </c>
      <c r="I48" s="5" t="s">
        <v>107</v>
      </c>
    </row>
    <row r="49" spans="1:9" x14ac:dyDescent="0.25">
      <c r="A49" s="49" t="s">
        <v>108</v>
      </c>
      <c r="B49" s="6"/>
      <c r="C49" s="49"/>
      <c r="D49" s="43"/>
      <c r="E49" s="43"/>
      <c r="F49" s="56"/>
      <c r="G49" s="6" t="s">
        <v>201</v>
      </c>
      <c r="H49" s="56" t="s">
        <v>85</v>
      </c>
      <c r="I49" s="6" t="s">
        <v>109</v>
      </c>
    </row>
    <row r="50" spans="1:9" x14ac:dyDescent="0.25">
      <c r="A50" s="49"/>
      <c r="B50" s="17"/>
      <c r="C50" s="50"/>
      <c r="D50" s="61"/>
      <c r="E50" s="61"/>
      <c r="F50" s="51"/>
      <c r="G50" s="17"/>
      <c r="H50" s="51"/>
      <c r="I50" s="17"/>
    </row>
    <row r="51" spans="1:9" x14ac:dyDescent="0.25">
      <c r="A51" s="62"/>
      <c r="B51" s="53"/>
      <c r="C51" s="53" t="s">
        <v>597</v>
      </c>
      <c r="D51" s="159"/>
      <c r="E51" s="159"/>
      <c r="F51" s="47"/>
      <c r="G51" s="33"/>
      <c r="H51" s="47"/>
      <c r="I51" s="5"/>
    </row>
    <row r="52" spans="1:9" x14ac:dyDescent="0.25">
      <c r="A52" s="64" t="s">
        <v>111</v>
      </c>
      <c r="B52" s="232">
        <v>43131</v>
      </c>
      <c r="C52" s="49" t="s">
        <v>1211</v>
      </c>
      <c r="D52" s="43"/>
      <c r="E52" s="43"/>
      <c r="F52" s="56"/>
      <c r="G52" s="26"/>
      <c r="H52" s="56"/>
      <c r="I52" s="6">
        <v>3050.08</v>
      </c>
    </row>
    <row r="53" spans="1:9" x14ac:dyDescent="0.25">
      <c r="A53" s="64" t="s">
        <v>114</v>
      </c>
      <c r="B53" s="232">
        <v>43186</v>
      </c>
      <c r="C53" s="49" t="s">
        <v>112</v>
      </c>
      <c r="D53" s="43"/>
      <c r="E53" s="43"/>
      <c r="F53" s="56"/>
      <c r="G53" s="26" t="s">
        <v>113</v>
      </c>
      <c r="H53" s="56">
        <v>120</v>
      </c>
      <c r="I53" s="6">
        <v>24000</v>
      </c>
    </row>
    <row r="54" spans="1:9" x14ac:dyDescent="0.25">
      <c r="A54" s="64" t="s">
        <v>170</v>
      </c>
      <c r="B54" s="232">
        <v>43220</v>
      </c>
      <c r="C54" s="49" t="s">
        <v>1212</v>
      </c>
      <c r="D54" s="43"/>
      <c r="E54" s="43"/>
      <c r="F54" s="56"/>
      <c r="G54" s="26" t="s">
        <v>116</v>
      </c>
      <c r="H54" s="56">
        <v>31.4</v>
      </c>
      <c r="I54" s="6">
        <v>14777.68</v>
      </c>
    </row>
    <row r="55" spans="1:9" x14ac:dyDescent="0.25">
      <c r="A55" s="64" t="s">
        <v>173</v>
      </c>
      <c r="B55" s="232" t="s">
        <v>1213</v>
      </c>
      <c r="C55" s="49" t="s">
        <v>299</v>
      </c>
      <c r="D55" s="43"/>
      <c r="E55" s="43"/>
      <c r="F55" s="56"/>
      <c r="G55" s="26" t="s">
        <v>300</v>
      </c>
      <c r="H55" s="56">
        <v>1</v>
      </c>
      <c r="I55" s="6">
        <v>4633.72</v>
      </c>
    </row>
    <row r="56" spans="1:9" x14ac:dyDescent="0.25">
      <c r="A56" s="64" t="s">
        <v>257</v>
      </c>
      <c r="B56" s="232">
        <v>43215</v>
      </c>
      <c r="C56" s="49" t="s">
        <v>1214</v>
      </c>
      <c r="D56" s="43"/>
      <c r="E56" s="43"/>
      <c r="F56" s="56"/>
      <c r="G56" s="26" t="s">
        <v>205</v>
      </c>
      <c r="H56" s="56">
        <v>1</v>
      </c>
      <c r="I56" s="6">
        <v>1155.03</v>
      </c>
    </row>
    <row r="57" spans="1:9" x14ac:dyDescent="0.25">
      <c r="A57" s="64" t="s">
        <v>406</v>
      </c>
      <c r="B57" s="232">
        <v>43248</v>
      </c>
      <c r="C57" s="232" t="s">
        <v>1215</v>
      </c>
      <c r="D57" s="69"/>
      <c r="E57" s="69"/>
      <c r="F57" s="56"/>
      <c r="G57" s="26" t="s">
        <v>1216</v>
      </c>
      <c r="H57" s="56">
        <v>1</v>
      </c>
      <c r="I57" s="6">
        <v>1200</v>
      </c>
    </row>
    <row r="58" spans="1:9" x14ac:dyDescent="0.25">
      <c r="A58" s="64" t="s">
        <v>408</v>
      </c>
      <c r="B58" s="232">
        <v>43266</v>
      </c>
      <c r="C58" s="49" t="s">
        <v>1217</v>
      </c>
      <c r="D58" s="43"/>
      <c r="E58" s="43"/>
      <c r="F58" s="56"/>
      <c r="G58" s="26" t="s">
        <v>116</v>
      </c>
      <c r="H58" s="56">
        <v>8</v>
      </c>
      <c r="I58" s="6">
        <v>12636.61</v>
      </c>
    </row>
    <row r="59" spans="1:9" x14ac:dyDescent="0.25">
      <c r="A59" s="64" t="s">
        <v>561</v>
      </c>
      <c r="B59" s="232">
        <v>43322</v>
      </c>
      <c r="C59" s="49" t="s">
        <v>1218</v>
      </c>
      <c r="D59" s="43"/>
      <c r="E59" s="43"/>
      <c r="F59" s="56"/>
      <c r="G59" s="26" t="s">
        <v>205</v>
      </c>
      <c r="H59" s="56">
        <v>1</v>
      </c>
      <c r="I59" s="6">
        <v>10377.01</v>
      </c>
    </row>
    <row r="60" spans="1:9" x14ac:dyDescent="0.25">
      <c r="A60" s="64" t="s">
        <v>633</v>
      </c>
      <c r="B60" s="232">
        <v>43371</v>
      </c>
      <c r="C60" s="49" t="s">
        <v>1219</v>
      </c>
      <c r="D60" s="43"/>
      <c r="E60" s="43"/>
      <c r="F60" s="56"/>
      <c r="G60" s="26" t="s">
        <v>169</v>
      </c>
      <c r="H60" s="56">
        <v>26.53</v>
      </c>
      <c r="I60" s="6">
        <v>20690.490000000002</v>
      </c>
    </row>
    <row r="61" spans="1:9" x14ac:dyDescent="0.25">
      <c r="A61" s="64" t="s">
        <v>645</v>
      </c>
      <c r="B61" s="232">
        <v>43404</v>
      </c>
      <c r="C61" s="49" t="s">
        <v>1220</v>
      </c>
      <c r="D61" s="43"/>
      <c r="E61" s="43"/>
      <c r="F61" s="56"/>
      <c r="G61" s="26" t="s">
        <v>116</v>
      </c>
      <c r="H61" s="56">
        <v>13</v>
      </c>
      <c r="I61" s="6">
        <v>5966.75</v>
      </c>
    </row>
    <row r="62" spans="1:9" x14ac:dyDescent="0.25">
      <c r="A62" s="64" t="s">
        <v>1221</v>
      </c>
      <c r="B62" s="232">
        <v>43404</v>
      </c>
      <c r="C62" s="49" t="s">
        <v>112</v>
      </c>
      <c r="D62" s="43"/>
      <c r="E62" s="43"/>
      <c r="F62" s="56"/>
      <c r="G62" s="26" t="s">
        <v>116</v>
      </c>
      <c r="H62" s="56">
        <v>134</v>
      </c>
      <c r="I62" s="6">
        <v>26800</v>
      </c>
    </row>
    <row r="63" spans="1:9" x14ac:dyDescent="0.25">
      <c r="A63" s="64" t="s">
        <v>1222</v>
      </c>
      <c r="B63" s="232">
        <v>43463</v>
      </c>
      <c r="C63" s="49" t="s">
        <v>1223</v>
      </c>
      <c r="D63" s="43"/>
      <c r="E63" s="43"/>
      <c r="F63" s="56"/>
      <c r="G63" s="26" t="s">
        <v>1224</v>
      </c>
      <c r="H63" s="56">
        <v>3.2</v>
      </c>
      <c r="I63" s="6">
        <v>4213.59</v>
      </c>
    </row>
    <row r="64" spans="1:9" x14ac:dyDescent="0.25">
      <c r="A64" s="66"/>
      <c r="B64" s="50"/>
      <c r="C64" s="14" t="s">
        <v>117</v>
      </c>
      <c r="D64" s="13"/>
      <c r="E64" s="13"/>
      <c r="F64" s="67"/>
      <c r="G64" s="16"/>
      <c r="H64" s="67"/>
      <c r="I64" s="11">
        <f>SUM(I51:I63)</f>
        <v>129500.96</v>
      </c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2" t="s">
        <v>647</v>
      </c>
      <c r="B66" s="2"/>
      <c r="C66" s="2"/>
      <c r="D66" s="189" t="s">
        <v>119</v>
      </c>
      <c r="F66" s="2" t="s">
        <v>120</v>
      </c>
      <c r="G66" s="2" t="s">
        <v>264</v>
      </c>
      <c r="H66" s="2"/>
      <c r="I66" s="2" t="s">
        <v>265</v>
      </c>
    </row>
    <row r="67" spans="1:9" x14ac:dyDescent="0.25">
      <c r="A67" s="2"/>
      <c r="B67" s="2"/>
    </row>
  </sheetData>
  <pageMargins left="0.7" right="0.7" top="0.75" bottom="0.75" header="0.3" footer="0.3"/>
  <pageSetup paperSize="9" orientation="landscape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A27" sqref="A27:A28"/>
    </sheetView>
  </sheetViews>
  <sheetFormatPr defaultRowHeight="15" x14ac:dyDescent="0.25"/>
  <cols>
    <col min="1" max="1" width="5.5703125" customWidth="1"/>
    <col min="2" max="2" width="32" customWidth="1"/>
    <col min="3" max="3" width="14.140625" customWidth="1"/>
    <col min="4" max="4" width="10.5703125" customWidth="1"/>
    <col min="7" max="7" width="10.42578125" customWidth="1"/>
    <col min="8" max="8" width="11.85546875" customWidth="1"/>
    <col min="9" max="9" width="17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317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H5" s="2"/>
      <c r="I5" s="2"/>
    </row>
    <row r="6" spans="1:9" x14ac:dyDescent="0.25">
      <c r="A6" s="1" t="s">
        <v>1225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1226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1227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1228</v>
      </c>
      <c r="B10" s="1"/>
      <c r="D10" s="1" t="s">
        <v>1229</v>
      </c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196</v>
      </c>
    </row>
    <row r="14" spans="1:9" x14ac:dyDescent="0.25">
      <c r="A14" s="6" t="s">
        <v>20</v>
      </c>
      <c r="B14" s="6"/>
      <c r="C14" s="6" t="s">
        <v>130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221</v>
      </c>
    </row>
    <row r="17" spans="1:9" x14ac:dyDescent="0.25">
      <c r="A17" s="9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9">
        <v>7</v>
      </c>
      <c r="H17" s="8">
        <v>8</v>
      </c>
      <c r="I17" s="8">
        <v>9</v>
      </c>
    </row>
    <row r="18" spans="1:9" x14ac:dyDescent="0.25">
      <c r="A18" s="36">
        <v>1</v>
      </c>
      <c r="B18" s="10" t="s">
        <v>1230</v>
      </c>
      <c r="C18" s="10">
        <v>8.07</v>
      </c>
      <c r="D18" s="38">
        <v>-25296.54</v>
      </c>
      <c r="E18" s="35">
        <v>56138.28</v>
      </c>
      <c r="F18" s="10">
        <v>54124.74</v>
      </c>
      <c r="G18" s="35">
        <f t="shared" ref="G18:G24" si="0">E18</f>
        <v>56138.28</v>
      </c>
      <c r="H18" s="38">
        <f>D18+F18-G18</f>
        <v>-27310.080000000002</v>
      </c>
      <c r="I18" s="38">
        <f>H18</f>
        <v>-27310.080000000002</v>
      </c>
    </row>
    <row r="19" spans="1:9" x14ac:dyDescent="0.25">
      <c r="A19" s="6" t="s">
        <v>36</v>
      </c>
      <c r="B19" s="17" t="s">
        <v>37</v>
      </c>
      <c r="C19" s="21">
        <v>3.08</v>
      </c>
      <c r="D19" s="21"/>
      <c r="E19" s="162">
        <f>E18*38/100</f>
        <v>21332.546400000003</v>
      </c>
      <c r="F19" s="21">
        <f>F18*38/100</f>
        <v>20567.4012</v>
      </c>
      <c r="G19" s="20">
        <f t="shared" si="0"/>
        <v>21332.546400000003</v>
      </c>
      <c r="H19" s="21"/>
      <c r="I19" s="21"/>
    </row>
    <row r="20" spans="1:9" x14ac:dyDescent="0.25">
      <c r="A20" s="22" t="s">
        <v>38</v>
      </c>
      <c r="B20" s="5" t="s">
        <v>39</v>
      </c>
      <c r="C20" s="25">
        <v>1.51</v>
      </c>
      <c r="D20" s="26"/>
      <c r="E20" s="24">
        <f>E18*18.7/100</f>
        <v>10497.858359999998</v>
      </c>
      <c r="F20" s="33">
        <f>F18*18.7/100</f>
        <v>10121.326379999999</v>
      </c>
      <c r="G20" s="19">
        <f t="shared" si="0"/>
        <v>10497.858359999998</v>
      </c>
      <c r="H20" s="26"/>
      <c r="I20" s="26"/>
    </row>
    <row r="21" spans="1:9" x14ac:dyDescent="0.25">
      <c r="A21" s="22" t="s">
        <v>40</v>
      </c>
      <c r="B21" s="5" t="s">
        <v>41</v>
      </c>
      <c r="C21" s="29">
        <v>0.88</v>
      </c>
      <c r="D21" s="30"/>
      <c r="E21" s="28">
        <f>E18*11.1/100</f>
        <v>6231.349079999999</v>
      </c>
      <c r="F21" s="30">
        <f>F18*11.1/100</f>
        <v>6007.8461399999997</v>
      </c>
      <c r="G21" s="29">
        <f t="shared" si="0"/>
        <v>6231.349079999999</v>
      </c>
      <c r="H21" s="30"/>
      <c r="I21" s="30"/>
    </row>
    <row r="22" spans="1:9" x14ac:dyDescent="0.25">
      <c r="A22" s="22" t="s">
        <v>42</v>
      </c>
      <c r="B22" s="5" t="s">
        <v>43</v>
      </c>
      <c r="C22" s="19">
        <v>2.6</v>
      </c>
      <c r="D22" s="26"/>
      <c r="E22" s="19">
        <f>E18*32.2%</f>
        <v>18076.526160000001</v>
      </c>
      <c r="F22" s="26">
        <f>F18*32.2/100</f>
        <v>17428.166280000001</v>
      </c>
      <c r="G22" s="19">
        <f t="shared" si="0"/>
        <v>18076.526160000001</v>
      </c>
      <c r="H22" s="26"/>
      <c r="I22" s="26"/>
    </row>
    <row r="23" spans="1:9" x14ac:dyDescent="0.25">
      <c r="A23" s="22" t="s">
        <v>44</v>
      </c>
      <c r="B23" s="5" t="s">
        <v>47</v>
      </c>
      <c r="C23" s="335" t="s">
        <v>1231</v>
      </c>
      <c r="D23" s="8">
        <v>-2417.61</v>
      </c>
      <c r="E23" s="9">
        <v>11425.98</v>
      </c>
      <c r="F23" s="8">
        <v>10724.19</v>
      </c>
      <c r="G23" s="9">
        <f>E23</f>
        <v>11425.98</v>
      </c>
      <c r="H23" s="8">
        <f>D23+F23-G23</f>
        <v>-3119.3999999999996</v>
      </c>
      <c r="I23" s="10">
        <f>H23</f>
        <v>-3119.3999999999996</v>
      </c>
    </row>
    <row r="24" spans="1:9" x14ac:dyDescent="0.25">
      <c r="A24" s="10" t="s">
        <v>49</v>
      </c>
      <c r="B24" s="10" t="s">
        <v>50</v>
      </c>
      <c r="C24" s="35">
        <v>4.5999999999999996</v>
      </c>
      <c r="D24" s="10">
        <v>-4326.04</v>
      </c>
      <c r="E24" s="34">
        <v>31999.439999999999</v>
      </c>
      <c r="F24" s="38">
        <v>31087.32</v>
      </c>
      <c r="G24" s="193">
        <f t="shared" si="0"/>
        <v>31999.439999999999</v>
      </c>
      <c r="H24" s="38">
        <f>D24+F24-G24</f>
        <v>-5238.16</v>
      </c>
      <c r="I24" s="10">
        <f>H24</f>
        <v>-5238.16</v>
      </c>
    </row>
    <row r="25" spans="1:9" x14ac:dyDescent="0.25">
      <c r="A25" s="11" t="s">
        <v>51</v>
      </c>
      <c r="B25" s="11" t="s">
        <v>310</v>
      </c>
      <c r="C25" s="13">
        <v>1.48</v>
      </c>
      <c r="D25" s="11">
        <v>-5056.1899999999996</v>
      </c>
      <c r="E25" s="67">
        <v>10295.52</v>
      </c>
      <c r="F25" s="16">
        <f>F26</f>
        <v>10509.05</v>
      </c>
      <c r="G25" s="161">
        <f>G26</f>
        <v>15400</v>
      </c>
      <c r="H25" s="16">
        <f>D25+F25-G25</f>
        <v>-9947.14</v>
      </c>
      <c r="I25" s="11">
        <f>H25</f>
        <v>-9947.14</v>
      </c>
    </row>
    <row r="26" spans="1:9" x14ac:dyDescent="0.25">
      <c r="A26" s="11"/>
      <c r="B26" s="8" t="s">
        <v>398</v>
      </c>
      <c r="C26" s="13"/>
      <c r="D26" s="11"/>
      <c r="E26" s="12"/>
      <c r="F26" s="21">
        <v>10509.05</v>
      </c>
      <c r="G26" s="161">
        <f>I43</f>
        <v>15400</v>
      </c>
      <c r="H26" s="11"/>
      <c r="I26" s="11"/>
    </row>
    <row r="27" spans="1:9" x14ac:dyDescent="0.25">
      <c r="A27" s="4" t="s">
        <v>70</v>
      </c>
    </row>
    <row r="28" spans="1:9" x14ac:dyDescent="0.25">
      <c r="A28" s="1" t="s">
        <v>71</v>
      </c>
      <c r="B28" s="4"/>
      <c r="C28" s="4"/>
      <c r="D28" s="52"/>
      <c r="E28" s="4"/>
      <c r="F28" s="4"/>
      <c r="G28" s="4"/>
      <c r="H28" s="4"/>
      <c r="I28" s="4"/>
    </row>
    <row r="29" spans="1:9" x14ac:dyDescent="0.25">
      <c r="A29" s="5" t="s">
        <v>72</v>
      </c>
      <c r="B29" s="46" t="s">
        <v>73</v>
      </c>
      <c r="C29" s="5" t="s">
        <v>74</v>
      </c>
      <c r="D29" s="54" t="s">
        <v>75</v>
      </c>
      <c r="E29" s="5" t="s">
        <v>76</v>
      </c>
      <c r="F29" s="54" t="s">
        <v>77</v>
      </c>
      <c r="G29" s="5" t="s">
        <v>78</v>
      </c>
      <c r="H29" s="54" t="s">
        <v>79</v>
      </c>
      <c r="I29" s="5" t="s">
        <v>19</v>
      </c>
    </row>
    <row r="30" spans="1:9" x14ac:dyDescent="0.25">
      <c r="A30" s="6"/>
      <c r="B30" s="49" t="s">
        <v>80</v>
      </c>
      <c r="C30" s="6" t="s">
        <v>81</v>
      </c>
      <c r="D30" s="43" t="s">
        <v>82</v>
      </c>
      <c r="E30" s="6" t="s">
        <v>83</v>
      </c>
      <c r="F30" s="43" t="s">
        <v>1232</v>
      </c>
      <c r="G30" s="6" t="s">
        <v>85</v>
      </c>
      <c r="H30" s="43" t="s">
        <v>86</v>
      </c>
      <c r="I30" s="6" t="s">
        <v>87</v>
      </c>
    </row>
    <row r="31" spans="1:9" x14ac:dyDescent="0.25">
      <c r="A31" s="6"/>
      <c r="B31" s="49"/>
      <c r="C31" s="6"/>
      <c r="D31" s="43"/>
      <c r="E31" s="6"/>
      <c r="F31" s="43" t="s">
        <v>88</v>
      </c>
      <c r="G31" s="17" t="s">
        <v>89</v>
      </c>
      <c r="H31" s="43"/>
      <c r="I31" s="6" t="s">
        <v>30</v>
      </c>
    </row>
    <row r="32" spans="1:9" x14ac:dyDescent="0.25">
      <c r="A32" s="8">
        <v>1</v>
      </c>
      <c r="B32" s="8" t="s">
        <v>91</v>
      </c>
      <c r="C32" s="35" t="s">
        <v>1233</v>
      </c>
      <c r="D32" s="8">
        <v>-30796.67</v>
      </c>
      <c r="E32" s="59">
        <v>74078.240000000005</v>
      </c>
      <c r="F32" s="8">
        <v>54896.959999999999</v>
      </c>
      <c r="G32" s="59">
        <f>E32</f>
        <v>74078.240000000005</v>
      </c>
      <c r="H32" s="8">
        <f>D32+F32-G32</f>
        <v>-49977.950000000004</v>
      </c>
      <c r="I32" s="8">
        <f>H32</f>
        <v>-49977.950000000004</v>
      </c>
    </row>
    <row r="33" spans="1:9" x14ac:dyDescent="0.25">
      <c r="A33" s="8"/>
      <c r="B33" s="8" t="s">
        <v>93</v>
      </c>
      <c r="C33" s="35" t="s">
        <v>94</v>
      </c>
      <c r="D33" s="8"/>
      <c r="E33" s="59"/>
      <c r="F33" s="8"/>
      <c r="G33" s="59"/>
      <c r="H33" s="8"/>
      <c r="I33" s="8"/>
    </row>
    <row r="34" spans="1:9" x14ac:dyDescent="0.25">
      <c r="A34" s="8">
        <v>2</v>
      </c>
      <c r="B34" s="8" t="s">
        <v>99</v>
      </c>
      <c r="C34" s="35" t="s">
        <v>100</v>
      </c>
      <c r="D34" s="8">
        <v>-63762.02</v>
      </c>
      <c r="E34" s="9">
        <v>0</v>
      </c>
      <c r="F34" s="8">
        <v>3716.23</v>
      </c>
      <c r="G34" s="9">
        <f>E34</f>
        <v>0</v>
      </c>
      <c r="H34" s="8">
        <f>D34+F34-G34</f>
        <v>-60045.789999999994</v>
      </c>
      <c r="I34" s="8">
        <f>H34</f>
        <v>-60045.789999999994</v>
      </c>
    </row>
    <row r="35" spans="1:9" x14ac:dyDescent="0.25">
      <c r="A35" s="1" t="s">
        <v>1120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4" t="s">
        <v>1234</v>
      </c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46" t="s">
        <v>12</v>
      </c>
      <c r="B37" s="5" t="s">
        <v>103</v>
      </c>
      <c r="C37" s="46" t="s">
        <v>104</v>
      </c>
      <c r="D37" s="54"/>
      <c r="E37" s="54"/>
      <c r="F37" s="47"/>
      <c r="G37" s="5" t="s">
        <v>105</v>
      </c>
      <c r="H37" s="47" t="s">
        <v>165</v>
      </c>
      <c r="I37" s="5" t="s">
        <v>107</v>
      </c>
    </row>
    <row r="38" spans="1:9" x14ac:dyDescent="0.25">
      <c r="A38" s="49" t="s">
        <v>108</v>
      </c>
      <c r="B38" s="6"/>
      <c r="C38" s="49"/>
      <c r="D38" s="43"/>
      <c r="E38" s="43"/>
      <c r="F38" s="56"/>
      <c r="G38" s="6"/>
      <c r="H38" s="56" t="s">
        <v>85</v>
      </c>
      <c r="I38" s="6" t="s">
        <v>109</v>
      </c>
    </row>
    <row r="39" spans="1:9" x14ac:dyDescent="0.25">
      <c r="A39" s="49"/>
      <c r="B39" s="17"/>
      <c r="C39" s="50"/>
      <c r="D39" s="61"/>
      <c r="E39" s="61"/>
      <c r="F39" s="51"/>
      <c r="G39" s="6"/>
      <c r="H39" s="56"/>
      <c r="I39" s="6"/>
    </row>
    <row r="40" spans="1:9" x14ac:dyDescent="0.25">
      <c r="A40" s="62" t="s">
        <v>72</v>
      </c>
      <c r="B40" s="39"/>
      <c r="C40" s="55" t="s">
        <v>110</v>
      </c>
      <c r="D40" s="4"/>
      <c r="E40" s="4"/>
      <c r="F40" s="43"/>
      <c r="G40" s="5"/>
      <c r="H40" s="47"/>
      <c r="I40" s="5"/>
    </row>
    <row r="41" spans="1:9" x14ac:dyDescent="0.25">
      <c r="A41" s="64" t="s">
        <v>111</v>
      </c>
      <c r="B41" s="65">
        <v>43186</v>
      </c>
      <c r="C41" s="49" t="s">
        <v>112</v>
      </c>
      <c r="D41" s="43"/>
      <c r="E41" s="43"/>
      <c r="F41" s="43"/>
      <c r="G41" s="26" t="s">
        <v>113</v>
      </c>
      <c r="H41" s="56">
        <v>77</v>
      </c>
      <c r="I41" s="6">
        <v>15400</v>
      </c>
    </row>
    <row r="42" spans="1:9" x14ac:dyDescent="0.25">
      <c r="A42" s="64"/>
      <c r="B42" s="65"/>
      <c r="C42" s="49"/>
      <c r="D42" s="43"/>
      <c r="E42" s="43"/>
      <c r="F42" s="43"/>
      <c r="G42" s="26"/>
      <c r="H42" s="56"/>
      <c r="I42" s="6"/>
    </row>
    <row r="43" spans="1:9" x14ac:dyDescent="0.25">
      <c r="A43" s="66"/>
      <c r="B43" s="17"/>
      <c r="C43" s="14" t="s">
        <v>117</v>
      </c>
      <c r="D43" s="61"/>
      <c r="E43" s="61"/>
      <c r="F43" s="13"/>
      <c r="G43" s="16"/>
      <c r="H43" s="67"/>
      <c r="I43" s="11">
        <f>SUM(I40:I42)</f>
        <v>15400</v>
      </c>
    </row>
    <row r="44" spans="1:9" x14ac:dyDescent="0.25">
      <c r="A44" s="43"/>
      <c r="B44" s="43"/>
      <c r="C44" s="43"/>
      <c r="D44" s="43"/>
      <c r="E44" s="43"/>
      <c r="F44" s="43"/>
      <c r="G44" s="19"/>
      <c r="H44" s="43"/>
      <c r="I44" s="43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 t="s">
        <v>1235</v>
      </c>
      <c r="B46" s="2"/>
      <c r="C46" s="2" t="s">
        <v>72</v>
      </c>
      <c r="D46" s="2" t="s">
        <v>1236</v>
      </c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92</vt:i4>
      </vt:variant>
    </vt:vector>
  </HeadingPairs>
  <TitlesOfParts>
    <vt:vector size="92" baseType="lpstr">
      <vt:lpstr>пер.2-ой Интернациональный д.10</vt:lpstr>
      <vt:lpstr>Баррикад2</vt:lpstr>
      <vt:lpstr>В.Воссиания 1</vt:lpstr>
      <vt:lpstr>Воронина  23</vt:lpstr>
      <vt:lpstr>Воронина 9</vt:lpstr>
      <vt:lpstr>Воронина 11</vt:lpstr>
      <vt:lpstr>Воронина 13</vt:lpstr>
      <vt:lpstr>Воронина 16</vt:lpstr>
      <vt:lpstr>Воронина 18</vt:lpstr>
      <vt:lpstr>Воронина 21</vt:lpstr>
      <vt:lpstr>Воронина 23а</vt:lpstr>
      <vt:lpstr>Герцена 2</vt:lpstr>
      <vt:lpstr>Герцена 3</vt:lpstr>
      <vt:lpstr>Герцена 4</vt:lpstr>
      <vt:lpstr>Герцена 6</vt:lpstr>
      <vt:lpstr>Герцена 9а</vt:lpstr>
      <vt:lpstr>Герцена 16а</vt:lpstr>
      <vt:lpstr>Герцена 17 корп.1</vt:lpstr>
      <vt:lpstr>Герцена 17</vt:lpstr>
      <vt:lpstr>Огарева 3</vt:lpstr>
      <vt:lpstr>Огарева 4</vt:lpstr>
      <vt:lpstr>Огарева 6</vt:lpstr>
      <vt:lpstr>Огарева 9</vt:lpstr>
      <vt:lpstr>Огарева 34а</vt:lpstr>
      <vt:lpstr>Огарева 40 кор.1</vt:lpstr>
      <vt:lpstr>Огарева 40 корп.2</vt:lpstr>
      <vt:lpstr>Огарева 42</vt:lpstr>
      <vt:lpstr>Огарева 44</vt:lpstr>
      <vt:lpstr>п.Труда 4 корп.1</vt:lpstr>
      <vt:lpstr>п.Труда 4 корп.2</vt:lpstr>
      <vt:lpstr>пер.Труда 4 корп.5</vt:lpstr>
      <vt:lpstr>пер.Яченский 2</vt:lpstr>
      <vt:lpstr>Плеханова 3</vt:lpstr>
      <vt:lpstr>Плеханова 5</vt:lpstr>
      <vt:lpstr>Плеханова 11</vt:lpstr>
      <vt:lpstr>Плеханова 12</vt:lpstr>
      <vt:lpstr>Пролетарская 21</vt:lpstr>
      <vt:lpstr>Пролетарская 39</vt:lpstr>
      <vt:lpstr>Пролетарская 41</vt:lpstr>
      <vt:lpstr>Пролетарская 44</vt:lpstr>
      <vt:lpstr>Пролетарская 90</vt:lpstr>
      <vt:lpstr>Пухова 1</vt:lpstr>
      <vt:lpstr>Пухова 3</vt:lpstr>
      <vt:lpstr>Пухова 7</vt:lpstr>
      <vt:lpstr>Пухова 19</vt:lpstr>
      <vt:lpstr>Рылеева 1</vt:lpstr>
      <vt:lpstr>Рылеева 3</vt:lpstr>
      <vt:lpstr>Рылеева 4</vt:lpstr>
      <vt:lpstr>Рылеева 6</vt:lpstr>
      <vt:lpstr>Рылеева 14</vt:lpstr>
      <vt:lpstr>Рылеева 16</vt:lpstr>
      <vt:lpstr>Рылеева 18б</vt:lpstr>
      <vt:lpstr>Рылеева 18в</vt:lpstr>
      <vt:lpstr>Рылеева 19</vt:lpstr>
      <vt:lpstr>Суворова 5</vt:lpstr>
      <vt:lpstr>Суворова 7 корп.1</vt:lpstr>
      <vt:lpstr>Суворова 9</vt:lpstr>
      <vt:lpstr>Суворова 11</vt:lpstr>
      <vt:lpstr>Суворова 13</vt:lpstr>
      <vt:lpstr>Суворова 15</vt:lpstr>
      <vt:lpstr>Суворова 17</vt:lpstr>
      <vt:lpstr>Суворова 19</vt:lpstr>
      <vt:lpstr>Суворова 21</vt:lpstr>
      <vt:lpstr>Суворова 21а</vt:lpstr>
      <vt:lpstr>Суворова 63 корп.1</vt:lpstr>
      <vt:lpstr>Суворова 65</vt:lpstr>
      <vt:lpstr>Суворова 67</vt:lpstr>
      <vt:lpstr>Суворова 69</vt:lpstr>
      <vt:lpstr>Суворова 93</vt:lpstr>
      <vt:lpstr>Суворова 95</vt:lpstr>
      <vt:lpstr>Суворова 119</vt:lpstr>
      <vt:lpstr>Суорова 15</vt:lpstr>
      <vt:lpstr>Труда 1</vt:lpstr>
      <vt:lpstr>Труда 3</vt:lpstr>
      <vt:lpstr>Труда 3а</vt:lpstr>
      <vt:lpstr>Труда 5а корп.1</vt:lpstr>
      <vt:lpstr>Труда 5а корп.2</vt:lpstr>
      <vt:lpstr>Труда 6</vt:lpstr>
      <vt:lpstr>Труда 9</vt:lpstr>
      <vt:lpstr>Труда 9а</vt:lpstr>
      <vt:lpstr>Труда 10</vt:lpstr>
      <vt:lpstr>Труда 11</vt:lpstr>
      <vt:lpstr>Труда 14</vt:lpstr>
      <vt:lpstr>Труда 16</vt:lpstr>
      <vt:lpstr>Труда 18</vt:lpstr>
      <vt:lpstr>Труда 22</vt:lpstr>
      <vt:lpstr>Труда 24</vt:lpstr>
      <vt:lpstr>Труда 26</vt:lpstr>
      <vt:lpstr>Труда 28</vt:lpstr>
      <vt:lpstr>Труда 30</vt:lpstr>
      <vt:lpstr>Труда 32</vt:lpstr>
      <vt:lpstr>Чичерина 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Alexey</cp:lastModifiedBy>
  <dcterms:created xsi:type="dcterms:W3CDTF">2019-03-20T08:49:56Z</dcterms:created>
  <dcterms:modified xsi:type="dcterms:W3CDTF">2019-06-26T09:05:01Z</dcterms:modified>
</cp:coreProperties>
</file>